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charts/chart18.xml" ContentType="application/vnd.openxmlformats-officedocument.drawingml.chart+xml"/>
  <Override PartName="/xl/drawings/drawing10.xml" ContentType="application/vnd.openxmlformats-officedocument.drawingml.chartshapes+xml"/>
  <Override PartName="/xl/charts/chart19.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3.xml" ContentType="application/vnd.openxmlformats-officedocument.drawing+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EstaPastaDeTrabalho"/>
  <mc:AlternateContent xmlns:mc="http://schemas.openxmlformats.org/markup-compatibility/2006">
    <mc:Choice Requires="x15">
      <x15ac:absPath xmlns:x15ac="http://schemas.microsoft.com/office/spreadsheetml/2010/11/ac" url="G:\Meu Drive\HAOC\UATS - equipe\Artigos\Planilha AIO\Revisão 2\"/>
    </mc:Choice>
  </mc:AlternateContent>
  <xr:revisionPtr revIDLastSave="0" documentId="13_ncr:1_{8CA50A8C-CDF3-493B-8526-677D1F91E42A}" xr6:coauthVersionLast="47" xr6:coauthVersionMax="47" xr10:uidLastSave="{00000000-0000-0000-0000-000000000000}"/>
  <bookViews>
    <workbookView xWindow="-28935" yWindow="-135" windowWidth="29070" windowHeight="15870" tabRatio="825" activeTab="8" xr2:uid="{4EB315A7-D404-4984-8A1B-CFA6B4A28D2D}"/>
  </bookViews>
  <sheets>
    <sheet name="Introduction" sheetId="1" r:id="rId1"/>
    <sheet name="Definitions" sheetId="5" r:id="rId2"/>
    <sheet name="Mkt share" sheetId="3" r:id="rId3"/>
    <sheet name="Population" sheetId="24" r:id="rId4"/>
    <sheet name="Costs" sheetId="4" r:id="rId5"/>
    <sheet name="Time on treatment" sheetId="15" r:id="rId6"/>
    <sheet name="Results" sheetId="11" r:id="rId7"/>
    <sheet name="PSA" sheetId="28" r:id="rId8"/>
    <sheet name="SensibilityAn" sheetId="27" r:id="rId9"/>
    <sheet name="Data" sheetId="26" r:id="rId10"/>
    <sheet name="Calculations" sheetId="9" r:id="rId11"/>
    <sheet name="Calculations2" sheetId="29" r:id="rId12"/>
    <sheet name="Calculations3" sheetId="20" r:id="rId13"/>
    <sheet name="Parameters" sheetId="7" r:id="rId14"/>
    <sheet name="DSA" sheetId="21" r:id="rId15"/>
  </sheets>
  <definedNames>
    <definedName name="_xlnm._FilterDatabase" localSheetId="14" hidden="1">DSA!$H$69:$K$69</definedName>
    <definedName name="_xlnm._FilterDatabase" localSheetId="2" hidden="1">'Mkt share'!$B$21:$P$96</definedName>
    <definedName name="_xlnm._FilterDatabase" localSheetId="5" hidden="1">'Time on treatment'!$C$11:$J$28</definedName>
    <definedName name="_xlchart.v2.0" hidden="1">Population!$C$80:$C$88</definedName>
    <definedName name="_xlchart.v2.1" hidden="1">Population!$J$79</definedName>
    <definedName name="_xlchart.v2.2" hidden="1">Population!$J$80:$J$88</definedName>
    <definedName name="_xleta.AND" hidden="1" xlm="1">#NAME?</definedName>
    <definedName name="_xleta.AVERAGE" hidden="1" xlm="1">#NAME?</definedName>
    <definedName name="_xleta.AVERAGEIF" hidden="1" xlm="1">#NAME?</definedName>
    <definedName name="_xleta.CORREL" hidden="1" xlm="1">#NAME?</definedName>
    <definedName name="_xleta.DATE" hidden="1" xlm="1">#NAME?</definedName>
    <definedName name="_xleta.DISC" hidden="1" xlm="1">#NAME?</definedName>
    <definedName name="_xleta.IF" hidden="1" xlm="1">#NAME?</definedName>
    <definedName name="_xleta.IFERROR" hidden="1" xlm="1">#NAME?</definedName>
    <definedName name="_xleta.NOT" hidden="1" xlm="1">#NAME?</definedName>
    <definedName name="_xleta.OR" hidden="1" xlm="1">#NAME?</definedName>
    <definedName name="_xleta.RATE" hidden="1" xlm="1">#NAME?</definedName>
    <definedName name="_xleta.RSQ" hidden="1" xlm="1">#NAME?</definedName>
    <definedName name="_xleta.SECOND" hidden="1" xlm="1">#NAME?</definedName>
    <definedName name="_xleta.SUM" hidden="1" xlm="1">#NAME?</definedName>
    <definedName name="_xleta.T" hidden="1" xlm="1">#NAME?</definedName>
    <definedName name="_xleta.TIME" hidden="1" xlm="1">#NAME?</definedName>
    <definedName name="_xleta.YEAR" hidden="1" xlm="1">#NAME?</definedName>
    <definedName name="ano_1">'Mkt share'!$E$10</definedName>
    <definedName name="c_inicial">Parameters!$E$56</definedName>
    <definedName name="c_off">Parameters!$E$58</definedName>
    <definedName name="c_on">Parameters!$E$57</definedName>
    <definedName name="ca_comp1">Parameters!$E$46</definedName>
    <definedName name="ca_comp10">Parameters!$E$55</definedName>
    <definedName name="ca_comp2">Parameters!$E$47</definedName>
    <definedName name="ca_comp3">Parameters!$E$48</definedName>
    <definedName name="ca_comp4">Parameters!$E$49</definedName>
    <definedName name="ca_comp5">Parameters!$E$50</definedName>
    <definedName name="ca_comp6">Parameters!$E$51</definedName>
    <definedName name="ca_comp7">Parameters!$E$52</definedName>
    <definedName name="ca_comp8">Parameters!$E$53</definedName>
    <definedName name="ca_comp9">Parameters!$E$54</definedName>
    <definedName name="ca_int1">Parameters!$E$42</definedName>
    <definedName name="ca_int2">Parameters!$E$43</definedName>
    <definedName name="ca_int3">Parameters!$E$44</definedName>
    <definedName name="ca_int4">Parameters!$E$45</definedName>
    <definedName name="calculo">Population!$P$14</definedName>
    <definedName name="cen_atual">Definitions!$E$55</definedName>
    <definedName name="cen_prop1">Definitions!$E$57</definedName>
    <definedName name="cen_prop2">Definitions!$E$58</definedName>
    <definedName name="cen_prop3">Definitions!$E$59</definedName>
    <definedName name="ci_comp1">Parameters!$E$18</definedName>
    <definedName name="ci_comp10">Parameters!$E$27</definedName>
    <definedName name="ci_comp2">Parameters!$E$19</definedName>
    <definedName name="ci_comp3">Parameters!$E$20</definedName>
    <definedName name="ci_comp4">Parameters!$E$21</definedName>
    <definedName name="ci_comp5">Parameters!$E$22</definedName>
    <definedName name="ci_comp6">Parameters!$E$23</definedName>
    <definedName name="ci_comp7">Parameters!$E$24</definedName>
    <definedName name="ci_comp8">Parameters!$E$25</definedName>
    <definedName name="ci_comp9">Parameters!$E$26</definedName>
    <definedName name="ci_int1">Parameters!$E$14</definedName>
    <definedName name="ci_int2">Parameters!$E$15</definedName>
    <definedName name="ci_int3">Parameters!$E$16</definedName>
    <definedName name="ci_int4">Parameters!$E$17</definedName>
    <definedName name="comparador1">Definitions!$E$42</definedName>
    <definedName name="comparador10">Definitions!$E$51</definedName>
    <definedName name="comparador2">Definitions!$E$43</definedName>
    <definedName name="comparador3">Definitions!$E$44</definedName>
    <definedName name="comparador4">Definitions!$E$45</definedName>
    <definedName name="comparador5">Definitions!$E$46</definedName>
    <definedName name="comparador6">Definitions!$E$47</definedName>
    <definedName name="comparador7">Definitions!$E$48</definedName>
    <definedName name="comparador8">Definitions!$E$49</definedName>
    <definedName name="comparador9">Definitions!$E$50</definedName>
    <definedName name="ct_comp1">Parameters!$E$32</definedName>
    <definedName name="ct_comp10">Parameters!$E$41</definedName>
    <definedName name="ct_comp2">Parameters!$E$33</definedName>
    <definedName name="ct_comp3">Parameters!$E$34</definedName>
    <definedName name="ct_comp4">Parameters!$E$35</definedName>
    <definedName name="ct_comp5">Parameters!$E$36</definedName>
    <definedName name="ct_comp6">Parameters!$E$37</definedName>
    <definedName name="ct_comp7">Parameters!$E$38</definedName>
    <definedName name="ct_comp8">Parameters!$E$39</definedName>
    <definedName name="ct_comp9">Parameters!$E$40</definedName>
    <definedName name="ct_int1">Parameters!$E$28</definedName>
    <definedName name="ct_int2">Parameters!$E$29</definedName>
    <definedName name="ct_int3">Parameters!$E$30</definedName>
    <definedName name="ct_int4">Parameters!$E$31</definedName>
    <definedName name="demanda">Population!$E$9</definedName>
    <definedName name="desc_por_ob">'Time on treatment'!$J$54</definedName>
    <definedName name="desc1_1">'Time on treatment'!$R$65</definedName>
    <definedName name="desc1_2">'Time on treatment'!$S$65</definedName>
    <definedName name="desc1_3">'Time on treatment'!$T$65</definedName>
    <definedName name="desc1_4">'Time on treatment'!$U$65</definedName>
    <definedName name="desc10_1">'Time on treatment'!$R$75</definedName>
    <definedName name="desc10_2">'Time on treatment'!$S$75</definedName>
    <definedName name="desc10_3">'Time on treatment'!$T$75</definedName>
    <definedName name="desc10_4">'Time on treatment'!$U$75</definedName>
    <definedName name="desc11_1">'Time on treatment'!$R$76</definedName>
    <definedName name="desc11_2">'Time on treatment'!$S$76</definedName>
    <definedName name="desc11_3">'Time on treatment'!$T$76</definedName>
    <definedName name="desc11_4">'Time on treatment'!$U$76</definedName>
    <definedName name="desc12_1">'Time on treatment'!$R$77</definedName>
    <definedName name="desc12_2">'Time on treatment'!$S$77</definedName>
    <definedName name="desc12_3">'Time on treatment'!$T$77</definedName>
    <definedName name="desc12_4">'Time on treatment'!$U$77</definedName>
    <definedName name="desc13_1">'Time on treatment'!$R$78</definedName>
    <definedName name="desc13_2">'Time on treatment'!$S$78</definedName>
    <definedName name="desc13_3">'Time on treatment'!$T$78</definedName>
    <definedName name="desc13_4">'Time on treatment'!$U$78</definedName>
    <definedName name="desc14_1">'Time on treatment'!$R$79</definedName>
    <definedName name="desc14_2">'Time on treatment'!$S$79</definedName>
    <definedName name="desc14_3">'Time on treatment'!$T$79</definedName>
    <definedName name="desc14_4">'Time on treatment'!$U$79</definedName>
    <definedName name="desc2_1">'Time on treatment'!$R$66</definedName>
    <definedName name="desc2_2">'Time on treatment'!$S$66</definedName>
    <definedName name="desc2_3">'Time on treatment'!$T$66</definedName>
    <definedName name="desc2_4">'Time on treatment'!$U$66</definedName>
    <definedName name="desc3_1">'Time on treatment'!$R$67</definedName>
    <definedName name="desc3_2">'Time on treatment'!$S$67</definedName>
    <definedName name="desc3_3">'Time on treatment'!$T$67</definedName>
    <definedName name="desc3_4">'Time on treatment'!$U$67</definedName>
    <definedName name="desc4_1">'Time on treatment'!$R$68</definedName>
    <definedName name="desc4_2">'Time on treatment'!$S$68</definedName>
    <definedName name="desc4_3">'Time on treatment'!$T$68</definedName>
    <definedName name="desc4_4">'Time on treatment'!$U$68</definedName>
    <definedName name="desc5_1">'Time on treatment'!$R$70</definedName>
    <definedName name="desc5_2">'Time on treatment'!$S$70</definedName>
    <definedName name="desc5_3">'Time on treatment'!$T$70</definedName>
    <definedName name="desc5_4">'Time on treatment'!$U$70</definedName>
    <definedName name="desc6_1">'Time on treatment'!$R$71</definedName>
    <definedName name="desc6_2">'Time on treatment'!$S$71</definedName>
    <definedName name="desc6_3">'Time on treatment'!$T$71</definedName>
    <definedName name="desc6_4">'Time on treatment'!$U$71</definedName>
    <definedName name="desc7_1">'Time on treatment'!$R$72</definedName>
    <definedName name="desc7_2">'Time on treatment'!$S$72</definedName>
    <definedName name="desc7_3">'Time on treatment'!$T$72</definedName>
    <definedName name="desc7_4">'Time on treatment'!$U$72</definedName>
    <definedName name="desc8_1">'Time on treatment'!$R$73</definedName>
    <definedName name="desc8_2">'Time on treatment'!$S$73</definedName>
    <definedName name="desc8_3">'Time on treatment'!$T$73</definedName>
    <definedName name="desc8_4">'Time on treatment'!$U$73</definedName>
    <definedName name="desc9_1">'Time on treatment'!$R$74</definedName>
    <definedName name="desc9_2">'Time on treatment'!$S$74</definedName>
    <definedName name="desc9_3">'Time on treatment'!$T$74</definedName>
    <definedName name="desc9_4">'Time on treatment'!$U$74</definedName>
    <definedName name="descontinua">'Time on treatment'!$H$40</definedName>
    <definedName name="dynamic">Results!$D$13</definedName>
    <definedName name="horizonte">'Mkt share'!$M$8</definedName>
    <definedName name="intervencao1">Definitions!$E$33</definedName>
    <definedName name="intervencao2">Definitions!$E$34</definedName>
    <definedName name="intervencao3">Definitions!$E$35</definedName>
    <definedName name="intervencao4">Definitions!$E$36</definedName>
    <definedName name="line">Population!$E$18</definedName>
    <definedName name="morte">'Time on treatment'!$H$102</definedName>
    <definedName name="n_compar">Definitions!$E$40</definedName>
    <definedName name="n_interv">Definitions!$E$31</definedName>
    <definedName name="ob1_1">'Time on treatment'!$R$113</definedName>
    <definedName name="ob1_2">'Time on treatment'!$S$113</definedName>
    <definedName name="ob1_3">'Time on treatment'!$T$113</definedName>
    <definedName name="ob1_4">'Time on treatment'!$U$113</definedName>
    <definedName name="ob10_1">'Time on treatment'!$R$123</definedName>
    <definedName name="ob10_2">'Time on treatment'!$S$123</definedName>
    <definedName name="ob10_3">'Time on treatment'!$T$123</definedName>
    <definedName name="ob10_4">'Time on treatment'!$U$123</definedName>
    <definedName name="ob11_1">'Time on treatment'!$R$124</definedName>
    <definedName name="ob11_2">'Time on treatment'!$S$124</definedName>
    <definedName name="ob11_3">'Time on treatment'!$T$124</definedName>
    <definedName name="ob11_4">'Time on treatment'!$U$124</definedName>
    <definedName name="ob12_1">'Time on treatment'!$R$125</definedName>
    <definedName name="ob12_2">'Time on treatment'!$S$125</definedName>
    <definedName name="ob12_3">'Time on treatment'!$T$125</definedName>
    <definedName name="ob12_4">'Time on treatment'!$U$125</definedName>
    <definedName name="ob13_1">'Time on treatment'!$R$126</definedName>
    <definedName name="ob13_2">'Time on treatment'!$S$126</definedName>
    <definedName name="ob13_3">'Time on treatment'!$T$126</definedName>
    <definedName name="ob13_4">'Time on treatment'!$U$126</definedName>
    <definedName name="ob14_1">'Time on treatment'!$R$127</definedName>
    <definedName name="ob14_2">'Time on treatment'!$S$127</definedName>
    <definedName name="ob14_3">'Time on treatment'!$T$127</definedName>
    <definedName name="ob14_4">'Time on treatment'!$U$127</definedName>
    <definedName name="ob2_1">'Time on treatment'!$R$114</definedName>
    <definedName name="ob2_2">'Time on treatment'!$S$114</definedName>
    <definedName name="ob2_3">'Time on treatment'!$T$114</definedName>
    <definedName name="ob2_4">'Time on treatment'!$U$114</definedName>
    <definedName name="ob3_1">'Time on treatment'!$R$115</definedName>
    <definedName name="ob3_2">'Time on treatment'!$S$115</definedName>
    <definedName name="ob3_3">'Time on treatment'!$T$115</definedName>
    <definedName name="ob3_4">'Time on treatment'!$U$115</definedName>
    <definedName name="ob4_1">'Time on treatment'!$R$116</definedName>
    <definedName name="ob4_2">'Time on treatment'!$S$116</definedName>
    <definedName name="ob4_3">'Time on treatment'!$T$116</definedName>
    <definedName name="ob4_4">'Time on treatment'!$U$116</definedName>
    <definedName name="ob5_1">'Time on treatment'!$R$118</definedName>
    <definedName name="ob5_2">'Time on treatment'!$S$118</definedName>
    <definedName name="ob5_3">'Time on treatment'!$T$118</definedName>
    <definedName name="ob5_4">'Time on treatment'!$U$118</definedName>
    <definedName name="ob6_1">'Time on treatment'!$R$119</definedName>
    <definedName name="ob6_2">'Time on treatment'!$S$119</definedName>
    <definedName name="ob6_3">'Time on treatment'!$T$119</definedName>
    <definedName name="ob6_4">'Time on treatment'!$U$119</definedName>
    <definedName name="ob7_1">'Time on treatment'!$R$120</definedName>
    <definedName name="ob7_2">'Time on treatment'!$S$120</definedName>
    <definedName name="ob7_3">'Time on treatment'!$T$120</definedName>
    <definedName name="ob7_4">'Time on treatment'!$U$120</definedName>
    <definedName name="ob8_1">'Time on treatment'!$R$121</definedName>
    <definedName name="ob8_2">'Time on treatment'!$S$121</definedName>
    <definedName name="ob8_3">'Time on treatment'!$T$121</definedName>
    <definedName name="ob8_4">'Time on treatment'!$U$121</definedName>
    <definedName name="ob9_1">'Time on treatment'!$R$122</definedName>
    <definedName name="ob9_2">'Time on treatment'!$S$122</definedName>
    <definedName name="ob9_3">'Time on treatment'!$T$122</definedName>
    <definedName name="ob9_4">'Time on treatment'!$U$122</definedName>
    <definedName name="obito">'Time on treatment'!$H$91</definedName>
    <definedName name="populacao">Definitions!$E$27</definedName>
    <definedName name="sexo">Population!#REF!</definedName>
    <definedName name="uso">'Time on treatment'!$H$54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6" i="7" l="1"/>
  <c r="W6" i="7"/>
  <c r="V7" i="7"/>
  <c r="W7" i="7"/>
  <c r="V8" i="7"/>
  <c r="W8" i="7"/>
  <c r="I8" i="7" s="1"/>
  <c r="V9" i="7"/>
  <c r="W9" i="7"/>
  <c r="V10" i="7"/>
  <c r="W10" i="7"/>
  <c r="I10" i="7" s="1"/>
  <c r="V11" i="7"/>
  <c r="W11" i="7"/>
  <c r="V12" i="7"/>
  <c r="W12" i="7"/>
  <c r="V13" i="7"/>
  <c r="W13" i="7"/>
  <c r="I13" i="7" s="1"/>
  <c r="V56" i="7"/>
  <c r="W56" i="7"/>
  <c r="I56" i="7" s="1"/>
  <c r="V57" i="7"/>
  <c r="W57" i="7"/>
  <c r="I57" i="7" s="1"/>
  <c r="V58" i="7"/>
  <c r="W58" i="7"/>
  <c r="I58" i="7" s="1"/>
  <c r="W5" i="7"/>
  <c r="V5" i="7"/>
  <c r="I6" i="7"/>
  <c r="I7" i="7"/>
  <c r="I9" i="7"/>
  <c r="I11" i="7"/>
  <c r="I12" i="7"/>
  <c r="I5" i="7" l="1"/>
  <c r="M8" i="7"/>
  <c r="E8" i="7"/>
  <c r="E9" i="7"/>
  <c r="E10" i="7"/>
  <c r="E11" i="7"/>
  <c r="E12" i="7"/>
  <c r="E13" i="7"/>
  <c r="E56" i="7"/>
  <c r="E57" i="7"/>
  <c r="E58" i="7"/>
  <c r="K7" i="7"/>
  <c r="J7" i="7"/>
  <c r="K6" i="7"/>
  <c r="J6" i="7"/>
  <c r="D82" i="24" l="1"/>
  <c r="D81" i="24"/>
  <c r="G94" i="3"/>
  <c r="F94" i="3"/>
  <c r="E94" i="3"/>
  <c r="D94" i="3"/>
  <c r="C94" i="3"/>
  <c r="G74" i="3"/>
  <c r="F74" i="3"/>
  <c r="E74" i="3"/>
  <c r="D74" i="3"/>
  <c r="C74" i="3"/>
  <c r="G54" i="3"/>
  <c r="F54" i="3"/>
  <c r="E54" i="3"/>
  <c r="D54" i="3"/>
  <c r="C54" i="3"/>
  <c r="E5" i="7" l="1"/>
  <c r="C20" i="7"/>
  <c r="D42" i="24" l="1"/>
  <c r="E84" i="24"/>
  <c r="R15" i="29"/>
  <c r="AH15" i="29" s="1"/>
  <c r="J15" i="29"/>
  <c r="Z15" i="29" s="1"/>
  <c r="DC6" i="29"/>
  <c r="DD6" i="29" s="1"/>
  <c r="DE6" i="29" s="1"/>
  <c r="DF6" i="29" s="1"/>
  <c r="DG6" i="29" s="1"/>
  <c r="CU6" i="29"/>
  <c r="CV6" i="29" s="1"/>
  <c r="CW6" i="29" s="1"/>
  <c r="CX6" i="29" s="1"/>
  <c r="CY6" i="29" s="1"/>
  <c r="CM6" i="29"/>
  <c r="CN6" i="29" s="1"/>
  <c r="CO6" i="29" s="1"/>
  <c r="CP6" i="29" s="1"/>
  <c r="CQ6" i="29" s="1"/>
  <c r="CE6" i="29"/>
  <c r="CF6" i="29" s="1"/>
  <c r="CG6" i="29" s="1"/>
  <c r="CH6" i="29" s="1"/>
  <c r="CI6" i="29" s="1"/>
  <c r="BW6" i="29"/>
  <c r="BX6" i="29" s="1"/>
  <c r="BY6" i="29" s="1"/>
  <c r="BZ6" i="29" s="1"/>
  <c r="CA6" i="29" s="1"/>
  <c r="BO6" i="29"/>
  <c r="BP6" i="29" s="1"/>
  <c r="BQ6" i="29" s="1"/>
  <c r="BR6" i="29" s="1"/>
  <c r="BS6" i="29" s="1"/>
  <c r="BG6" i="29"/>
  <c r="BH6" i="29" s="1"/>
  <c r="BI6" i="29" s="1"/>
  <c r="BJ6" i="29" s="1"/>
  <c r="BK6" i="29" s="1"/>
  <c r="AY6" i="29"/>
  <c r="AZ6" i="29" s="1"/>
  <c r="BA6" i="29" s="1"/>
  <c r="BB6" i="29" s="1"/>
  <c r="BC6" i="29" s="1"/>
  <c r="AQ6" i="29"/>
  <c r="AR6" i="29" s="1"/>
  <c r="AS6" i="29" s="1"/>
  <c r="AT6" i="29" s="1"/>
  <c r="AU6" i="29" s="1"/>
  <c r="AI6" i="29"/>
  <c r="AJ6" i="29" s="1"/>
  <c r="AK6" i="29" s="1"/>
  <c r="AL6" i="29" s="1"/>
  <c r="AM6" i="29" s="1"/>
  <c r="AA6" i="29"/>
  <c r="AB6" i="29" s="1"/>
  <c r="AC6" i="29" s="1"/>
  <c r="AD6" i="29" s="1"/>
  <c r="AE6" i="29" s="1"/>
  <c r="S6" i="29"/>
  <c r="T6" i="29" s="1"/>
  <c r="U6" i="29" s="1"/>
  <c r="V6" i="29" s="1"/>
  <c r="W6" i="29" s="1"/>
  <c r="K6" i="29"/>
  <c r="L6" i="29" s="1"/>
  <c r="M6" i="29" s="1"/>
  <c r="N6" i="29" s="1"/>
  <c r="O6" i="29" s="1"/>
  <c r="C6" i="29"/>
  <c r="D6" i="29" s="1"/>
  <c r="E6" i="29" s="1"/>
  <c r="F6" i="29" s="1"/>
  <c r="G6" i="29" s="1"/>
  <c r="DB52" i="29"/>
  <c r="CT52" i="29"/>
  <c r="CL52" i="29"/>
  <c r="CD52" i="29"/>
  <c r="BV52" i="29"/>
  <c r="BN52" i="29"/>
  <c r="BF52" i="29"/>
  <c r="AX52" i="29"/>
  <c r="AP52" i="29"/>
  <c r="AH52" i="29"/>
  <c r="Z52" i="29"/>
  <c r="R52" i="29"/>
  <c r="J52" i="29"/>
  <c r="B52" i="29"/>
  <c r="DB31" i="29"/>
  <c r="CT31" i="29"/>
  <c r="CL31" i="29"/>
  <c r="CD31" i="29"/>
  <c r="BV31" i="29"/>
  <c r="BN31" i="29"/>
  <c r="BF31" i="29"/>
  <c r="AX31" i="29"/>
  <c r="AP31" i="29"/>
  <c r="AH31" i="29"/>
  <c r="Z31" i="29"/>
  <c r="R31" i="29"/>
  <c r="J31" i="29"/>
  <c r="B31" i="29"/>
  <c r="DC26" i="29"/>
  <c r="DC47" i="29" s="1"/>
  <c r="DC68" i="29" s="1"/>
  <c r="CU26" i="29"/>
  <c r="CU47" i="29" s="1"/>
  <c r="CU68" i="29" s="1"/>
  <c r="CM26" i="29"/>
  <c r="CE26" i="29"/>
  <c r="CE47" i="29" s="1"/>
  <c r="CE68" i="29" s="1"/>
  <c r="BW26" i="29"/>
  <c r="BW47" i="29" s="1"/>
  <c r="BW68" i="29" s="1"/>
  <c r="BO26" i="29"/>
  <c r="BO47" i="29" s="1"/>
  <c r="BO68" i="29" s="1"/>
  <c r="BG26" i="29"/>
  <c r="BG47" i="29" s="1"/>
  <c r="BG68" i="29" s="1"/>
  <c r="AY26" i="29"/>
  <c r="AY47" i="29" s="1"/>
  <c r="AY68" i="29" s="1"/>
  <c r="AQ26" i="29"/>
  <c r="AQ47" i="29" s="1"/>
  <c r="AQ68" i="29" s="1"/>
  <c r="AI26" i="29"/>
  <c r="AI47" i="29" s="1"/>
  <c r="AI68" i="29" s="1"/>
  <c r="AA26" i="29"/>
  <c r="S26" i="29"/>
  <c r="K26" i="29"/>
  <c r="C26" i="29"/>
  <c r="C47" i="29" s="1"/>
  <c r="C68" i="29" s="1"/>
  <c r="DB25" i="29"/>
  <c r="DB46" i="29" s="1"/>
  <c r="DB67" i="29" s="1"/>
  <c r="CT25" i="29"/>
  <c r="CT46" i="29" s="1"/>
  <c r="CT67" i="29" s="1"/>
  <c r="CL25" i="29"/>
  <c r="CL46" i="29" s="1"/>
  <c r="CL67" i="29" s="1"/>
  <c r="CD25" i="29"/>
  <c r="CD46" i="29" s="1"/>
  <c r="CD67" i="29" s="1"/>
  <c r="BV25" i="29"/>
  <c r="BV46" i="29" s="1"/>
  <c r="BV67" i="29" s="1"/>
  <c r="BN25" i="29"/>
  <c r="BN46" i="29" s="1"/>
  <c r="BN67" i="29" s="1"/>
  <c r="BF25" i="29"/>
  <c r="BF46" i="29" s="1"/>
  <c r="BF67" i="29" s="1"/>
  <c r="AX25" i="29"/>
  <c r="AX46" i="29" s="1"/>
  <c r="AX67" i="29" s="1"/>
  <c r="AP25" i="29"/>
  <c r="AP46" i="29" s="1"/>
  <c r="AP67" i="29" s="1"/>
  <c r="AH25" i="29"/>
  <c r="AH46" i="29" s="1"/>
  <c r="AH67" i="29" s="1"/>
  <c r="Z25" i="29"/>
  <c r="Z46" i="29" s="1"/>
  <c r="Z67" i="29" s="1"/>
  <c r="R25" i="29"/>
  <c r="R46" i="29" s="1"/>
  <c r="J25" i="29"/>
  <c r="J46" i="29" s="1"/>
  <c r="J67" i="29" s="1"/>
  <c r="B25" i="29"/>
  <c r="B46" i="29" s="1"/>
  <c r="B67" i="29" s="1"/>
  <c r="DC22" i="29"/>
  <c r="DC43" i="29" s="1"/>
  <c r="DC64" i="29" s="1"/>
  <c r="CU22" i="29"/>
  <c r="CU43" i="29" s="1"/>
  <c r="CU64" i="29" s="1"/>
  <c r="CM22" i="29"/>
  <c r="CM43" i="29" s="1"/>
  <c r="CM64" i="29" s="1"/>
  <c r="CE22" i="29"/>
  <c r="BW22" i="29"/>
  <c r="BW43" i="29" s="1"/>
  <c r="BW64" i="29" s="1"/>
  <c r="BO22" i="29"/>
  <c r="BO43" i="29" s="1"/>
  <c r="BO64" i="29" s="1"/>
  <c r="BG22" i="29"/>
  <c r="BG43" i="29" s="1"/>
  <c r="BG64" i="29" s="1"/>
  <c r="AY22" i="29"/>
  <c r="AY43" i="29" s="1"/>
  <c r="AY64" i="29" s="1"/>
  <c r="AQ22" i="29"/>
  <c r="AQ43" i="29" s="1"/>
  <c r="AQ64" i="29" s="1"/>
  <c r="AI22" i="29"/>
  <c r="AI43" i="29" s="1"/>
  <c r="AI64" i="29" s="1"/>
  <c r="AA22" i="29"/>
  <c r="AB22" i="29" s="1"/>
  <c r="S22" i="29"/>
  <c r="K22" i="29"/>
  <c r="K43" i="29" s="1"/>
  <c r="K64" i="29" s="1"/>
  <c r="C22" i="29"/>
  <c r="C43" i="29" s="1"/>
  <c r="C64" i="29" s="1"/>
  <c r="DB21" i="29"/>
  <c r="DB42" i="29" s="1"/>
  <c r="DB63" i="29" s="1"/>
  <c r="CT21" i="29"/>
  <c r="CT42" i="29" s="1"/>
  <c r="CT63" i="29" s="1"/>
  <c r="CL21" i="29"/>
  <c r="CL42" i="29" s="1"/>
  <c r="CL63" i="29" s="1"/>
  <c r="CD21" i="29"/>
  <c r="CD42" i="29" s="1"/>
  <c r="CD63" i="29" s="1"/>
  <c r="BV21" i="29"/>
  <c r="BV42" i="29" s="1"/>
  <c r="BV63" i="29" s="1"/>
  <c r="BN21" i="29"/>
  <c r="BN42" i="29" s="1"/>
  <c r="BN63" i="29" s="1"/>
  <c r="BF21" i="29"/>
  <c r="BF42" i="29" s="1"/>
  <c r="BF63" i="29" s="1"/>
  <c r="AX21" i="29"/>
  <c r="AX42" i="29" s="1"/>
  <c r="AX63" i="29" s="1"/>
  <c r="AP21" i="29"/>
  <c r="AP42" i="29" s="1"/>
  <c r="AP63" i="29" s="1"/>
  <c r="AH21" i="29"/>
  <c r="AH42" i="29" s="1"/>
  <c r="AH63" i="29" s="1"/>
  <c r="Z21" i="29"/>
  <c r="Z42" i="29" s="1"/>
  <c r="Z63" i="29" s="1"/>
  <c r="R21" i="29"/>
  <c r="R42" i="29" s="1"/>
  <c r="R63" i="29" s="1"/>
  <c r="J21" i="29"/>
  <c r="J42" i="29" s="1"/>
  <c r="J63" i="29" s="1"/>
  <c r="B21" i="29"/>
  <c r="B42" i="29" s="1"/>
  <c r="B63" i="29" s="1"/>
  <c r="DC18" i="29"/>
  <c r="DC39" i="29" s="1"/>
  <c r="DC60" i="29" s="1"/>
  <c r="CU18" i="29"/>
  <c r="CU39" i="29" s="1"/>
  <c r="CU60" i="29" s="1"/>
  <c r="CM18" i="29"/>
  <c r="CM39" i="29" s="1"/>
  <c r="CM60" i="29" s="1"/>
  <c r="CE18" i="29"/>
  <c r="CE39" i="29" s="1"/>
  <c r="CE60" i="29" s="1"/>
  <c r="BW18" i="29"/>
  <c r="BW39" i="29" s="1"/>
  <c r="BW60" i="29" s="1"/>
  <c r="BO18" i="29"/>
  <c r="BO39" i="29" s="1"/>
  <c r="BO60" i="29" s="1"/>
  <c r="BG18" i="29"/>
  <c r="BG39" i="29" s="1"/>
  <c r="BG60" i="29" s="1"/>
  <c r="AY18" i="29"/>
  <c r="AQ18" i="29"/>
  <c r="AQ39" i="29" s="1"/>
  <c r="AQ60" i="29" s="1"/>
  <c r="AI18" i="29"/>
  <c r="AI39" i="29" s="1"/>
  <c r="AI60" i="29" s="1"/>
  <c r="AA18" i="29"/>
  <c r="AA39" i="29" s="1"/>
  <c r="AA60" i="29" s="1"/>
  <c r="S18" i="29"/>
  <c r="S39" i="29" s="1"/>
  <c r="S60" i="29" s="1"/>
  <c r="K18" i="29"/>
  <c r="K39" i="29" s="1"/>
  <c r="K60" i="29" s="1"/>
  <c r="C18" i="29"/>
  <c r="C39" i="29" s="1"/>
  <c r="C60" i="29" s="1"/>
  <c r="DB17" i="29"/>
  <c r="DB38" i="29" s="1"/>
  <c r="DB59" i="29" s="1"/>
  <c r="CT17" i="29"/>
  <c r="CT38" i="29" s="1"/>
  <c r="CT59" i="29" s="1"/>
  <c r="CL17" i="29"/>
  <c r="CL38" i="29" s="1"/>
  <c r="CL59" i="29" s="1"/>
  <c r="CD17" i="29"/>
  <c r="CD38" i="29" s="1"/>
  <c r="CD59" i="29" s="1"/>
  <c r="BV17" i="29"/>
  <c r="BV38" i="29" s="1"/>
  <c r="BV59" i="29" s="1"/>
  <c r="BN17" i="29"/>
  <c r="BN38" i="29" s="1"/>
  <c r="BN59" i="29" s="1"/>
  <c r="BF17" i="29"/>
  <c r="BF38" i="29" s="1"/>
  <c r="BF59" i="29" s="1"/>
  <c r="AX17" i="29"/>
  <c r="AX38" i="29" s="1"/>
  <c r="AX59" i="29" s="1"/>
  <c r="AP17" i="29"/>
  <c r="AP38" i="29" s="1"/>
  <c r="AP59" i="29" s="1"/>
  <c r="AH17" i="29"/>
  <c r="AH38" i="29" s="1"/>
  <c r="AH59" i="29" s="1"/>
  <c r="Z17" i="29"/>
  <c r="Z38" i="29" s="1"/>
  <c r="Z59" i="29" s="1"/>
  <c r="R17" i="29"/>
  <c r="R38" i="29" s="1"/>
  <c r="R59" i="29" s="1"/>
  <c r="J17" i="29"/>
  <c r="J38" i="29" s="1"/>
  <c r="J59" i="29" s="1"/>
  <c r="B17" i="29"/>
  <c r="B38" i="29" s="1"/>
  <c r="B59" i="29" s="1"/>
  <c r="DC14" i="29"/>
  <c r="DC35" i="29" s="1"/>
  <c r="DC56" i="29" s="1"/>
  <c r="CU14" i="29"/>
  <c r="CU35" i="29" s="1"/>
  <c r="CU56" i="29" s="1"/>
  <c r="CM14" i="29"/>
  <c r="CE14" i="29"/>
  <c r="BW14" i="29"/>
  <c r="BO14" i="29"/>
  <c r="BO35" i="29" s="1"/>
  <c r="BO56" i="29" s="1"/>
  <c r="BG14" i="29"/>
  <c r="BG35" i="29" s="1"/>
  <c r="BG56" i="29" s="1"/>
  <c r="AY14" i="29"/>
  <c r="AY35" i="29" s="1"/>
  <c r="AY56" i="29" s="1"/>
  <c r="AQ14" i="29"/>
  <c r="AQ35" i="29" s="1"/>
  <c r="AQ56" i="29" s="1"/>
  <c r="AI14" i="29"/>
  <c r="AI35" i="29" s="1"/>
  <c r="AI56" i="29" s="1"/>
  <c r="AA14" i="29"/>
  <c r="AA35" i="29" s="1"/>
  <c r="AA56" i="29" s="1"/>
  <c r="S14" i="29"/>
  <c r="K14" i="29"/>
  <c r="C14" i="29"/>
  <c r="C35" i="29" s="1"/>
  <c r="C56" i="29" s="1"/>
  <c r="DB13" i="29"/>
  <c r="DB34" i="29" s="1"/>
  <c r="DB55" i="29" s="1"/>
  <c r="CT13" i="29"/>
  <c r="CT34" i="29" s="1"/>
  <c r="CT55" i="29" s="1"/>
  <c r="CL13" i="29"/>
  <c r="CL34" i="29" s="1"/>
  <c r="CL55" i="29" s="1"/>
  <c r="CD13" i="29"/>
  <c r="CD34" i="29" s="1"/>
  <c r="CD55" i="29" s="1"/>
  <c r="BV13" i="29"/>
  <c r="BV34" i="29" s="1"/>
  <c r="BV55" i="29" s="1"/>
  <c r="BN13" i="29"/>
  <c r="BN34" i="29" s="1"/>
  <c r="BN55" i="29" s="1"/>
  <c r="BF13" i="29"/>
  <c r="BF34" i="29" s="1"/>
  <c r="BF55" i="29" s="1"/>
  <c r="AX13" i="29"/>
  <c r="AX34" i="29" s="1"/>
  <c r="AX55" i="29" s="1"/>
  <c r="AP13" i="29"/>
  <c r="AP34" i="29" s="1"/>
  <c r="AP55" i="29" s="1"/>
  <c r="AH13" i="29"/>
  <c r="AH34" i="29" s="1"/>
  <c r="AH55" i="29" s="1"/>
  <c r="Z13" i="29"/>
  <c r="Z34" i="29" s="1"/>
  <c r="Z55" i="29" s="1"/>
  <c r="R13" i="29"/>
  <c r="R34" i="29" s="1"/>
  <c r="R55" i="29" s="1"/>
  <c r="J13" i="29"/>
  <c r="J34" i="29" s="1"/>
  <c r="J55" i="29" s="1"/>
  <c r="B13" i="29"/>
  <c r="B34" i="29" s="1"/>
  <c r="B55" i="29" s="1"/>
  <c r="DB10" i="29"/>
  <c r="CT10" i="29"/>
  <c r="CL10" i="29"/>
  <c r="CD10" i="29"/>
  <c r="BV10" i="29"/>
  <c r="BN10" i="29"/>
  <c r="BF10" i="29"/>
  <c r="AX10" i="29"/>
  <c r="AP10" i="29"/>
  <c r="AH10" i="29"/>
  <c r="Z10" i="29"/>
  <c r="R10" i="29"/>
  <c r="J10" i="29"/>
  <c r="B10" i="29"/>
  <c r="DB5" i="29"/>
  <c r="CT5" i="29"/>
  <c r="CL5" i="29"/>
  <c r="CD5" i="29"/>
  <c r="BV5" i="29"/>
  <c r="BN5" i="29"/>
  <c r="BF5" i="29"/>
  <c r="AX5" i="29"/>
  <c r="AP5" i="29"/>
  <c r="AH5" i="29"/>
  <c r="Z5" i="29"/>
  <c r="R5" i="29"/>
  <c r="J5" i="29"/>
  <c r="B5" i="29"/>
  <c r="S47" i="29" l="1"/>
  <c r="S68" i="29" s="1"/>
  <c r="R67" i="29"/>
  <c r="AZ26" i="29"/>
  <c r="BA26" i="29" s="1"/>
  <c r="BP22" i="29"/>
  <c r="BP43" i="29" s="1"/>
  <c r="BP64" i="29" s="1"/>
  <c r="AZ22" i="29"/>
  <c r="AZ43" i="29" s="1"/>
  <c r="AZ64" i="29" s="1"/>
  <c r="AB14" i="29"/>
  <c r="AB35" i="29" s="1"/>
  <c r="AB56" i="29" s="1"/>
  <c r="DD22" i="29"/>
  <c r="DD43" i="29" s="1"/>
  <c r="DD64" i="29" s="1"/>
  <c r="L18" i="29"/>
  <c r="M18" i="29" s="1"/>
  <c r="BP18" i="29"/>
  <c r="BP39" i="29" s="1"/>
  <c r="BP60" i="29" s="1"/>
  <c r="BP26" i="29"/>
  <c r="BP47" i="29" s="1"/>
  <c r="BP68" i="29" s="1"/>
  <c r="CV14" i="29"/>
  <c r="CV35" i="29" s="1"/>
  <c r="CV56" i="29" s="1"/>
  <c r="AZ14" i="29"/>
  <c r="AZ35" i="29" s="1"/>
  <c r="AZ56" i="29" s="1"/>
  <c r="CF18" i="29"/>
  <c r="CF39" i="29" s="1"/>
  <c r="CF60" i="29" s="1"/>
  <c r="DD14" i="29"/>
  <c r="DD35" i="29" s="1"/>
  <c r="DD56" i="29" s="1"/>
  <c r="BH22" i="29"/>
  <c r="AR14" i="29"/>
  <c r="AR35" i="29" s="1"/>
  <c r="AR56" i="29" s="1"/>
  <c r="CN18" i="29"/>
  <c r="CV22" i="29"/>
  <c r="CV43" i="29" s="1"/>
  <c r="CV64" i="29" s="1"/>
  <c r="D26" i="29"/>
  <c r="AR26" i="29"/>
  <c r="AR47" i="29" s="1"/>
  <c r="AR68" i="29" s="1"/>
  <c r="CV26" i="29"/>
  <c r="D14" i="29"/>
  <c r="D35" i="29" s="1"/>
  <c r="D56" i="29" s="1"/>
  <c r="AB18" i="29"/>
  <c r="AJ22" i="29"/>
  <c r="AJ43" i="29" s="1"/>
  <c r="AJ64" i="29" s="1"/>
  <c r="BX26" i="29"/>
  <c r="T18" i="29"/>
  <c r="T39" i="29" s="1"/>
  <c r="T60" i="29" s="1"/>
  <c r="D18" i="29"/>
  <c r="E18" i="29" s="1"/>
  <c r="CV18" i="29"/>
  <c r="D22" i="29"/>
  <c r="AR22" i="29"/>
  <c r="AS22" i="29" s="1"/>
  <c r="DD26" i="29"/>
  <c r="BH14" i="29"/>
  <c r="AJ18" i="29"/>
  <c r="BX18" i="29"/>
  <c r="BY18" i="29" s="1"/>
  <c r="BH26" i="29"/>
  <c r="BH47" i="29" s="1"/>
  <c r="BH68" i="29" s="1"/>
  <c r="CF26" i="29"/>
  <c r="BP14" i="29"/>
  <c r="AY39" i="29"/>
  <c r="AY60" i="29" s="1"/>
  <c r="AZ18" i="29"/>
  <c r="S43" i="29"/>
  <c r="S64" i="29" s="1"/>
  <c r="T22" i="29"/>
  <c r="CE35" i="29"/>
  <c r="CE56" i="29" s="1"/>
  <c r="CF14" i="29"/>
  <c r="AB43" i="29"/>
  <c r="AB64" i="29" s="1"/>
  <c r="AC22" i="29"/>
  <c r="CE43" i="29"/>
  <c r="CE64" i="29" s="1"/>
  <c r="CF22" i="29"/>
  <c r="K47" i="29"/>
  <c r="K68" i="29" s="1"/>
  <c r="L26" i="29"/>
  <c r="BW35" i="29"/>
  <c r="BW56" i="29" s="1"/>
  <c r="BX14" i="29"/>
  <c r="K35" i="29"/>
  <c r="K56" i="29" s="1"/>
  <c r="L14" i="29"/>
  <c r="CM35" i="29"/>
  <c r="CM56" i="29" s="1"/>
  <c r="CN14" i="29"/>
  <c r="AA47" i="29"/>
  <c r="AA68" i="29" s="1"/>
  <c r="AB26" i="29"/>
  <c r="S35" i="29"/>
  <c r="S56" i="29" s="1"/>
  <c r="T14" i="29"/>
  <c r="AJ14" i="29"/>
  <c r="CM47" i="29"/>
  <c r="CM68" i="29" s="1"/>
  <c r="CN26" i="29"/>
  <c r="AA43" i="29"/>
  <c r="AA64" i="29" s="1"/>
  <c r="AR18" i="29"/>
  <c r="DD18" i="29"/>
  <c r="L22" i="29"/>
  <c r="BX22" i="29"/>
  <c r="T26" i="29"/>
  <c r="T47" i="29" s="1"/>
  <c r="AJ26" i="29"/>
  <c r="BH18" i="29"/>
  <c r="CN22" i="29"/>
  <c r="CW22" i="29" l="1"/>
  <c r="CX22" i="29" s="1"/>
  <c r="DE14" i="29"/>
  <c r="DE35" i="29" s="1"/>
  <c r="DE56" i="29" s="1"/>
  <c r="CW14" i="29"/>
  <c r="CW35" i="29" s="1"/>
  <c r="CW56" i="29" s="1"/>
  <c r="BQ18" i="29"/>
  <c r="CG18" i="29"/>
  <c r="CG39" i="29" s="1"/>
  <c r="CG60" i="29" s="1"/>
  <c r="AZ47" i="29"/>
  <c r="AZ68" i="29" s="1"/>
  <c r="AK22" i="29"/>
  <c r="AL22" i="29" s="1"/>
  <c r="BX39" i="29"/>
  <c r="BX60" i="29" s="1"/>
  <c r="D39" i="29"/>
  <c r="D60" i="29" s="1"/>
  <c r="L39" i="29"/>
  <c r="L60" i="29" s="1"/>
  <c r="BI26" i="29"/>
  <c r="BI47" i="29" s="1"/>
  <c r="BI68" i="29" s="1"/>
  <c r="DE22" i="29"/>
  <c r="DE43" i="29" s="1"/>
  <c r="DE64" i="29" s="1"/>
  <c r="BQ22" i="29"/>
  <c r="BA22" i="29"/>
  <c r="BA43" i="29" s="1"/>
  <c r="BA64" i="29" s="1"/>
  <c r="AR43" i="29"/>
  <c r="AR64" i="29" s="1"/>
  <c r="BQ26" i="29"/>
  <c r="BA14" i="29"/>
  <c r="BA35" i="29" s="1"/>
  <c r="BA56" i="29" s="1"/>
  <c r="U18" i="29"/>
  <c r="U39" i="29" s="1"/>
  <c r="U60" i="29" s="1"/>
  <c r="AC14" i="29"/>
  <c r="AC35" i="29" s="1"/>
  <c r="AC56" i="29" s="1"/>
  <c r="AS14" i="29"/>
  <c r="AS35" i="29" s="1"/>
  <c r="AS56" i="29" s="1"/>
  <c r="AS26" i="29"/>
  <c r="AT26" i="29" s="1"/>
  <c r="DD47" i="29"/>
  <c r="DD68" i="29" s="1"/>
  <c r="DE26" i="29"/>
  <c r="E14" i="29"/>
  <c r="F14" i="29" s="1"/>
  <c r="CF47" i="29"/>
  <c r="CF68" i="29" s="1"/>
  <c r="CG26" i="29"/>
  <c r="BP35" i="29"/>
  <c r="BP56" i="29" s="1"/>
  <c r="BQ14" i="29"/>
  <c r="CV47" i="29"/>
  <c r="CV68" i="29" s="1"/>
  <c r="CW26" i="29"/>
  <c r="CN39" i="29"/>
  <c r="CN60" i="29" s="1"/>
  <c r="CO18" i="29"/>
  <c r="BH43" i="29"/>
  <c r="BH64" i="29" s="1"/>
  <c r="BI22" i="29"/>
  <c r="D43" i="29"/>
  <c r="D64" i="29" s="1"/>
  <c r="E22" i="29"/>
  <c r="AB39" i="29"/>
  <c r="AB60" i="29" s="1"/>
  <c r="AC18" i="29"/>
  <c r="AJ39" i="29"/>
  <c r="AJ60" i="29" s="1"/>
  <c r="AK18" i="29"/>
  <c r="BX47" i="29"/>
  <c r="BX68" i="29" s="1"/>
  <c r="BY26" i="29"/>
  <c r="D47" i="29"/>
  <c r="D68" i="29" s="1"/>
  <c r="E26" i="29"/>
  <c r="BH35" i="29"/>
  <c r="BH56" i="29" s="1"/>
  <c r="BI14" i="29"/>
  <c r="CV39" i="29"/>
  <c r="CV60" i="29" s="1"/>
  <c r="CW18" i="29"/>
  <c r="BH39" i="29"/>
  <c r="BH60" i="29" s="1"/>
  <c r="BI18" i="29"/>
  <c r="BA47" i="29"/>
  <c r="BA68" i="29" s="1"/>
  <c r="BB26" i="29"/>
  <c r="CN43" i="29"/>
  <c r="CN64" i="29" s="1"/>
  <c r="CO22" i="29"/>
  <c r="AS43" i="29"/>
  <c r="AS64" i="29" s="1"/>
  <c r="AT22" i="29"/>
  <c r="L47" i="29"/>
  <c r="L68" i="29" s="1"/>
  <c r="M26" i="29"/>
  <c r="AJ47" i="29"/>
  <c r="AJ68" i="29" s="1"/>
  <c r="AK26" i="29"/>
  <c r="CN47" i="29"/>
  <c r="CN68" i="29" s="1"/>
  <c r="CO26" i="29"/>
  <c r="AB47" i="29"/>
  <c r="AB68" i="29" s="1"/>
  <c r="AC26" i="29"/>
  <c r="CF43" i="29"/>
  <c r="CF64" i="29" s="1"/>
  <c r="CG22" i="29"/>
  <c r="CF35" i="29"/>
  <c r="CF56" i="29" s="1"/>
  <c r="CG14" i="29"/>
  <c r="AZ39" i="29"/>
  <c r="AZ60" i="29" s="1"/>
  <c r="BA18" i="29"/>
  <c r="T68" i="29"/>
  <c r="U26" i="29"/>
  <c r="U47" i="29" s="1"/>
  <c r="CW43" i="29"/>
  <c r="CW64" i="29" s="1"/>
  <c r="M39" i="29"/>
  <c r="M60" i="29" s="1"/>
  <c r="N18" i="29"/>
  <c r="BY22" i="29"/>
  <c r="BX43" i="29"/>
  <c r="BX64" i="29" s="1"/>
  <c r="BY39" i="29"/>
  <c r="BY60" i="29" s="1"/>
  <c r="BZ18" i="29"/>
  <c r="AC43" i="29"/>
  <c r="AC64" i="29" s="1"/>
  <c r="AD22" i="29"/>
  <c r="DD39" i="29"/>
  <c r="DD60" i="29" s="1"/>
  <c r="DE18" i="29"/>
  <c r="AK14" i="29"/>
  <c r="AJ35" i="29"/>
  <c r="AJ56" i="29" s="1"/>
  <c r="CN35" i="29"/>
  <c r="CN56" i="29" s="1"/>
  <c r="CO14" i="29"/>
  <c r="L35" i="29"/>
  <c r="L56" i="29" s="1"/>
  <c r="M14" i="29"/>
  <c r="T35" i="29"/>
  <c r="T56" i="29" s="1"/>
  <c r="U14" i="29"/>
  <c r="BX35" i="29"/>
  <c r="BX56" i="29" s="1"/>
  <c r="BY14" i="29"/>
  <c r="E39" i="29"/>
  <c r="E60" i="29" s="1"/>
  <c r="F18" i="29"/>
  <c r="T43" i="29"/>
  <c r="T64" i="29" s="1"/>
  <c r="U22" i="29"/>
  <c r="L43" i="29"/>
  <c r="L64" i="29" s="1"/>
  <c r="M22" i="29"/>
  <c r="BQ39" i="29"/>
  <c r="BQ60" i="29" s="1"/>
  <c r="BR18" i="29"/>
  <c r="AS18" i="29"/>
  <c r="AR39" i="29"/>
  <c r="AR60" i="29" s="1"/>
  <c r="CH18" i="29" l="1"/>
  <c r="CX14" i="29"/>
  <c r="CY14" i="29" s="1"/>
  <c r="CY35" i="29" s="1"/>
  <c r="CY56" i="29" s="1"/>
  <c r="AK43" i="29"/>
  <c r="AK64" i="29" s="1"/>
  <c r="DF14" i="29"/>
  <c r="DG14" i="29" s="1"/>
  <c r="DG35" i="29" s="1"/>
  <c r="DG56" i="29" s="1"/>
  <c r="AS47" i="29"/>
  <c r="AS68" i="29" s="1"/>
  <c r="BB22" i="29"/>
  <c r="BB43" i="29" s="1"/>
  <c r="BB64" i="29" s="1"/>
  <c r="AT14" i="29"/>
  <c r="AT35" i="29" s="1"/>
  <c r="AT56" i="29" s="1"/>
  <c r="BJ26" i="29"/>
  <c r="BJ47" i="29" s="1"/>
  <c r="BJ68" i="29" s="1"/>
  <c r="DF22" i="29"/>
  <c r="DF43" i="29" s="1"/>
  <c r="DF64" i="29" s="1"/>
  <c r="BR22" i="29"/>
  <c r="BQ43" i="29"/>
  <c r="BQ64" i="29" s="1"/>
  <c r="BB14" i="29"/>
  <c r="BB35" i="29" s="1"/>
  <c r="BB56" i="29" s="1"/>
  <c r="V18" i="29"/>
  <c r="V39" i="29" s="1"/>
  <c r="V60" i="29" s="1"/>
  <c r="E35" i="29"/>
  <c r="E56" i="29" s="1"/>
  <c r="BQ47" i="29"/>
  <c r="BQ68" i="29" s="1"/>
  <c r="BR26" i="29"/>
  <c r="AD14" i="29"/>
  <c r="AD35" i="29" s="1"/>
  <c r="AD56" i="29" s="1"/>
  <c r="BJ14" i="29"/>
  <c r="BI35" i="29"/>
  <c r="BI56" i="29" s="1"/>
  <c r="E47" i="29"/>
  <c r="E68" i="29" s="1"/>
  <c r="F26" i="29"/>
  <c r="E43" i="29"/>
  <c r="E64" i="29" s="1"/>
  <c r="F22" i="29"/>
  <c r="BQ35" i="29"/>
  <c r="BQ56" i="29" s="1"/>
  <c r="BR14" i="29"/>
  <c r="BY47" i="29"/>
  <c r="BY68" i="29" s="1"/>
  <c r="BZ26" i="29"/>
  <c r="BI43" i="29"/>
  <c r="BI64" i="29" s="1"/>
  <c r="BJ22" i="29"/>
  <c r="CG47" i="29"/>
  <c r="CG68" i="29" s="1"/>
  <c r="CH26" i="29"/>
  <c r="CW39" i="29"/>
  <c r="CW60" i="29" s="1"/>
  <c r="CX18" i="29"/>
  <c r="AK39" i="29"/>
  <c r="AK60" i="29" s="1"/>
  <c r="AL18" i="29"/>
  <c r="CO39" i="29"/>
  <c r="CO60" i="29" s="1"/>
  <c r="CP18" i="29"/>
  <c r="DE47" i="29"/>
  <c r="DE68" i="29" s="1"/>
  <c r="DF26" i="29"/>
  <c r="AC39" i="29"/>
  <c r="AC60" i="29" s="1"/>
  <c r="AD18" i="29"/>
  <c r="CW47" i="29"/>
  <c r="CW68" i="29" s="1"/>
  <c r="CX26" i="29"/>
  <c r="CX43" i="29"/>
  <c r="CX64" i="29" s="1"/>
  <c r="CY22" i="29"/>
  <c r="CY43" i="29" s="1"/>
  <c r="CY64" i="29" s="1"/>
  <c r="CO47" i="29"/>
  <c r="CO68" i="29" s="1"/>
  <c r="CP26" i="29"/>
  <c r="BR39" i="29"/>
  <c r="BR60" i="29" s="1"/>
  <c r="BS18" i="29"/>
  <c r="BS39" i="29" s="1"/>
  <c r="BS60" i="29" s="1"/>
  <c r="AT43" i="29"/>
  <c r="AT64" i="29" s="1"/>
  <c r="AU22" i="29"/>
  <c r="AU43" i="29" s="1"/>
  <c r="AU64" i="29" s="1"/>
  <c r="M43" i="29"/>
  <c r="M64" i="29" s="1"/>
  <c r="N22" i="29"/>
  <c r="CO35" i="29"/>
  <c r="CO56" i="29" s="1"/>
  <c r="CP14" i="29"/>
  <c r="AD43" i="29"/>
  <c r="AD64" i="29" s="1"/>
  <c r="AE22" i="29"/>
  <c r="AE43" i="29" s="1"/>
  <c r="AE64" i="29" s="1"/>
  <c r="U35" i="29"/>
  <c r="U56" i="29" s="1"/>
  <c r="V14" i="29"/>
  <c r="CG43" i="29"/>
  <c r="CG64" i="29" s="1"/>
  <c r="CH22" i="29"/>
  <c r="AK35" i="29"/>
  <c r="AK56" i="29" s="1"/>
  <c r="AL14" i="29"/>
  <c r="DE39" i="29"/>
  <c r="DE60" i="29" s="1"/>
  <c r="DF18" i="29"/>
  <c r="AT47" i="29"/>
  <c r="AT68" i="29" s="1"/>
  <c r="AU26" i="29"/>
  <c r="AU47" i="29" s="1"/>
  <c r="AU68" i="29" s="1"/>
  <c r="CO43" i="29"/>
  <c r="CO64" i="29" s="1"/>
  <c r="CP22" i="29"/>
  <c r="AL43" i="29"/>
  <c r="AL64" i="29" s="1"/>
  <c r="AM22" i="29"/>
  <c r="AM43" i="29" s="1"/>
  <c r="AM64" i="29" s="1"/>
  <c r="BY43" i="29"/>
  <c r="BY64" i="29" s="1"/>
  <c r="BZ22" i="29"/>
  <c r="N39" i="29"/>
  <c r="N60" i="29" s="1"/>
  <c r="O18" i="29"/>
  <c r="O39" i="29" s="1"/>
  <c r="O60" i="29" s="1"/>
  <c r="BY35" i="29"/>
  <c r="BY56" i="29" s="1"/>
  <c r="BZ14" i="29"/>
  <c r="F39" i="29"/>
  <c r="F60" i="29" s="1"/>
  <c r="G18" i="29"/>
  <c r="G39" i="29" s="1"/>
  <c r="G60" i="29" s="1"/>
  <c r="AS39" i="29"/>
  <c r="AS60" i="29" s="1"/>
  <c r="AT18" i="29"/>
  <c r="CH39" i="29"/>
  <c r="CH60" i="29" s="1"/>
  <c r="CI18" i="29"/>
  <c r="CI39" i="29" s="1"/>
  <c r="CI60" i="29" s="1"/>
  <c r="U43" i="29"/>
  <c r="U64" i="29" s="1"/>
  <c r="V22" i="29"/>
  <c r="F35" i="29"/>
  <c r="F56" i="29" s="1"/>
  <c r="G14" i="29"/>
  <c r="G35" i="29" s="1"/>
  <c r="G56" i="29" s="1"/>
  <c r="BZ39" i="29"/>
  <c r="BZ60" i="29" s="1"/>
  <c r="CA18" i="29"/>
  <c r="CA39" i="29" s="1"/>
  <c r="CA60" i="29" s="1"/>
  <c r="V26" i="29"/>
  <c r="V47" i="29" s="1"/>
  <c r="U68" i="29"/>
  <c r="AK47" i="29"/>
  <c r="AK68" i="29" s="1"/>
  <c r="AL26" i="29"/>
  <c r="M35" i="29"/>
  <c r="M56" i="29" s="1"/>
  <c r="N14" i="29"/>
  <c r="CG35" i="29"/>
  <c r="CG56" i="29" s="1"/>
  <c r="CH14" i="29"/>
  <c r="BB47" i="29"/>
  <c r="BB68" i="29" s="1"/>
  <c r="BC26" i="29"/>
  <c r="BC47" i="29" s="1"/>
  <c r="BC68" i="29" s="1"/>
  <c r="BI39" i="29"/>
  <c r="BI60" i="29" s="1"/>
  <c r="BJ18" i="29"/>
  <c r="AC47" i="29"/>
  <c r="AC68" i="29" s="1"/>
  <c r="AD26" i="29"/>
  <c r="CX35" i="29"/>
  <c r="CX56" i="29" s="1"/>
  <c r="BA39" i="29"/>
  <c r="BA60" i="29" s="1"/>
  <c r="BB18" i="29"/>
  <c r="M47" i="29"/>
  <c r="M68" i="29" s="1"/>
  <c r="N26" i="29"/>
  <c r="DF35" i="29" l="1"/>
  <c r="DF56" i="29" s="1"/>
  <c r="DG22" i="29"/>
  <c r="DG43" i="29" s="1"/>
  <c r="DG64" i="29" s="1"/>
  <c r="AU14" i="29"/>
  <c r="AU35" i="29" s="1"/>
  <c r="AU56" i="29" s="1"/>
  <c r="BC14" i="29"/>
  <c r="BC35" i="29" s="1"/>
  <c r="BC56" i="29" s="1"/>
  <c r="BC22" i="29"/>
  <c r="BC43" i="29" s="1"/>
  <c r="BC64" i="29" s="1"/>
  <c r="BK26" i="29"/>
  <c r="BK47" i="29" s="1"/>
  <c r="BK68" i="29" s="1"/>
  <c r="BR43" i="29"/>
  <c r="BR64" i="29" s="1"/>
  <c r="BS22" i="29"/>
  <c r="BS43" i="29" s="1"/>
  <c r="BS64" i="29" s="1"/>
  <c r="W18" i="29"/>
  <c r="W39" i="29" s="1"/>
  <c r="W60" i="29" s="1"/>
  <c r="BR47" i="29"/>
  <c r="BR68" i="29" s="1"/>
  <c r="BS26" i="29"/>
  <c r="BS47" i="29" s="1"/>
  <c r="BS68" i="29" s="1"/>
  <c r="AE14" i="29"/>
  <c r="AE35" i="29" s="1"/>
  <c r="AE56" i="29" s="1"/>
  <c r="BK14" i="29"/>
  <c r="BK35" i="29" s="1"/>
  <c r="BK56" i="29" s="1"/>
  <c r="BJ35" i="29"/>
  <c r="BJ56" i="29" s="1"/>
  <c r="AD39" i="29"/>
  <c r="AD60" i="29" s="1"/>
  <c r="AE18" i="29"/>
  <c r="AE39" i="29" s="1"/>
  <c r="AE60" i="29" s="1"/>
  <c r="CY18" i="29"/>
  <c r="CY39" i="29" s="1"/>
  <c r="CY60" i="29" s="1"/>
  <c r="CX39" i="29"/>
  <c r="CX60" i="29" s="1"/>
  <c r="BR35" i="29"/>
  <c r="BR56" i="29" s="1"/>
  <c r="BS14" i="29"/>
  <c r="BS35" i="29" s="1"/>
  <c r="BS56" i="29" s="1"/>
  <c r="AM18" i="29"/>
  <c r="AM39" i="29" s="1"/>
  <c r="AM60" i="29" s="1"/>
  <c r="AL39" i="29"/>
  <c r="AL60" i="29" s="1"/>
  <c r="DF47" i="29"/>
  <c r="DF68" i="29" s="1"/>
  <c r="DG26" i="29"/>
  <c r="DG47" i="29" s="1"/>
  <c r="DG68" i="29" s="1"/>
  <c r="CH47" i="29"/>
  <c r="CH68" i="29" s="1"/>
  <c r="CI26" i="29"/>
  <c r="CI47" i="29" s="1"/>
  <c r="CI68" i="29" s="1"/>
  <c r="F43" i="29"/>
  <c r="F64" i="29" s="1"/>
  <c r="G22" i="29"/>
  <c r="G43" i="29" s="1"/>
  <c r="G64" i="29" s="1"/>
  <c r="CX47" i="29"/>
  <c r="CX68" i="29" s="1"/>
  <c r="CY26" i="29"/>
  <c r="CY47" i="29" s="1"/>
  <c r="CY68" i="29" s="1"/>
  <c r="BZ47" i="29"/>
  <c r="BZ68" i="29" s="1"/>
  <c r="CA26" i="29"/>
  <c r="CA47" i="29" s="1"/>
  <c r="CA68" i="29" s="1"/>
  <c r="CQ18" i="29"/>
  <c r="CQ39" i="29" s="1"/>
  <c r="CQ60" i="29" s="1"/>
  <c r="CP39" i="29"/>
  <c r="CP60" i="29" s="1"/>
  <c r="BK22" i="29"/>
  <c r="BK43" i="29" s="1"/>
  <c r="BK64" i="29" s="1"/>
  <c r="BJ43" i="29"/>
  <c r="BJ64" i="29" s="1"/>
  <c r="F47" i="29"/>
  <c r="F68" i="29" s="1"/>
  <c r="G26" i="29"/>
  <c r="G47" i="29" s="1"/>
  <c r="G68" i="29" s="1"/>
  <c r="BJ39" i="29"/>
  <c r="BJ60" i="29" s="1"/>
  <c r="BK18" i="29"/>
  <c r="BK39" i="29" s="1"/>
  <c r="BK60" i="29" s="1"/>
  <c r="W14" i="29"/>
  <c r="W35" i="29" s="1"/>
  <c r="W56" i="29" s="1"/>
  <c r="V35" i="29"/>
  <c r="V56" i="29" s="1"/>
  <c r="N43" i="29"/>
  <c r="N64" i="29" s="1"/>
  <c r="O22" i="29"/>
  <c r="O43" i="29" s="1"/>
  <c r="O64" i="29" s="1"/>
  <c r="CP47" i="29"/>
  <c r="CP68" i="29" s="1"/>
  <c r="CQ26" i="29"/>
  <c r="CQ47" i="29" s="1"/>
  <c r="CQ68" i="29" s="1"/>
  <c r="BB39" i="29"/>
  <c r="BB60" i="29" s="1"/>
  <c r="BC18" i="29"/>
  <c r="BC39" i="29" s="1"/>
  <c r="BC60" i="29" s="1"/>
  <c r="CP35" i="29"/>
  <c r="CP56" i="29" s="1"/>
  <c r="CQ14" i="29"/>
  <c r="CQ35" i="29" s="1"/>
  <c r="CQ56" i="29" s="1"/>
  <c r="AL47" i="29"/>
  <c r="AL68" i="29" s="1"/>
  <c r="AM26" i="29"/>
  <c r="AM47" i="29" s="1"/>
  <c r="AM68" i="29" s="1"/>
  <c r="CP43" i="29"/>
  <c r="CP64" i="29" s="1"/>
  <c r="CQ22" i="29"/>
  <c r="CQ43" i="29" s="1"/>
  <c r="CQ64" i="29" s="1"/>
  <c r="AT39" i="29"/>
  <c r="AT60" i="29" s="1"/>
  <c r="AU18" i="29"/>
  <c r="AU39" i="29" s="1"/>
  <c r="AU60" i="29" s="1"/>
  <c r="CH43" i="29"/>
  <c r="CH64" i="29" s="1"/>
  <c r="CI22" i="29"/>
  <c r="CI43" i="29" s="1"/>
  <c r="CI64" i="29" s="1"/>
  <c r="CH35" i="29"/>
  <c r="CH56" i="29" s="1"/>
  <c r="CI14" i="29"/>
  <c r="CI35" i="29" s="1"/>
  <c r="CI56" i="29" s="1"/>
  <c r="BZ43" i="29"/>
  <c r="BZ64" i="29" s="1"/>
  <c r="CA22" i="29"/>
  <c r="CA43" i="29" s="1"/>
  <c r="CA64" i="29" s="1"/>
  <c r="N47" i="29"/>
  <c r="N68" i="29" s="1"/>
  <c r="O26" i="29"/>
  <c r="O47" i="29" s="1"/>
  <c r="O68" i="29" s="1"/>
  <c r="AD47" i="29"/>
  <c r="AD68" i="29" s="1"/>
  <c r="AE26" i="29"/>
  <c r="AE47" i="29" s="1"/>
  <c r="AE68" i="29" s="1"/>
  <c r="N35" i="29"/>
  <c r="N56" i="29" s="1"/>
  <c r="O14" i="29"/>
  <c r="O35" i="29" s="1"/>
  <c r="O56" i="29" s="1"/>
  <c r="V43" i="29"/>
  <c r="V64" i="29" s="1"/>
  <c r="W22" i="29"/>
  <c r="W43" i="29" s="1"/>
  <c r="W64" i="29" s="1"/>
  <c r="BZ35" i="29"/>
  <c r="BZ56" i="29" s="1"/>
  <c r="CA14" i="29"/>
  <c r="CA35" i="29" s="1"/>
  <c r="CA56" i="29" s="1"/>
  <c r="DF39" i="29"/>
  <c r="DF60" i="29" s="1"/>
  <c r="DG18" i="29"/>
  <c r="DG39" i="29" s="1"/>
  <c r="DG60" i="29" s="1"/>
  <c r="AL35" i="29"/>
  <c r="AL56" i="29" s="1"/>
  <c r="AM14" i="29"/>
  <c r="AM35" i="29" s="1"/>
  <c r="AM56" i="29" s="1"/>
  <c r="V68" i="29"/>
  <c r="W26" i="29"/>
  <c r="W47" i="29" l="1"/>
  <c r="W68" i="29" s="1"/>
  <c r="F6" i="7" l="1"/>
  <c r="F7" i="7"/>
  <c r="F8" i="7"/>
  <c r="F9" i="7"/>
  <c r="F10" i="7"/>
  <c r="F11" i="7"/>
  <c r="F12" i="7"/>
  <c r="F13" i="7"/>
  <c r="F56" i="7"/>
  <c r="F57" i="7"/>
  <c r="F58" i="7"/>
  <c r="C6" i="7"/>
  <c r="M5" i="7" l="1"/>
  <c r="M56" i="7"/>
  <c r="G56" i="7" s="1"/>
  <c r="N56" i="7"/>
  <c r="M10" i="7"/>
  <c r="M12" i="7"/>
  <c r="M9" i="7"/>
  <c r="M13" i="7"/>
  <c r="M7" i="7"/>
  <c r="M11" i="7"/>
  <c r="AR7" i="28"/>
  <c r="AY39" i="28"/>
  <c r="BF39" i="28" s="1"/>
  <c r="AY47" i="28"/>
  <c r="BF47" i="28" s="1"/>
  <c r="AY63" i="28"/>
  <c r="BF63" i="28" s="1"/>
  <c r="AY71" i="28"/>
  <c r="BF71" i="28" s="1"/>
  <c r="AY79" i="28"/>
  <c r="BF79" i="28" s="1"/>
  <c r="AY95" i="28"/>
  <c r="BF95" i="28" s="1"/>
  <c r="AY103" i="28"/>
  <c r="BF103" i="28" s="1"/>
  <c r="AY111" i="28"/>
  <c r="BF111" i="28" s="1"/>
  <c r="AY119" i="28"/>
  <c r="BF119" i="28" s="1"/>
  <c r="AY127" i="28"/>
  <c r="BF127" i="28" s="1"/>
  <c r="AY135" i="28"/>
  <c r="BF135" i="28" s="1"/>
  <c r="AY143" i="28"/>
  <c r="BF143" i="28" s="1"/>
  <c r="AY151" i="28"/>
  <c r="BF151" i="28" s="1"/>
  <c r="AY167" i="28"/>
  <c r="BF167" i="28" s="1"/>
  <c r="AY175" i="28"/>
  <c r="BF175" i="28" s="1"/>
  <c r="AY183" i="28"/>
  <c r="BF183" i="28" s="1"/>
  <c r="AY199" i="28"/>
  <c r="BF199" i="28" s="1"/>
  <c r="AY207" i="28"/>
  <c r="BF207" i="28" s="1"/>
  <c r="AY215" i="28"/>
  <c r="BF215" i="28" s="1"/>
  <c r="AY223" i="28"/>
  <c r="BF223" i="28" s="1"/>
  <c r="AY231" i="28"/>
  <c r="BF231" i="28" s="1"/>
  <c r="AY239" i="28"/>
  <c r="BF239" i="28" s="1"/>
  <c r="AY255" i="28"/>
  <c r="BF255" i="28" s="1"/>
  <c r="AY271" i="28"/>
  <c r="BF271" i="28" s="1"/>
  <c r="AY279" i="28"/>
  <c r="BF279" i="28" s="1"/>
  <c r="AY280" i="28"/>
  <c r="BF280" i="28" s="1"/>
  <c r="AY287" i="28"/>
  <c r="BF287" i="28" s="1"/>
  <c r="AY311" i="28"/>
  <c r="BF311" i="28" s="1"/>
  <c r="AY319" i="28"/>
  <c r="BF319" i="28" s="1"/>
  <c r="AY327" i="28"/>
  <c r="BF327" i="28" s="1"/>
  <c r="AY335" i="28"/>
  <c r="BF335" i="28" s="1"/>
  <c r="AY343" i="28"/>
  <c r="BF343" i="28" s="1"/>
  <c r="AY359" i="28"/>
  <c r="BF359" i="28" s="1"/>
  <c r="AY367" i="28"/>
  <c r="BF367" i="28" s="1"/>
  <c r="AY375" i="28"/>
  <c r="BF375" i="28" s="1"/>
  <c r="AY383" i="28"/>
  <c r="BF383" i="28" s="1"/>
  <c r="AY391" i="28"/>
  <c r="BF391" i="28" s="1"/>
  <c r="AY399" i="28"/>
  <c r="BF399" i="28" s="1"/>
  <c r="AY407" i="28"/>
  <c r="BF407" i="28" s="1"/>
  <c r="AY415" i="28"/>
  <c r="BF415" i="28" s="1"/>
  <c r="AY423" i="28"/>
  <c r="BF423" i="28" s="1"/>
  <c r="AY431" i="28"/>
  <c r="BF431" i="28" s="1"/>
  <c r="AY439" i="28"/>
  <c r="BF439" i="28" s="1"/>
  <c r="AY447" i="28"/>
  <c r="BF447" i="28" s="1"/>
  <c r="AY455" i="28"/>
  <c r="BF455" i="28" s="1"/>
  <c r="AY463" i="28"/>
  <c r="BF463" i="28" s="1"/>
  <c r="AY471" i="28"/>
  <c r="BF471" i="28" s="1"/>
  <c r="AY479" i="28"/>
  <c r="BF479" i="28" s="1"/>
  <c r="AY487" i="28"/>
  <c r="BF487" i="28" s="1"/>
  <c r="AY495" i="28"/>
  <c r="BF495" i="28" s="1"/>
  <c r="AY503" i="28"/>
  <c r="BF503" i="28" s="1"/>
  <c r="AY511" i="28"/>
  <c r="BF511" i="28" s="1"/>
  <c r="AY527" i="28"/>
  <c r="BF527" i="28" s="1"/>
  <c r="AY535" i="28"/>
  <c r="BF535" i="28" s="1"/>
  <c r="AY559" i="28"/>
  <c r="BF559" i="28" s="1"/>
  <c r="AY575" i="28"/>
  <c r="BF575" i="28" s="1"/>
  <c r="AY583" i="28"/>
  <c r="BF583" i="28" s="1"/>
  <c r="AY599" i="28"/>
  <c r="BF599" i="28" s="1"/>
  <c r="AY607" i="28"/>
  <c r="BF607" i="28" s="1"/>
  <c r="AY615" i="28"/>
  <c r="BF615" i="28" s="1"/>
  <c r="AY623" i="28"/>
  <c r="BF623" i="28" s="1"/>
  <c r="AY631" i="28"/>
  <c r="BF631" i="28" s="1"/>
  <c r="AY639" i="28"/>
  <c r="BF639" i="28" s="1"/>
  <c r="AY655" i="28"/>
  <c r="BF655" i="28" s="1"/>
  <c r="AY663" i="28"/>
  <c r="BF663" i="28" s="1"/>
  <c r="AY671" i="28"/>
  <c r="BF671" i="28" s="1"/>
  <c r="AY687" i="28"/>
  <c r="BF687" i="28" s="1"/>
  <c r="AY695" i="28"/>
  <c r="BF695" i="28" s="1"/>
  <c r="AY711" i="28"/>
  <c r="BF711" i="28" s="1"/>
  <c r="AY727" i="28"/>
  <c r="BF727" i="28" s="1"/>
  <c r="AY735" i="28"/>
  <c r="BF735" i="28" s="1"/>
  <c r="AY743" i="28"/>
  <c r="BF743" i="28" s="1"/>
  <c r="AY751" i="28"/>
  <c r="BF751" i="28" s="1"/>
  <c r="AY759" i="28"/>
  <c r="BF759" i="28" s="1"/>
  <c r="AY767" i="28"/>
  <c r="BF767" i="28" s="1"/>
  <c r="AY775" i="28"/>
  <c r="BF775" i="28" s="1"/>
  <c r="AY783" i="28"/>
  <c r="BF783" i="28" s="1"/>
  <c r="AY799" i="28"/>
  <c r="BF799" i="28" s="1"/>
  <c r="AY807" i="28"/>
  <c r="BF807" i="28" s="1"/>
  <c r="AY831" i="28"/>
  <c r="BF831" i="28" s="1"/>
  <c r="AY839" i="28"/>
  <c r="BF839" i="28" s="1"/>
  <c r="AY855" i="28"/>
  <c r="BF855" i="28" s="1"/>
  <c r="AY863" i="28"/>
  <c r="BF863" i="28" s="1"/>
  <c r="AY879" i="28"/>
  <c r="BF879" i="28" s="1"/>
  <c r="AY887" i="28"/>
  <c r="BF887" i="28" s="1"/>
  <c r="AY903" i="28"/>
  <c r="BF903" i="28" s="1"/>
  <c r="AY935" i="28"/>
  <c r="BF935" i="28" s="1"/>
  <c r="AY951" i="28"/>
  <c r="BF951" i="28" s="1"/>
  <c r="AY959" i="28"/>
  <c r="BF959" i="28" s="1"/>
  <c r="AY967" i="28"/>
  <c r="BF967" i="28" s="1"/>
  <c r="AY975" i="28"/>
  <c r="BF975" i="28" s="1"/>
  <c r="AY983" i="28"/>
  <c r="BF983" i="28" s="1"/>
  <c r="AY991" i="28"/>
  <c r="BF991" i="28" s="1"/>
  <c r="AY999" i="28"/>
  <c r="BF999" i="28" s="1"/>
  <c r="AY1007" i="28"/>
  <c r="BF1007" i="28" s="1"/>
  <c r="V16" i="28"/>
  <c r="AC16" i="28" s="1"/>
  <c r="V24" i="28"/>
  <c r="AC24" i="28" s="1"/>
  <c r="V32" i="28"/>
  <c r="AC32" i="28" s="1"/>
  <c r="V40" i="28"/>
  <c r="AC40" i="28" s="1"/>
  <c r="V48" i="28"/>
  <c r="AC48" i="28" s="1"/>
  <c r="V56" i="28"/>
  <c r="AC56" i="28" s="1"/>
  <c r="V64" i="28"/>
  <c r="AC64" i="28" s="1"/>
  <c r="V72" i="28"/>
  <c r="AC72" i="28" s="1"/>
  <c r="V80" i="28"/>
  <c r="AC80" i="28" s="1"/>
  <c r="V88" i="28"/>
  <c r="AC88" i="28" s="1"/>
  <c r="V96" i="28"/>
  <c r="AC96" i="28" s="1"/>
  <c r="V104" i="28"/>
  <c r="AC104" i="28" s="1"/>
  <c r="V112" i="28"/>
  <c r="AC112" i="28" s="1"/>
  <c r="V120" i="28"/>
  <c r="AC120" i="28" s="1"/>
  <c r="V128" i="28"/>
  <c r="AC128" i="28" s="1"/>
  <c r="V136" i="28"/>
  <c r="AC136" i="28" s="1"/>
  <c r="V144" i="28"/>
  <c r="AC144" i="28" s="1"/>
  <c r="V152" i="28"/>
  <c r="AC152" i="28" s="1"/>
  <c r="V160" i="28"/>
  <c r="AC160" i="28" s="1"/>
  <c r="V168" i="28"/>
  <c r="AC168" i="28" s="1"/>
  <c r="V176" i="28"/>
  <c r="AC176" i="28" s="1"/>
  <c r="V184" i="28"/>
  <c r="AC184" i="28" s="1"/>
  <c r="V192" i="28"/>
  <c r="AC192" i="28" s="1"/>
  <c r="V200" i="28"/>
  <c r="AC200" i="28" s="1"/>
  <c r="V208" i="28"/>
  <c r="AC208" i="28" s="1"/>
  <c r="V216" i="28"/>
  <c r="AC216" i="28" s="1"/>
  <c r="V224" i="28"/>
  <c r="AC224" i="28" s="1"/>
  <c r="V232" i="28"/>
  <c r="AC232" i="28" s="1"/>
  <c r="V240" i="28"/>
  <c r="AC240" i="28" s="1"/>
  <c r="V248" i="28"/>
  <c r="AC248" i="28" s="1"/>
  <c r="V256" i="28"/>
  <c r="AC256" i="28" s="1"/>
  <c r="V264" i="28"/>
  <c r="AC264" i="28" s="1"/>
  <c r="V272" i="28"/>
  <c r="AC272" i="28" s="1"/>
  <c r="V280" i="28"/>
  <c r="AC280" i="28" s="1"/>
  <c r="V288" i="28"/>
  <c r="AC288" i="28" s="1"/>
  <c r="V296" i="28"/>
  <c r="AC296" i="28" s="1"/>
  <c r="V304" i="28"/>
  <c r="AC304" i="28" s="1"/>
  <c r="V312" i="28"/>
  <c r="AC312" i="28" s="1"/>
  <c r="V320" i="28"/>
  <c r="AC320" i="28" s="1"/>
  <c r="V328" i="28"/>
  <c r="AC328" i="28" s="1"/>
  <c r="V336" i="28"/>
  <c r="AC336" i="28" s="1"/>
  <c r="V344" i="28"/>
  <c r="AC344" i="28" s="1"/>
  <c r="V352" i="28"/>
  <c r="AC352" i="28" s="1"/>
  <c r="V360" i="28"/>
  <c r="AC360" i="28" s="1"/>
  <c r="V368" i="28"/>
  <c r="AC368" i="28" s="1"/>
  <c r="V376" i="28"/>
  <c r="AC376" i="28" s="1"/>
  <c r="V384" i="28"/>
  <c r="AC384" i="28" s="1"/>
  <c r="V392" i="28"/>
  <c r="AC392" i="28" s="1"/>
  <c r="V400" i="28"/>
  <c r="AC400" i="28" s="1"/>
  <c r="V408" i="28"/>
  <c r="AC408" i="28" s="1"/>
  <c r="V416" i="28"/>
  <c r="AC416" i="28" s="1"/>
  <c r="V424" i="28"/>
  <c r="AC424" i="28" s="1"/>
  <c r="V432" i="28"/>
  <c r="AC432" i="28" s="1"/>
  <c r="V440" i="28"/>
  <c r="AC440" i="28" s="1"/>
  <c r="V448" i="28"/>
  <c r="AC448" i="28" s="1"/>
  <c r="V456" i="28"/>
  <c r="AC456" i="28" s="1"/>
  <c r="V464" i="28"/>
  <c r="AC464" i="28" s="1"/>
  <c r="V472" i="28"/>
  <c r="AC472" i="28" s="1"/>
  <c r="V480" i="28"/>
  <c r="AC480" i="28" s="1"/>
  <c r="V488" i="28"/>
  <c r="AC488" i="28" s="1"/>
  <c r="V496" i="28"/>
  <c r="AC496" i="28" s="1"/>
  <c r="V504" i="28"/>
  <c r="AC504" i="28" s="1"/>
  <c r="V512" i="28"/>
  <c r="AC512" i="28" s="1"/>
  <c r="V520" i="28"/>
  <c r="AC520" i="28" s="1"/>
  <c r="V528" i="28"/>
  <c r="AC528" i="28" s="1"/>
  <c r="V536" i="28"/>
  <c r="AC536" i="28" s="1"/>
  <c r="V544" i="28"/>
  <c r="AC544" i="28" s="1"/>
  <c r="V552" i="28"/>
  <c r="AC552" i="28" s="1"/>
  <c r="V560" i="28"/>
  <c r="AC560" i="28" s="1"/>
  <c r="V568" i="28"/>
  <c r="AC568" i="28" s="1"/>
  <c r="V576" i="28"/>
  <c r="AC576" i="28" s="1"/>
  <c r="V584" i="28"/>
  <c r="AC584" i="28" s="1"/>
  <c r="V592" i="28"/>
  <c r="AC592" i="28" s="1"/>
  <c r="V600" i="28"/>
  <c r="AC600" i="28" s="1"/>
  <c r="V608" i="28"/>
  <c r="AC608" i="28" s="1"/>
  <c r="V616" i="28"/>
  <c r="AC616" i="28" s="1"/>
  <c r="V624" i="28"/>
  <c r="AC624" i="28" s="1"/>
  <c r="V632" i="28"/>
  <c r="AC632" i="28" s="1"/>
  <c r="V640" i="28"/>
  <c r="AC640" i="28" s="1"/>
  <c r="V648" i="28"/>
  <c r="AC648" i="28" s="1"/>
  <c r="V656" i="28"/>
  <c r="AC656" i="28" s="1"/>
  <c r="V664" i="28"/>
  <c r="AC664" i="28" s="1"/>
  <c r="V672" i="28"/>
  <c r="AC672" i="28" s="1"/>
  <c r="V680" i="28"/>
  <c r="AC680" i="28" s="1"/>
  <c r="V688" i="28"/>
  <c r="AC688" i="28" s="1"/>
  <c r="V696" i="28"/>
  <c r="AC696" i="28" s="1"/>
  <c r="V704" i="28"/>
  <c r="AC704" i="28" s="1"/>
  <c r="V712" i="28"/>
  <c r="AC712" i="28" s="1"/>
  <c r="V720" i="28"/>
  <c r="AC720" i="28" s="1"/>
  <c r="V728" i="28"/>
  <c r="AC728" i="28" s="1"/>
  <c r="V736" i="28"/>
  <c r="AC736" i="28" s="1"/>
  <c r="V744" i="28"/>
  <c r="AC744" i="28" s="1"/>
  <c r="V752" i="28"/>
  <c r="AC752" i="28" s="1"/>
  <c r="V760" i="28"/>
  <c r="AC760" i="28" s="1"/>
  <c r="V768" i="28"/>
  <c r="AC768" i="28" s="1"/>
  <c r="V776" i="28"/>
  <c r="AC776" i="28" s="1"/>
  <c r="V784" i="28"/>
  <c r="AC784" i="28" s="1"/>
  <c r="V792" i="28"/>
  <c r="AC792" i="28" s="1"/>
  <c r="V800" i="28"/>
  <c r="AC800" i="28" s="1"/>
  <c r="V808" i="28"/>
  <c r="AC808" i="28" s="1"/>
  <c r="V816" i="28"/>
  <c r="AC816" i="28" s="1"/>
  <c r="V824" i="28"/>
  <c r="AC824" i="28" s="1"/>
  <c r="V832" i="28"/>
  <c r="AC832" i="28" s="1"/>
  <c r="V840" i="28"/>
  <c r="AC840" i="28" s="1"/>
  <c r="V848" i="28"/>
  <c r="AC848" i="28" s="1"/>
  <c r="V856" i="28"/>
  <c r="AC856" i="28" s="1"/>
  <c r="V864" i="28"/>
  <c r="AC864" i="28" s="1"/>
  <c r="V872" i="28"/>
  <c r="AC872" i="28" s="1"/>
  <c r="V880" i="28"/>
  <c r="AC880" i="28" s="1"/>
  <c r="V888" i="28"/>
  <c r="AC888" i="28" s="1"/>
  <c r="V896" i="28"/>
  <c r="AC896" i="28" s="1"/>
  <c r="V904" i="28"/>
  <c r="AC904" i="28" s="1"/>
  <c r="V912" i="28"/>
  <c r="AC912" i="28" s="1"/>
  <c r="V920" i="28"/>
  <c r="AC920" i="28" s="1"/>
  <c r="V928" i="28"/>
  <c r="AC928" i="28" s="1"/>
  <c r="V936" i="28"/>
  <c r="AC936" i="28" s="1"/>
  <c r="V944" i="28"/>
  <c r="AC944" i="28" s="1"/>
  <c r="V952" i="28"/>
  <c r="AC952" i="28" s="1"/>
  <c r="V960" i="28"/>
  <c r="AC960" i="28" s="1"/>
  <c r="V968" i="28"/>
  <c r="AC968" i="28" s="1"/>
  <c r="V976" i="28"/>
  <c r="AC976" i="28" s="1"/>
  <c r="V984" i="28"/>
  <c r="AC984" i="28" s="1"/>
  <c r="V992" i="28"/>
  <c r="AC992" i="28" s="1"/>
  <c r="V1000" i="28"/>
  <c r="AC1000" i="28" s="1"/>
  <c r="V1008" i="28"/>
  <c r="AC1008" i="28" s="1"/>
  <c r="AY24" i="28"/>
  <c r="BF24" i="28" s="1"/>
  <c r="AY32" i="28"/>
  <c r="BF32" i="28" s="1"/>
  <c r="AY40" i="28"/>
  <c r="BF40" i="28" s="1"/>
  <c r="AY48" i="28"/>
  <c r="BF48" i="28" s="1"/>
  <c r="AY56" i="28"/>
  <c r="BF56" i="28" s="1"/>
  <c r="AY72" i="28"/>
  <c r="BF72" i="28" s="1"/>
  <c r="AY80" i="28"/>
  <c r="BF80" i="28" s="1"/>
  <c r="AY88" i="28"/>
  <c r="BF88" i="28" s="1"/>
  <c r="AY96" i="28"/>
  <c r="BF96" i="28" s="1"/>
  <c r="AY104" i="28"/>
  <c r="BF104" i="28" s="1"/>
  <c r="AY112" i="28"/>
  <c r="BF112" i="28" s="1"/>
  <c r="AY120" i="28"/>
  <c r="BF120" i="28" s="1"/>
  <c r="AY128" i="28"/>
  <c r="BF128" i="28" s="1"/>
  <c r="AY136" i="28"/>
  <c r="BF136" i="28" s="1"/>
  <c r="AY144" i="28"/>
  <c r="BF144" i="28" s="1"/>
  <c r="AY152" i="28"/>
  <c r="BF152" i="28" s="1"/>
  <c r="AY160" i="28"/>
  <c r="BF160" i="28" s="1"/>
  <c r="AY168" i="28"/>
  <c r="BF168" i="28" s="1"/>
  <c r="AY176" i="28"/>
  <c r="BF176" i="28" s="1"/>
  <c r="AY184" i="28"/>
  <c r="BF184" i="28" s="1"/>
  <c r="AY192" i="28"/>
  <c r="BF192" i="28" s="1"/>
  <c r="AY200" i="28"/>
  <c r="BF200" i="28" s="1"/>
  <c r="AY208" i="28"/>
  <c r="BF208" i="28" s="1"/>
  <c r="AY216" i="28"/>
  <c r="BF216" i="28" s="1"/>
  <c r="AY224" i="28"/>
  <c r="BF224" i="28" s="1"/>
  <c r="AY232" i="28"/>
  <c r="BF232" i="28" s="1"/>
  <c r="AY240" i="28"/>
  <c r="BF240" i="28" s="1"/>
  <c r="AY248" i="28"/>
  <c r="BF248" i="28" s="1"/>
  <c r="AY256" i="28"/>
  <c r="BF256" i="28" s="1"/>
  <c r="AY264" i="28"/>
  <c r="BF264" i="28" s="1"/>
  <c r="AY272" i="28"/>
  <c r="BF272" i="28" s="1"/>
  <c r="AY288" i="28"/>
  <c r="BF288" i="28" s="1"/>
  <c r="AY296" i="28"/>
  <c r="BF296" i="28" s="1"/>
  <c r="AY304" i="28"/>
  <c r="BF304" i="28" s="1"/>
  <c r="AY312" i="28"/>
  <c r="BF312" i="28" s="1"/>
  <c r="AY320" i="28"/>
  <c r="BF320" i="28" s="1"/>
  <c r="AY328" i="28"/>
  <c r="BF328" i="28" s="1"/>
  <c r="AY336" i="28"/>
  <c r="BF336" i="28" s="1"/>
  <c r="AY344" i="28"/>
  <c r="BF344" i="28" s="1"/>
  <c r="AY350" i="28"/>
  <c r="AY352" i="28"/>
  <c r="BF352" i="28" s="1"/>
  <c r="AY358" i="28"/>
  <c r="BF358" i="28" s="1"/>
  <c r="AY360" i="28"/>
  <c r="BF360" i="28" s="1"/>
  <c r="AY366" i="28"/>
  <c r="BF366" i="28" s="1"/>
  <c r="AY368" i="28"/>
  <c r="BF368" i="28" s="1"/>
  <c r="AY374" i="28"/>
  <c r="BF374" i="28" s="1"/>
  <c r="AY376" i="28"/>
  <c r="BF376" i="28" s="1"/>
  <c r="AY384" i="28"/>
  <c r="BF384" i="28" s="1"/>
  <c r="AY392" i="28"/>
  <c r="BF392" i="28" s="1"/>
  <c r="AY398" i="28"/>
  <c r="BF398" i="28" s="1"/>
  <c r="AY400" i="28"/>
  <c r="BF400" i="28" s="1"/>
  <c r="AY406" i="28"/>
  <c r="AY408" i="28"/>
  <c r="BF408" i="28" s="1"/>
  <c r="AY414" i="28"/>
  <c r="AY416" i="28"/>
  <c r="BF416" i="28" s="1"/>
  <c r="AY422" i="28"/>
  <c r="BF422" i="28" s="1"/>
  <c r="AY424" i="28"/>
  <c r="BF424" i="28" s="1"/>
  <c r="AY430" i="28"/>
  <c r="BF430" i="28" s="1"/>
  <c r="AY432" i="28"/>
  <c r="BF432" i="28" s="1"/>
  <c r="AY438" i="28"/>
  <c r="BF438" i="28" s="1"/>
  <c r="AY440" i="28"/>
  <c r="BF440" i="28" s="1"/>
  <c r="AY446" i="28"/>
  <c r="AY448" i="28"/>
  <c r="BF448" i="28" s="1"/>
  <c r="AY454" i="28"/>
  <c r="BF454" i="28" s="1"/>
  <c r="AY456" i="28"/>
  <c r="BF456" i="28" s="1"/>
  <c r="AY462" i="28"/>
  <c r="AY464" i="28"/>
  <c r="BF464" i="28" s="1"/>
  <c r="AY472" i="28"/>
  <c r="BF472" i="28" s="1"/>
  <c r="AY480" i="28"/>
  <c r="BF480" i="28" s="1"/>
  <c r="AY486" i="28"/>
  <c r="AY488" i="28"/>
  <c r="BF488" i="28" s="1"/>
  <c r="AY494" i="28"/>
  <c r="AY496" i="28"/>
  <c r="BF496" i="28" s="1"/>
  <c r="AY504" i="28"/>
  <c r="BF504" i="28" s="1"/>
  <c r="AY510" i="28"/>
  <c r="BF510" i="28" s="1"/>
  <c r="AY512" i="28"/>
  <c r="BF512" i="28" s="1"/>
  <c r="AY520" i="28"/>
  <c r="BF520" i="28" s="1"/>
  <c r="AY526" i="28"/>
  <c r="BF526" i="28" s="1"/>
  <c r="AY528" i="28"/>
  <c r="BF528" i="28" s="1"/>
  <c r="AY534" i="28"/>
  <c r="BF534" i="28" s="1"/>
  <c r="AY536" i="28"/>
  <c r="BF536" i="28" s="1"/>
  <c r="AY542" i="28"/>
  <c r="BF542" i="28" s="1"/>
  <c r="AY544" i="28"/>
  <c r="BF544" i="28" s="1"/>
  <c r="AY550" i="28"/>
  <c r="BF550" i="28" s="1"/>
  <c r="AY552" i="28"/>
  <c r="BF552" i="28" s="1"/>
  <c r="AY558" i="28"/>
  <c r="BF558" i="28" s="1"/>
  <c r="AY560" i="28"/>
  <c r="BF560" i="28" s="1"/>
  <c r="AY566" i="28"/>
  <c r="BF566" i="28" s="1"/>
  <c r="AY568" i="28"/>
  <c r="BF568" i="28" s="1"/>
  <c r="AY574" i="28"/>
  <c r="BF574" i="28" s="1"/>
  <c r="AY576" i="28"/>
  <c r="BF576" i="28" s="1"/>
  <c r="AY582" i="28"/>
  <c r="BF582" i="28" s="1"/>
  <c r="AY584" i="28"/>
  <c r="BF584" i="28" s="1"/>
  <c r="AY590" i="28"/>
  <c r="BF590" i="28" s="1"/>
  <c r="AY592" i="28"/>
  <c r="BF592" i="28" s="1"/>
  <c r="AY598" i="28"/>
  <c r="BF598" i="28" s="1"/>
  <c r="AY600" i="28"/>
  <c r="BF600" i="28" s="1"/>
  <c r="AY606" i="28"/>
  <c r="BF606" i="28" s="1"/>
  <c r="AY608" i="28"/>
  <c r="BF608" i="28" s="1"/>
  <c r="AY614" i="28"/>
  <c r="BF614" i="28" s="1"/>
  <c r="AY616" i="28"/>
  <c r="BF616" i="28" s="1"/>
  <c r="AY622" i="28"/>
  <c r="BF622" i="28" s="1"/>
  <c r="AY624" i="28"/>
  <c r="BF624" i="28" s="1"/>
  <c r="AY632" i="28"/>
  <c r="BF632" i="28" s="1"/>
  <c r="AY640" i="28"/>
  <c r="BF640" i="28" s="1"/>
  <c r="AY646" i="28"/>
  <c r="BF646" i="28" s="1"/>
  <c r="AY648" i="28"/>
  <c r="BF648" i="28" s="1"/>
  <c r="AY654" i="28"/>
  <c r="BF654" i="28" s="1"/>
  <c r="AY656" i="28"/>
  <c r="BF656" i="28" s="1"/>
  <c r="AY662" i="28"/>
  <c r="BF662" i="28" s="1"/>
  <c r="AY664" i="28"/>
  <c r="BF664" i="28" s="1"/>
  <c r="AY670" i="28"/>
  <c r="BF670" i="28" s="1"/>
  <c r="AY672" i="28"/>
  <c r="BF672" i="28" s="1"/>
  <c r="AY678" i="28"/>
  <c r="BF678" i="28" s="1"/>
  <c r="AY680" i="28"/>
  <c r="BF680" i="28" s="1"/>
  <c r="AY686" i="28"/>
  <c r="BF686" i="28" s="1"/>
  <c r="AY688" i="28"/>
  <c r="BF688" i="28" s="1"/>
  <c r="AY694" i="28"/>
  <c r="BF694" i="28" s="1"/>
  <c r="AY696" i="28"/>
  <c r="BF696" i="28" s="1"/>
  <c r="AY702" i="28"/>
  <c r="BF702" i="28" s="1"/>
  <c r="AY704" i="28"/>
  <c r="BF704" i="28" s="1"/>
  <c r="AY710" i="28"/>
  <c r="BF710" i="28" s="1"/>
  <c r="AY712" i="28"/>
  <c r="BF712" i="28" s="1"/>
  <c r="AY718" i="28"/>
  <c r="BF718" i="28" s="1"/>
  <c r="AY720" i="28"/>
  <c r="BF720" i="28" s="1"/>
  <c r="AY726" i="28"/>
  <c r="AY728" i="28"/>
  <c r="BF728" i="28" s="1"/>
  <c r="AY734" i="28"/>
  <c r="BF734" i="28" s="1"/>
  <c r="AY736" i="28"/>
  <c r="BF736" i="28" s="1"/>
  <c r="AY744" i="28"/>
  <c r="BF744" i="28" s="1"/>
  <c r="AY750" i="28"/>
  <c r="BF750" i="28" s="1"/>
  <c r="AY752" i="28"/>
  <c r="BF752" i="28" s="1"/>
  <c r="AY758" i="28"/>
  <c r="BF758" i="28" s="1"/>
  <c r="AY760" i="28"/>
  <c r="BF760" i="28" s="1"/>
  <c r="AY766" i="28"/>
  <c r="BF766" i="28" s="1"/>
  <c r="AY768" i="28"/>
  <c r="BF768" i="28" s="1"/>
  <c r="AY774" i="28"/>
  <c r="BF774" i="28" s="1"/>
  <c r="AY776" i="28"/>
  <c r="BF776" i="28" s="1"/>
  <c r="AY782" i="28"/>
  <c r="BF782" i="28" s="1"/>
  <c r="AY784" i="28"/>
  <c r="BF784" i="28" s="1"/>
  <c r="AY790" i="28"/>
  <c r="BF790" i="28" s="1"/>
  <c r="AY792" i="28"/>
  <c r="BF792" i="28" s="1"/>
  <c r="AY795" i="28"/>
  <c r="BF795" i="28" s="1"/>
  <c r="AY798" i="28"/>
  <c r="BF798" i="28" s="1"/>
  <c r="AY800" i="28"/>
  <c r="BF800" i="28" s="1"/>
  <c r="AY803" i="28"/>
  <c r="BF803" i="28" s="1"/>
  <c r="AY806" i="28"/>
  <c r="BF806" i="28" s="1"/>
  <c r="AY808" i="28"/>
  <c r="BF808" i="28" s="1"/>
  <c r="AY809" i="28"/>
  <c r="BF809" i="28" s="1"/>
  <c r="AY811" i="28"/>
  <c r="BF811" i="28" s="1"/>
  <c r="AY814" i="28"/>
  <c r="BF814" i="28" s="1"/>
  <c r="AY816" i="28"/>
  <c r="BF816" i="28" s="1"/>
  <c r="AY822" i="28"/>
  <c r="BF822" i="28" s="1"/>
  <c r="AY824" i="28"/>
  <c r="BF824" i="28" s="1"/>
  <c r="AY825" i="28"/>
  <c r="BF825" i="28" s="1"/>
  <c r="AY832" i="28"/>
  <c r="BF832" i="28" s="1"/>
  <c r="AY838" i="28"/>
  <c r="BF838" i="28" s="1"/>
  <c r="AY840" i="28"/>
  <c r="BF840" i="28" s="1"/>
  <c r="AY843" i="28"/>
  <c r="BF843" i="28" s="1"/>
  <c r="AY846" i="28"/>
  <c r="BF846" i="28" s="1"/>
  <c r="AY848" i="28"/>
  <c r="BF848" i="28" s="1"/>
  <c r="AY851" i="28"/>
  <c r="BF851" i="28" s="1"/>
  <c r="AY854" i="28"/>
  <c r="BF854" i="28" s="1"/>
  <c r="AY856" i="28"/>
  <c r="BF856" i="28" s="1"/>
  <c r="AY857" i="28"/>
  <c r="BF857" i="28" s="1"/>
  <c r="AY862" i="28"/>
  <c r="BF862" i="28" s="1"/>
  <c r="AY864" i="28"/>
  <c r="BF864" i="28" s="1"/>
  <c r="AY867" i="28"/>
  <c r="BF867" i="28" s="1"/>
  <c r="AY870" i="28"/>
  <c r="BF870" i="28" s="1"/>
  <c r="AY872" i="28"/>
  <c r="BF872" i="28" s="1"/>
  <c r="AY873" i="28"/>
  <c r="BF873" i="28" s="1"/>
  <c r="AY878" i="28"/>
  <c r="BF878" i="28" s="1"/>
  <c r="AY880" i="28"/>
  <c r="BF880" i="28" s="1"/>
  <c r="AY886" i="28"/>
  <c r="BF886" i="28" s="1"/>
  <c r="AY888" i="28"/>
  <c r="BF888" i="28" s="1"/>
  <c r="AY894" i="28"/>
  <c r="BF894" i="28" s="1"/>
  <c r="AY896" i="28"/>
  <c r="BF896" i="28" s="1"/>
  <c r="AY897" i="28"/>
  <c r="BF897" i="28" s="1"/>
  <c r="AY899" i="28"/>
  <c r="BF899" i="28" s="1"/>
  <c r="AY902" i="28"/>
  <c r="BF902" i="28" s="1"/>
  <c r="AY904" i="28"/>
  <c r="BF904" i="28" s="1"/>
  <c r="AY905" i="28"/>
  <c r="BF905" i="28" s="1"/>
  <c r="AY910" i="28"/>
  <c r="BF910" i="28" s="1"/>
  <c r="AY912" i="28"/>
  <c r="BF912" i="28" s="1"/>
  <c r="AY915" i="28"/>
  <c r="BF915" i="28" s="1"/>
  <c r="AY918" i="28"/>
  <c r="BF918" i="28" s="1"/>
  <c r="AY920" i="28"/>
  <c r="BF920" i="28" s="1"/>
  <c r="AY923" i="28"/>
  <c r="BF923" i="28" s="1"/>
  <c r="AY926" i="28"/>
  <c r="BF926" i="28" s="1"/>
  <c r="AY928" i="28"/>
  <c r="BF928" i="28" s="1"/>
  <c r="AY934" i="28"/>
  <c r="BF934" i="28" s="1"/>
  <c r="AY936" i="28"/>
  <c r="BF936" i="28" s="1"/>
  <c r="AY937" i="28"/>
  <c r="BF937" i="28" s="1"/>
  <c r="AY939" i="28"/>
  <c r="BF939" i="28" s="1"/>
  <c r="AY942" i="28"/>
  <c r="BF942" i="28" s="1"/>
  <c r="AY944" i="28"/>
  <c r="BF944" i="28" s="1"/>
  <c r="AY950" i="28"/>
  <c r="BF950" i="28" s="1"/>
  <c r="AY952" i="28"/>
  <c r="BF952" i="28" s="1"/>
  <c r="AY955" i="28"/>
  <c r="BF955" i="28" s="1"/>
  <c r="AY960" i="28"/>
  <c r="BF960" i="28" s="1"/>
  <c r="AY961" i="28"/>
  <c r="BF961" i="28" s="1"/>
  <c r="AY963" i="28"/>
  <c r="BF963" i="28" s="1"/>
  <c r="AY966" i="28"/>
  <c r="BF966" i="28" s="1"/>
  <c r="AY968" i="28"/>
  <c r="BF968" i="28" s="1"/>
  <c r="AY969" i="28"/>
  <c r="BF969" i="28" s="1"/>
  <c r="AY971" i="28"/>
  <c r="BF971" i="28" s="1"/>
  <c r="AY974" i="28"/>
  <c r="BF974" i="28" s="1"/>
  <c r="AY976" i="28"/>
  <c r="BF976" i="28" s="1"/>
  <c r="AY982" i="28"/>
  <c r="BF982" i="28" s="1"/>
  <c r="AY984" i="28"/>
  <c r="BF984" i="28" s="1"/>
  <c r="AY985" i="28"/>
  <c r="BF985" i="28" s="1"/>
  <c r="AY990" i="28"/>
  <c r="BF990" i="28" s="1"/>
  <c r="AY992" i="28"/>
  <c r="BF992" i="28" s="1"/>
  <c r="AY993" i="28"/>
  <c r="BF993" i="28" s="1"/>
  <c r="AY995" i="28"/>
  <c r="BF995" i="28" s="1"/>
  <c r="AY998" i="28"/>
  <c r="BF998" i="28" s="1"/>
  <c r="AY1000" i="28"/>
  <c r="BF1000" i="28" s="1"/>
  <c r="AY1003" i="28"/>
  <c r="BF1003" i="28" s="1"/>
  <c r="AY1006" i="28"/>
  <c r="BF1006" i="28" s="1"/>
  <c r="AY1008" i="28"/>
  <c r="BF1008" i="28" s="1"/>
  <c r="AY1011" i="28"/>
  <c r="BF1011" i="28" s="1"/>
  <c r="AY1014" i="28"/>
  <c r="BF1014" i="28" s="1"/>
  <c r="C36" i="11"/>
  <c r="C35" i="11"/>
  <c r="AF7" i="28"/>
  <c r="AY1015" i="28"/>
  <c r="BF1015" i="28" s="1"/>
  <c r="AX1015" i="28"/>
  <c r="BE1015" i="28" s="1"/>
  <c r="AW1015" i="28"/>
  <c r="BD1015" i="28" s="1"/>
  <c r="AV1015" i="28"/>
  <c r="BC1015" i="28" s="1"/>
  <c r="AU1015" i="28"/>
  <c r="BB1015" i="28" s="1"/>
  <c r="AT1015" i="28"/>
  <c r="BA1015" i="28" s="1"/>
  <c r="AX1014" i="28"/>
  <c r="BE1014" i="28" s="1"/>
  <c r="AW1014" i="28"/>
  <c r="BD1014" i="28" s="1"/>
  <c r="AV1014" i="28"/>
  <c r="BC1014" i="28" s="1"/>
  <c r="AU1014" i="28"/>
  <c r="BB1014" i="28" s="1"/>
  <c r="AT1014" i="28"/>
  <c r="BA1014" i="28" s="1"/>
  <c r="AY1013" i="28"/>
  <c r="BF1013" i="28" s="1"/>
  <c r="AX1013" i="28"/>
  <c r="BE1013" i="28" s="1"/>
  <c r="AW1013" i="28"/>
  <c r="BD1013" i="28" s="1"/>
  <c r="AV1013" i="28"/>
  <c r="BC1013" i="28" s="1"/>
  <c r="AU1013" i="28"/>
  <c r="BB1013" i="28" s="1"/>
  <c r="AT1013" i="28"/>
  <c r="BA1013" i="28" s="1"/>
  <c r="AY1012" i="28"/>
  <c r="BF1012" i="28" s="1"/>
  <c r="AX1012" i="28"/>
  <c r="BE1012" i="28" s="1"/>
  <c r="AW1012" i="28"/>
  <c r="BD1012" i="28" s="1"/>
  <c r="AV1012" i="28"/>
  <c r="BC1012" i="28" s="1"/>
  <c r="AU1012" i="28"/>
  <c r="BB1012" i="28" s="1"/>
  <c r="AT1012" i="28"/>
  <c r="BA1012" i="28" s="1"/>
  <c r="AX1011" i="28"/>
  <c r="BE1011" i="28" s="1"/>
  <c r="AW1011" i="28"/>
  <c r="BD1011" i="28" s="1"/>
  <c r="AV1011" i="28"/>
  <c r="BC1011" i="28" s="1"/>
  <c r="AU1011" i="28"/>
  <c r="BB1011" i="28" s="1"/>
  <c r="AT1011" i="28"/>
  <c r="BA1011" i="28" s="1"/>
  <c r="AY1010" i="28"/>
  <c r="BF1010" i="28" s="1"/>
  <c r="AX1010" i="28"/>
  <c r="BE1010" i="28" s="1"/>
  <c r="AW1010" i="28"/>
  <c r="BD1010" i="28" s="1"/>
  <c r="AV1010" i="28"/>
  <c r="BC1010" i="28" s="1"/>
  <c r="AU1010" i="28"/>
  <c r="BB1010" i="28" s="1"/>
  <c r="AT1010" i="28"/>
  <c r="BA1010" i="28" s="1"/>
  <c r="AY1009" i="28"/>
  <c r="BF1009" i="28" s="1"/>
  <c r="AX1009" i="28"/>
  <c r="BE1009" i="28" s="1"/>
  <c r="AW1009" i="28"/>
  <c r="BD1009" i="28" s="1"/>
  <c r="AV1009" i="28"/>
  <c r="BC1009" i="28" s="1"/>
  <c r="AU1009" i="28"/>
  <c r="BB1009" i="28" s="1"/>
  <c r="AT1009" i="28"/>
  <c r="BA1009" i="28" s="1"/>
  <c r="AX1008" i="28"/>
  <c r="BE1008" i="28" s="1"/>
  <c r="AW1008" i="28"/>
  <c r="BD1008" i="28" s="1"/>
  <c r="AV1008" i="28"/>
  <c r="BC1008" i="28" s="1"/>
  <c r="AU1008" i="28"/>
  <c r="BB1008" i="28" s="1"/>
  <c r="AT1008" i="28"/>
  <c r="BA1008" i="28" s="1"/>
  <c r="AX1007" i="28"/>
  <c r="BE1007" i="28" s="1"/>
  <c r="AW1007" i="28"/>
  <c r="BD1007" i="28" s="1"/>
  <c r="AV1007" i="28"/>
  <c r="BC1007" i="28" s="1"/>
  <c r="AU1007" i="28"/>
  <c r="BB1007" i="28" s="1"/>
  <c r="AT1007" i="28"/>
  <c r="BA1007" i="28" s="1"/>
  <c r="AX1006" i="28"/>
  <c r="BE1006" i="28" s="1"/>
  <c r="AW1006" i="28"/>
  <c r="BD1006" i="28" s="1"/>
  <c r="AV1006" i="28"/>
  <c r="BC1006" i="28" s="1"/>
  <c r="AU1006" i="28"/>
  <c r="BB1006" i="28" s="1"/>
  <c r="AT1006" i="28"/>
  <c r="BA1006" i="28" s="1"/>
  <c r="AY1005" i="28"/>
  <c r="BF1005" i="28" s="1"/>
  <c r="AX1005" i="28"/>
  <c r="BE1005" i="28" s="1"/>
  <c r="AW1005" i="28"/>
  <c r="BD1005" i="28" s="1"/>
  <c r="AV1005" i="28"/>
  <c r="BC1005" i="28" s="1"/>
  <c r="AU1005" i="28"/>
  <c r="BB1005" i="28" s="1"/>
  <c r="AT1005" i="28"/>
  <c r="BA1005" i="28" s="1"/>
  <c r="AY1004" i="28"/>
  <c r="BF1004" i="28" s="1"/>
  <c r="AX1004" i="28"/>
  <c r="BE1004" i="28" s="1"/>
  <c r="AW1004" i="28"/>
  <c r="BD1004" i="28" s="1"/>
  <c r="AV1004" i="28"/>
  <c r="BC1004" i="28" s="1"/>
  <c r="AU1004" i="28"/>
  <c r="BB1004" i="28" s="1"/>
  <c r="AT1004" i="28"/>
  <c r="BA1004" i="28" s="1"/>
  <c r="AX1003" i="28"/>
  <c r="BE1003" i="28" s="1"/>
  <c r="AW1003" i="28"/>
  <c r="BD1003" i="28" s="1"/>
  <c r="AV1003" i="28"/>
  <c r="BC1003" i="28" s="1"/>
  <c r="AU1003" i="28"/>
  <c r="BB1003" i="28" s="1"/>
  <c r="AT1003" i="28"/>
  <c r="BA1003" i="28" s="1"/>
  <c r="AY1002" i="28"/>
  <c r="BF1002" i="28" s="1"/>
  <c r="AX1002" i="28"/>
  <c r="BE1002" i="28" s="1"/>
  <c r="AW1002" i="28"/>
  <c r="BD1002" i="28" s="1"/>
  <c r="AV1002" i="28"/>
  <c r="BC1002" i="28" s="1"/>
  <c r="AU1002" i="28"/>
  <c r="BB1002" i="28" s="1"/>
  <c r="AT1002" i="28"/>
  <c r="BA1002" i="28" s="1"/>
  <c r="AY1001" i="28"/>
  <c r="BF1001" i="28" s="1"/>
  <c r="AX1001" i="28"/>
  <c r="BE1001" i="28" s="1"/>
  <c r="AW1001" i="28"/>
  <c r="BD1001" i="28" s="1"/>
  <c r="AV1001" i="28"/>
  <c r="BC1001" i="28" s="1"/>
  <c r="AU1001" i="28"/>
  <c r="BB1001" i="28" s="1"/>
  <c r="AT1001" i="28"/>
  <c r="BA1001" i="28" s="1"/>
  <c r="AX1000" i="28"/>
  <c r="BE1000" i="28" s="1"/>
  <c r="AW1000" i="28"/>
  <c r="BD1000" i="28" s="1"/>
  <c r="AV1000" i="28"/>
  <c r="BC1000" i="28" s="1"/>
  <c r="AU1000" i="28"/>
  <c r="BB1000" i="28" s="1"/>
  <c r="AT1000" i="28"/>
  <c r="BA1000" i="28" s="1"/>
  <c r="AX999" i="28"/>
  <c r="BE999" i="28" s="1"/>
  <c r="AW999" i="28"/>
  <c r="BD999" i="28" s="1"/>
  <c r="AV999" i="28"/>
  <c r="BC999" i="28" s="1"/>
  <c r="AU999" i="28"/>
  <c r="BB999" i="28" s="1"/>
  <c r="AT999" i="28"/>
  <c r="BA999" i="28" s="1"/>
  <c r="AX998" i="28"/>
  <c r="BE998" i="28" s="1"/>
  <c r="AW998" i="28"/>
  <c r="BD998" i="28" s="1"/>
  <c r="AV998" i="28"/>
  <c r="BC998" i="28" s="1"/>
  <c r="AU998" i="28"/>
  <c r="BB998" i="28" s="1"/>
  <c r="AT998" i="28"/>
  <c r="BA998" i="28" s="1"/>
  <c r="AY997" i="28"/>
  <c r="BF997" i="28" s="1"/>
  <c r="AX997" i="28"/>
  <c r="BE997" i="28" s="1"/>
  <c r="AW997" i="28"/>
  <c r="BD997" i="28" s="1"/>
  <c r="AV997" i="28"/>
  <c r="BC997" i="28" s="1"/>
  <c r="AU997" i="28"/>
  <c r="BB997" i="28" s="1"/>
  <c r="AT997" i="28"/>
  <c r="BA997" i="28" s="1"/>
  <c r="AY996" i="28"/>
  <c r="BF996" i="28" s="1"/>
  <c r="AX996" i="28"/>
  <c r="BE996" i="28" s="1"/>
  <c r="AW996" i="28"/>
  <c r="BD996" i="28" s="1"/>
  <c r="AV996" i="28"/>
  <c r="BC996" i="28" s="1"/>
  <c r="AU996" i="28"/>
  <c r="BB996" i="28" s="1"/>
  <c r="AT996" i="28"/>
  <c r="BA996" i="28" s="1"/>
  <c r="AX995" i="28"/>
  <c r="BE995" i="28" s="1"/>
  <c r="AW995" i="28"/>
  <c r="BD995" i="28" s="1"/>
  <c r="AV995" i="28"/>
  <c r="BC995" i="28" s="1"/>
  <c r="AU995" i="28"/>
  <c r="BB995" i="28" s="1"/>
  <c r="AT995" i="28"/>
  <c r="BA995" i="28" s="1"/>
  <c r="AY994" i="28"/>
  <c r="BF994" i="28" s="1"/>
  <c r="AX994" i="28"/>
  <c r="BE994" i="28" s="1"/>
  <c r="AW994" i="28"/>
  <c r="BD994" i="28" s="1"/>
  <c r="AV994" i="28"/>
  <c r="BC994" i="28" s="1"/>
  <c r="AU994" i="28"/>
  <c r="BB994" i="28" s="1"/>
  <c r="AT994" i="28"/>
  <c r="BA994" i="28" s="1"/>
  <c r="AX993" i="28"/>
  <c r="BE993" i="28" s="1"/>
  <c r="AW993" i="28"/>
  <c r="BD993" i="28" s="1"/>
  <c r="AV993" i="28"/>
  <c r="BC993" i="28" s="1"/>
  <c r="AU993" i="28"/>
  <c r="BB993" i="28" s="1"/>
  <c r="AT993" i="28"/>
  <c r="BA993" i="28" s="1"/>
  <c r="AX992" i="28"/>
  <c r="BE992" i="28" s="1"/>
  <c r="AW992" i="28"/>
  <c r="BD992" i="28" s="1"/>
  <c r="AV992" i="28"/>
  <c r="BC992" i="28" s="1"/>
  <c r="AU992" i="28"/>
  <c r="BB992" i="28" s="1"/>
  <c r="AT992" i="28"/>
  <c r="BA992" i="28" s="1"/>
  <c r="AX991" i="28"/>
  <c r="BE991" i="28" s="1"/>
  <c r="AW991" i="28"/>
  <c r="BD991" i="28" s="1"/>
  <c r="AV991" i="28"/>
  <c r="BC991" i="28" s="1"/>
  <c r="AU991" i="28"/>
  <c r="BB991" i="28" s="1"/>
  <c r="AT991" i="28"/>
  <c r="BA991" i="28" s="1"/>
  <c r="AX990" i="28"/>
  <c r="BE990" i="28" s="1"/>
  <c r="AW990" i="28"/>
  <c r="BD990" i="28" s="1"/>
  <c r="AV990" i="28"/>
  <c r="BC990" i="28" s="1"/>
  <c r="AU990" i="28"/>
  <c r="BB990" i="28" s="1"/>
  <c r="AT990" i="28"/>
  <c r="BA990" i="28" s="1"/>
  <c r="AY989" i="28"/>
  <c r="BF989" i="28" s="1"/>
  <c r="AX989" i="28"/>
  <c r="BE989" i="28" s="1"/>
  <c r="AW989" i="28"/>
  <c r="BD989" i="28" s="1"/>
  <c r="AV989" i="28"/>
  <c r="BC989" i="28" s="1"/>
  <c r="AU989" i="28"/>
  <c r="BB989" i="28" s="1"/>
  <c r="AT989" i="28"/>
  <c r="BA989" i="28" s="1"/>
  <c r="AY988" i="28"/>
  <c r="BF988" i="28" s="1"/>
  <c r="AX988" i="28"/>
  <c r="BE988" i="28" s="1"/>
  <c r="AW988" i="28"/>
  <c r="BD988" i="28" s="1"/>
  <c r="AV988" i="28"/>
  <c r="BC988" i="28" s="1"/>
  <c r="AU988" i="28"/>
  <c r="BB988" i="28" s="1"/>
  <c r="AT988" i="28"/>
  <c r="BA988" i="28" s="1"/>
  <c r="AY987" i="28"/>
  <c r="BF987" i="28" s="1"/>
  <c r="AX987" i="28"/>
  <c r="BE987" i="28" s="1"/>
  <c r="AW987" i="28"/>
  <c r="BD987" i="28" s="1"/>
  <c r="AV987" i="28"/>
  <c r="BC987" i="28" s="1"/>
  <c r="AU987" i="28"/>
  <c r="BB987" i="28" s="1"/>
  <c r="AT987" i="28"/>
  <c r="BA987" i="28" s="1"/>
  <c r="AY986" i="28"/>
  <c r="BF986" i="28" s="1"/>
  <c r="AX986" i="28"/>
  <c r="BE986" i="28" s="1"/>
  <c r="AW986" i="28"/>
  <c r="BD986" i="28" s="1"/>
  <c r="AV986" i="28"/>
  <c r="BC986" i="28" s="1"/>
  <c r="AU986" i="28"/>
  <c r="BB986" i="28" s="1"/>
  <c r="AT986" i="28"/>
  <c r="BA986" i="28" s="1"/>
  <c r="AX985" i="28"/>
  <c r="BE985" i="28" s="1"/>
  <c r="AW985" i="28"/>
  <c r="BD985" i="28" s="1"/>
  <c r="AV985" i="28"/>
  <c r="BC985" i="28" s="1"/>
  <c r="AU985" i="28"/>
  <c r="BB985" i="28" s="1"/>
  <c r="AT985" i="28"/>
  <c r="BA985" i="28" s="1"/>
  <c r="AX984" i="28"/>
  <c r="BE984" i="28" s="1"/>
  <c r="AW984" i="28"/>
  <c r="BD984" i="28" s="1"/>
  <c r="AV984" i="28"/>
  <c r="BC984" i="28" s="1"/>
  <c r="AU984" i="28"/>
  <c r="BB984" i="28" s="1"/>
  <c r="AT984" i="28"/>
  <c r="BA984" i="28" s="1"/>
  <c r="BB983" i="28"/>
  <c r="AX983" i="28"/>
  <c r="BE983" i="28" s="1"/>
  <c r="AW983" i="28"/>
  <c r="BD983" i="28" s="1"/>
  <c r="AV983" i="28"/>
  <c r="BC983" i="28" s="1"/>
  <c r="AU983" i="28"/>
  <c r="AT983" i="28"/>
  <c r="BA983" i="28" s="1"/>
  <c r="AX982" i="28"/>
  <c r="BE982" i="28" s="1"/>
  <c r="AW982" i="28"/>
  <c r="BD982" i="28" s="1"/>
  <c r="AV982" i="28"/>
  <c r="BC982" i="28" s="1"/>
  <c r="AU982" i="28"/>
  <c r="BB982" i="28" s="1"/>
  <c r="AT982" i="28"/>
  <c r="BA982" i="28" s="1"/>
  <c r="AY981" i="28"/>
  <c r="BF981" i="28" s="1"/>
  <c r="AX981" i="28"/>
  <c r="BE981" i="28" s="1"/>
  <c r="AW981" i="28"/>
  <c r="BD981" i="28" s="1"/>
  <c r="AV981" i="28"/>
  <c r="BC981" i="28" s="1"/>
  <c r="AU981" i="28"/>
  <c r="BB981" i="28" s="1"/>
  <c r="AT981" i="28"/>
  <c r="BA981" i="28" s="1"/>
  <c r="AY980" i="28"/>
  <c r="BF980" i="28" s="1"/>
  <c r="AX980" i="28"/>
  <c r="BE980" i="28" s="1"/>
  <c r="AW980" i="28"/>
  <c r="BD980" i="28" s="1"/>
  <c r="AV980" i="28"/>
  <c r="BC980" i="28" s="1"/>
  <c r="AU980" i="28"/>
  <c r="BB980" i="28" s="1"/>
  <c r="AT980" i="28"/>
  <c r="BA980" i="28" s="1"/>
  <c r="AY979" i="28"/>
  <c r="BF979" i="28" s="1"/>
  <c r="AX979" i="28"/>
  <c r="BE979" i="28" s="1"/>
  <c r="AW979" i="28"/>
  <c r="BD979" i="28" s="1"/>
  <c r="AV979" i="28"/>
  <c r="BC979" i="28" s="1"/>
  <c r="AU979" i="28"/>
  <c r="BB979" i="28" s="1"/>
  <c r="AT979" i="28"/>
  <c r="BA979" i="28" s="1"/>
  <c r="AY978" i="28"/>
  <c r="BF978" i="28" s="1"/>
  <c r="AX978" i="28"/>
  <c r="BE978" i="28" s="1"/>
  <c r="AW978" i="28"/>
  <c r="BD978" i="28" s="1"/>
  <c r="AV978" i="28"/>
  <c r="BC978" i="28" s="1"/>
  <c r="AU978" i="28"/>
  <c r="BB978" i="28" s="1"/>
  <c r="AT978" i="28"/>
  <c r="BA978" i="28" s="1"/>
  <c r="AY977" i="28"/>
  <c r="BF977" i="28" s="1"/>
  <c r="AX977" i="28"/>
  <c r="BE977" i="28" s="1"/>
  <c r="AW977" i="28"/>
  <c r="BD977" i="28" s="1"/>
  <c r="AV977" i="28"/>
  <c r="BC977" i="28" s="1"/>
  <c r="AU977" i="28"/>
  <c r="BB977" i="28" s="1"/>
  <c r="AT977" i="28"/>
  <c r="BA977" i="28" s="1"/>
  <c r="AX976" i="28"/>
  <c r="BE976" i="28" s="1"/>
  <c r="AW976" i="28"/>
  <c r="BD976" i="28" s="1"/>
  <c r="AV976" i="28"/>
  <c r="BC976" i="28" s="1"/>
  <c r="AU976" i="28"/>
  <c r="BB976" i="28" s="1"/>
  <c r="AT976" i="28"/>
  <c r="BA976" i="28" s="1"/>
  <c r="AX975" i="28"/>
  <c r="BE975" i="28" s="1"/>
  <c r="AW975" i="28"/>
  <c r="BD975" i="28" s="1"/>
  <c r="AV975" i="28"/>
  <c r="BC975" i="28" s="1"/>
  <c r="AU975" i="28"/>
  <c r="BB975" i="28" s="1"/>
  <c r="AT975" i="28"/>
  <c r="BA975" i="28" s="1"/>
  <c r="AX974" i="28"/>
  <c r="BE974" i="28" s="1"/>
  <c r="AW974" i="28"/>
  <c r="BD974" i="28" s="1"/>
  <c r="AV974" i="28"/>
  <c r="BC974" i="28" s="1"/>
  <c r="AU974" i="28"/>
  <c r="BB974" i="28" s="1"/>
  <c r="AT974" i="28"/>
  <c r="BA974" i="28" s="1"/>
  <c r="AY973" i="28"/>
  <c r="BF973" i="28" s="1"/>
  <c r="AX973" i="28"/>
  <c r="BE973" i="28" s="1"/>
  <c r="AW973" i="28"/>
  <c r="BD973" i="28" s="1"/>
  <c r="AV973" i="28"/>
  <c r="BC973" i="28" s="1"/>
  <c r="AU973" i="28"/>
  <c r="BB973" i="28" s="1"/>
  <c r="AT973" i="28"/>
  <c r="BA973" i="28" s="1"/>
  <c r="AY972" i="28"/>
  <c r="BF972" i="28" s="1"/>
  <c r="AX972" i="28"/>
  <c r="BE972" i="28" s="1"/>
  <c r="AW972" i="28"/>
  <c r="BD972" i="28" s="1"/>
  <c r="AV972" i="28"/>
  <c r="BC972" i="28" s="1"/>
  <c r="AU972" i="28"/>
  <c r="BB972" i="28" s="1"/>
  <c r="AT972" i="28"/>
  <c r="BA972" i="28" s="1"/>
  <c r="AX971" i="28"/>
  <c r="BE971" i="28" s="1"/>
  <c r="AW971" i="28"/>
  <c r="BD971" i="28" s="1"/>
  <c r="AV971" i="28"/>
  <c r="BC971" i="28" s="1"/>
  <c r="AU971" i="28"/>
  <c r="BB971" i="28" s="1"/>
  <c r="AT971" i="28"/>
  <c r="BA971" i="28" s="1"/>
  <c r="AY970" i="28"/>
  <c r="BF970" i="28" s="1"/>
  <c r="AX970" i="28"/>
  <c r="BE970" i="28" s="1"/>
  <c r="AW970" i="28"/>
  <c r="BD970" i="28" s="1"/>
  <c r="AV970" i="28"/>
  <c r="BC970" i="28" s="1"/>
  <c r="AU970" i="28"/>
  <c r="BB970" i="28" s="1"/>
  <c r="AT970" i="28"/>
  <c r="BA970" i="28" s="1"/>
  <c r="AX969" i="28"/>
  <c r="BE969" i="28" s="1"/>
  <c r="AW969" i="28"/>
  <c r="BD969" i="28" s="1"/>
  <c r="AV969" i="28"/>
  <c r="BC969" i="28" s="1"/>
  <c r="AU969" i="28"/>
  <c r="BB969" i="28" s="1"/>
  <c r="AT969" i="28"/>
  <c r="BA969" i="28" s="1"/>
  <c r="AX968" i="28"/>
  <c r="BE968" i="28" s="1"/>
  <c r="AW968" i="28"/>
  <c r="BD968" i="28" s="1"/>
  <c r="AV968" i="28"/>
  <c r="BC968" i="28" s="1"/>
  <c r="AU968" i="28"/>
  <c r="BB968" i="28" s="1"/>
  <c r="AT968" i="28"/>
  <c r="BA968" i="28" s="1"/>
  <c r="AX967" i="28"/>
  <c r="BE967" i="28" s="1"/>
  <c r="AW967" i="28"/>
  <c r="BD967" i="28" s="1"/>
  <c r="AV967" i="28"/>
  <c r="BC967" i="28" s="1"/>
  <c r="AU967" i="28"/>
  <c r="BB967" i="28" s="1"/>
  <c r="AT967" i="28"/>
  <c r="BA967" i="28" s="1"/>
  <c r="AX966" i="28"/>
  <c r="BE966" i="28" s="1"/>
  <c r="AW966" i="28"/>
  <c r="BD966" i="28" s="1"/>
  <c r="AV966" i="28"/>
  <c r="BC966" i="28" s="1"/>
  <c r="AU966" i="28"/>
  <c r="BB966" i="28" s="1"/>
  <c r="AT966" i="28"/>
  <c r="BA966" i="28" s="1"/>
  <c r="AY965" i="28"/>
  <c r="BF965" i="28" s="1"/>
  <c r="AX965" i="28"/>
  <c r="BE965" i="28" s="1"/>
  <c r="AW965" i="28"/>
  <c r="BD965" i="28" s="1"/>
  <c r="AV965" i="28"/>
  <c r="BC965" i="28" s="1"/>
  <c r="AU965" i="28"/>
  <c r="BB965" i="28" s="1"/>
  <c r="AT965" i="28"/>
  <c r="BA965" i="28" s="1"/>
  <c r="AY964" i="28"/>
  <c r="BF964" i="28" s="1"/>
  <c r="AX964" i="28"/>
  <c r="BE964" i="28" s="1"/>
  <c r="AW964" i="28"/>
  <c r="BD964" i="28" s="1"/>
  <c r="AV964" i="28"/>
  <c r="BC964" i="28" s="1"/>
  <c r="AU964" i="28"/>
  <c r="BB964" i="28" s="1"/>
  <c r="AT964" i="28"/>
  <c r="BA964" i="28" s="1"/>
  <c r="AX963" i="28"/>
  <c r="BE963" i="28" s="1"/>
  <c r="AW963" i="28"/>
  <c r="BD963" i="28" s="1"/>
  <c r="AV963" i="28"/>
  <c r="BC963" i="28" s="1"/>
  <c r="AU963" i="28"/>
  <c r="BB963" i="28" s="1"/>
  <c r="AT963" i="28"/>
  <c r="BA963" i="28" s="1"/>
  <c r="AY962" i="28"/>
  <c r="BF962" i="28" s="1"/>
  <c r="AX962" i="28"/>
  <c r="BE962" i="28" s="1"/>
  <c r="AW962" i="28"/>
  <c r="BD962" i="28" s="1"/>
  <c r="AV962" i="28"/>
  <c r="BC962" i="28" s="1"/>
  <c r="AU962" i="28"/>
  <c r="BB962" i="28" s="1"/>
  <c r="AT962" i="28"/>
  <c r="BA962" i="28" s="1"/>
  <c r="AX961" i="28"/>
  <c r="BE961" i="28" s="1"/>
  <c r="AW961" i="28"/>
  <c r="BD961" i="28" s="1"/>
  <c r="AV961" i="28"/>
  <c r="BC961" i="28" s="1"/>
  <c r="AU961" i="28"/>
  <c r="BB961" i="28" s="1"/>
  <c r="AT961" i="28"/>
  <c r="BA961" i="28" s="1"/>
  <c r="AX960" i="28"/>
  <c r="BE960" i="28" s="1"/>
  <c r="AW960" i="28"/>
  <c r="BD960" i="28" s="1"/>
  <c r="AV960" i="28"/>
  <c r="BC960" i="28" s="1"/>
  <c r="AU960" i="28"/>
  <c r="BB960" i="28" s="1"/>
  <c r="AT960" i="28"/>
  <c r="BA960" i="28" s="1"/>
  <c r="AX959" i="28"/>
  <c r="BE959" i="28" s="1"/>
  <c r="AW959" i="28"/>
  <c r="BD959" i="28" s="1"/>
  <c r="AV959" i="28"/>
  <c r="BC959" i="28" s="1"/>
  <c r="AU959" i="28"/>
  <c r="BB959" i="28" s="1"/>
  <c r="AT959" i="28"/>
  <c r="BA959" i="28" s="1"/>
  <c r="AY958" i="28"/>
  <c r="BF958" i="28" s="1"/>
  <c r="AX958" i="28"/>
  <c r="BE958" i="28" s="1"/>
  <c r="AW958" i="28"/>
  <c r="BD958" i="28" s="1"/>
  <c r="AV958" i="28"/>
  <c r="BC958" i="28" s="1"/>
  <c r="AU958" i="28"/>
  <c r="BB958" i="28" s="1"/>
  <c r="AT958" i="28"/>
  <c r="BA958" i="28" s="1"/>
  <c r="AY957" i="28"/>
  <c r="BF957" i="28" s="1"/>
  <c r="AX957" i="28"/>
  <c r="BE957" i="28" s="1"/>
  <c r="AW957" i="28"/>
  <c r="BD957" i="28" s="1"/>
  <c r="AV957" i="28"/>
  <c r="BC957" i="28" s="1"/>
  <c r="AU957" i="28"/>
  <c r="BB957" i="28" s="1"/>
  <c r="AT957" i="28"/>
  <c r="BA957" i="28" s="1"/>
  <c r="AY956" i="28"/>
  <c r="BF956" i="28" s="1"/>
  <c r="AX956" i="28"/>
  <c r="BE956" i="28" s="1"/>
  <c r="AW956" i="28"/>
  <c r="BD956" i="28" s="1"/>
  <c r="AV956" i="28"/>
  <c r="BC956" i="28" s="1"/>
  <c r="AU956" i="28"/>
  <c r="BB956" i="28" s="1"/>
  <c r="AT956" i="28"/>
  <c r="BA956" i="28" s="1"/>
  <c r="AX955" i="28"/>
  <c r="BE955" i="28" s="1"/>
  <c r="AW955" i="28"/>
  <c r="BD955" i="28" s="1"/>
  <c r="AV955" i="28"/>
  <c r="BC955" i="28" s="1"/>
  <c r="AU955" i="28"/>
  <c r="BB955" i="28" s="1"/>
  <c r="AT955" i="28"/>
  <c r="BA955" i="28" s="1"/>
  <c r="AY954" i="28"/>
  <c r="BF954" i="28" s="1"/>
  <c r="AX954" i="28"/>
  <c r="BE954" i="28" s="1"/>
  <c r="AW954" i="28"/>
  <c r="BD954" i="28" s="1"/>
  <c r="AV954" i="28"/>
  <c r="BC954" i="28" s="1"/>
  <c r="AU954" i="28"/>
  <c r="BB954" i="28" s="1"/>
  <c r="AT954" i="28"/>
  <c r="BA954" i="28" s="1"/>
  <c r="AY953" i="28"/>
  <c r="BF953" i="28" s="1"/>
  <c r="AX953" i="28"/>
  <c r="BE953" i="28" s="1"/>
  <c r="AW953" i="28"/>
  <c r="BD953" i="28" s="1"/>
  <c r="AV953" i="28"/>
  <c r="BC953" i="28" s="1"/>
  <c r="AU953" i="28"/>
  <c r="BB953" i="28" s="1"/>
  <c r="AT953" i="28"/>
  <c r="BA953" i="28" s="1"/>
  <c r="AX952" i="28"/>
  <c r="BE952" i="28" s="1"/>
  <c r="AW952" i="28"/>
  <c r="BD952" i="28" s="1"/>
  <c r="AV952" i="28"/>
  <c r="BC952" i="28" s="1"/>
  <c r="AU952" i="28"/>
  <c r="BB952" i="28" s="1"/>
  <c r="AT952" i="28"/>
  <c r="BA952" i="28" s="1"/>
  <c r="AX951" i="28"/>
  <c r="BE951" i="28" s="1"/>
  <c r="AW951" i="28"/>
  <c r="BD951" i="28" s="1"/>
  <c r="AV951" i="28"/>
  <c r="BC951" i="28" s="1"/>
  <c r="AU951" i="28"/>
  <c r="BB951" i="28" s="1"/>
  <c r="AT951" i="28"/>
  <c r="BA951" i="28" s="1"/>
  <c r="AX950" i="28"/>
  <c r="BE950" i="28" s="1"/>
  <c r="AW950" i="28"/>
  <c r="BD950" i="28" s="1"/>
  <c r="AV950" i="28"/>
  <c r="BC950" i="28" s="1"/>
  <c r="AU950" i="28"/>
  <c r="BB950" i="28" s="1"/>
  <c r="AT950" i="28"/>
  <c r="BA950" i="28" s="1"/>
  <c r="AY949" i="28"/>
  <c r="BF949" i="28" s="1"/>
  <c r="AX949" i="28"/>
  <c r="BE949" i="28" s="1"/>
  <c r="AW949" i="28"/>
  <c r="BD949" i="28" s="1"/>
  <c r="AV949" i="28"/>
  <c r="BC949" i="28" s="1"/>
  <c r="AU949" i="28"/>
  <c r="BB949" i="28" s="1"/>
  <c r="AT949" i="28"/>
  <c r="BA949" i="28" s="1"/>
  <c r="AY948" i="28"/>
  <c r="BF948" i="28" s="1"/>
  <c r="AX948" i="28"/>
  <c r="BE948" i="28" s="1"/>
  <c r="AW948" i="28"/>
  <c r="BD948" i="28" s="1"/>
  <c r="AV948" i="28"/>
  <c r="BC948" i="28" s="1"/>
  <c r="AU948" i="28"/>
  <c r="BB948" i="28" s="1"/>
  <c r="AT948" i="28"/>
  <c r="BA948" i="28" s="1"/>
  <c r="AY947" i="28"/>
  <c r="BF947" i="28" s="1"/>
  <c r="AX947" i="28"/>
  <c r="BE947" i="28" s="1"/>
  <c r="AW947" i="28"/>
  <c r="BD947" i="28" s="1"/>
  <c r="AV947" i="28"/>
  <c r="BC947" i="28" s="1"/>
  <c r="AU947" i="28"/>
  <c r="BB947" i="28" s="1"/>
  <c r="AT947" i="28"/>
  <c r="BA947" i="28" s="1"/>
  <c r="AY946" i="28"/>
  <c r="BF946" i="28" s="1"/>
  <c r="AX946" i="28"/>
  <c r="BE946" i="28" s="1"/>
  <c r="AW946" i="28"/>
  <c r="BD946" i="28" s="1"/>
  <c r="AV946" i="28"/>
  <c r="BC946" i="28" s="1"/>
  <c r="AU946" i="28"/>
  <c r="BB946" i="28" s="1"/>
  <c r="AT946" i="28"/>
  <c r="BA946" i="28" s="1"/>
  <c r="AY945" i="28"/>
  <c r="BF945" i="28" s="1"/>
  <c r="AX945" i="28"/>
  <c r="BE945" i="28" s="1"/>
  <c r="AW945" i="28"/>
  <c r="BD945" i="28" s="1"/>
  <c r="AV945" i="28"/>
  <c r="BC945" i="28" s="1"/>
  <c r="AU945" i="28"/>
  <c r="BB945" i="28" s="1"/>
  <c r="AT945" i="28"/>
  <c r="BA945" i="28" s="1"/>
  <c r="AX944" i="28"/>
  <c r="BE944" i="28" s="1"/>
  <c r="AW944" i="28"/>
  <c r="BD944" i="28" s="1"/>
  <c r="AV944" i="28"/>
  <c r="BC944" i="28" s="1"/>
  <c r="AU944" i="28"/>
  <c r="BB944" i="28" s="1"/>
  <c r="AT944" i="28"/>
  <c r="BA944" i="28" s="1"/>
  <c r="AY943" i="28"/>
  <c r="BF943" i="28" s="1"/>
  <c r="AX943" i="28"/>
  <c r="BE943" i="28" s="1"/>
  <c r="AW943" i="28"/>
  <c r="BD943" i="28" s="1"/>
  <c r="AV943" i="28"/>
  <c r="BC943" i="28" s="1"/>
  <c r="AU943" i="28"/>
  <c r="BB943" i="28" s="1"/>
  <c r="AT943" i="28"/>
  <c r="BA943" i="28" s="1"/>
  <c r="AX942" i="28"/>
  <c r="BE942" i="28" s="1"/>
  <c r="AW942" i="28"/>
  <c r="BD942" i="28" s="1"/>
  <c r="AV942" i="28"/>
  <c r="BC942" i="28" s="1"/>
  <c r="AU942" i="28"/>
  <c r="BB942" i="28" s="1"/>
  <c r="AT942" i="28"/>
  <c r="BA942" i="28" s="1"/>
  <c r="AY941" i="28"/>
  <c r="BF941" i="28" s="1"/>
  <c r="AX941" i="28"/>
  <c r="BE941" i="28" s="1"/>
  <c r="AW941" i="28"/>
  <c r="BD941" i="28" s="1"/>
  <c r="AV941" i="28"/>
  <c r="BC941" i="28" s="1"/>
  <c r="AU941" i="28"/>
  <c r="BB941" i="28" s="1"/>
  <c r="AT941" i="28"/>
  <c r="BA941" i="28" s="1"/>
  <c r="AY940" i="28"/>
  <c r="BF940" i="28" s="1"/>
  <c r="AX940" i="28"/>
  <c r="BE940" i="28" s="1"/>
  <c r="AW940" i="28"/>
  <c r="BD940" i="28" s="1"/>
  <c r="AV940" i="28"/>
  <c r="BC940" i="28" s="1"/>
  <c r="AU940" i="28"/>
  <c r="BB940" i="28" s="1"/>
  <c r="AT940" i="28"/>
  <c r="BA940" i="28" s="1"/>
  <c r="AX939" i="28"/>
  <c r="BE939" i="28" s="1"/>
  <c r="AW939" i="28"/>
  <c r="BD939" i="28" s="1"/>
  <c r="AV939" i="28"/>
  <c r="BC939" i="28" s="1"/>
  <c r="AU939" i="28"/>
  <c r="BB939" i="28" s="1"/>
  <c r="AT939" i="28"/>
  <c r="BA939" i="28" s="1"/>
  <c r="AY938" i="28"/>
  <c r="BF938" i="28" s="1"/>
  <c r="AX938" i="28"/>
  <c r="BE938" i="28" s="1"/>
  <c r="AW938" i="28"/>
  <c r="BD938" i="28" s="1"/>
  <c r="AV938" i="28"/>
  <c r="BC938" i="28" s="1"/>
  <c r="AU938" i="28"/>
  <c r="BB938" i="28" s="1"/>
  <c r="AT938" i="28"/>
  <c r="BA938" i="28" s="1"/>
  <c r="AX937" i="28"/>
  <c r="BE937" i="28" s="1"/>
  <c r="AW937" i="28"/>
  <c r="BD937" i="28" s="1"/>
  <c r="AV937" i="28"/>
  <c r="BC937" i="28" s="1"/>
  <c r="AU937" i="28"/>
  <c r="BB937" i="28" s="1"/>
  <c r="AT937" i="28"/>
  <c r="BA937" i="28" s="1"/>
  <c r="AX936" i="28"/>
  <c r="BE936" i="28" s="1"/>
  <c r="AW936" i="28"/>
  <c r="BD936" i="28" s="1"/>
  <c r="AV936" i="28"/>
  <c r="BC936" i="28" s="1"/>
  <c r="AU936" i="28"/>
  <c r="BB936" i="28" s="1"/>
  <c r="AT936" i="28"/>
  <c r="BA936" i="28" s="1"/>
  <c r="AX935" i="28"/>
  <c r="BE935" i="28" s="1"/>
  <c r="AW935" i="28"/>
  <c r="BD935" i="28" s="1"/>
  <c r="AV935" i="28"/>
  <c r="BC935" i="28" s="1"/>
  <c r="AU935" i="28"/>
  <c r="BB935" i="28" s="1"/>
  <c r="AT935" i="28"/>
  <c r="BA935" i="28" s="1"/>
  <c r="AX934" i="28"/>
  <c r="BE934" i="28" s="1"/>
  <c r="AW934" i="28"/>
  <c r="BD934" i="28" s="1"/>
  <c r="AV934" i="28"/>
  <c r="BC934" i="28" s="1"/>
  <c r="AU934" i="28"/>
  <c r="BB934" i="28" s="1"/>
  <c r="AT934" i="28"/>
  <c r="BA934" i="28" s="1"/>
  <c r="AY933" i="28"/>
  <c r="BF933" i="28" s="1"/>
  <c r="AX933" i="28"/>
  <c r="BE933" i="28" s="1"/>
  <c r="AW933" i="28"/>
  <c r="BD933" i="28" s="1"/>
  <c r="AV933" i="28"/>
  <c r="BC933" i="28" s="1"/>
  <c r="AU933" i="28"/>
  <c r="BB933" i="28" s="1"/>
  <c r="AT933" i="28"/>
  <c r="BA933" i="28" s="1"/>
  <c r="AY932" i="28"/>
  <c r="BF932" i="28" s="1"/>
  <c r="AX932" i="28"/>
  <c r="BE932" i="28" s="1"/>
  <c r="AW932" i="28"/>
  <c r="BD932" i="28" s="1"/>
  <c r="AV932" i="28"/>
  <c r="BC932" i="28" s="1"/>
  <c r="AU932" i="28"/>
  <c r="BB932" i="28" s="1"/>
  <c r="AT932" i="28"/>
  <c r="BA932" i="28" s="1"/>
  <c r="AY931" i="28"/>
  <c r="BF931" i="28" s="1"/>
  <c r="AX931" i="28"/>
  <c r="BE931" i="28" s="1"/>
  <c r="AW931" i="28"/>
  <c r="BD931" i="28" s="1"/>
  <c r="AV931" i="28"/>
  <c r="BC931" i="28" s="1"/>
  <c r="AU931" i="28"/>
  <c r="BB931" i="28" s="1"/>
  <c r="AT931" i="28"/>
  <c r="BA931" i="28" s="1"/>
  <c r="AY930" i="28"/>
  <c r="BF930" i="28" s="1"/>
  <c r="AX930" i="28"/>
  <c r="BE930" i="28" s="1"/>
  <c r="AW930" i="28"/>
  <c r="BD930" i="28" s="1"/>
  <c r="AV930" i="28"/>
  <c r="BC930" i="28" s="1"/>
  <c r="AU930" i="28"/>
  <c r="BB930" i="28" s="1"/>
  <c r="AT930" i="28"/>
  <c r="BA930" i="28" s="1"/>
  <c r="AY929" i="28"/>
  <c r="BF929" i="28" s="1"/>
  <c r="AX929" i="28"/>
  <c r="BE929" i="28" s="1"/>
  <c r="AW929" i="28"/>
  <c r="BD929" i="28" s="1"/>
  <c r="AV929" i="28"/>
  <c r="BC929" i="28" s="1"/>
  <c r="AU929" i="28"/>
  <c r="BB929" i="28" s="1"/>
  <c r="AT929" i="28"/>
  <c r="BA929" i="28" s="1"/>
  <c r="AX928" i="28"/>
  <c r="BE928" i="28" s="1"/>
  <c r="AW928" i="28"/>
  <c r="BD928" i="28" s="1"/>
  <c r="AV928" i="28"/>
  <c r="BC928" i="28" s="1"/>
  <c r="AU928" i="28"/>
  <c r="BB928" i="28" s="1"/>
  <c r="AT928" i="28"/>
  <c r="BA928" i="28" s="1"/>
  <c r="AY927" i="28"/>
  <c r="BF927" i="28" s="1"/>
  <c r="AX927" i="28"/>
  <c r="BE927" i="28" s="1"/>
  <c r="AW927" i="28"/>
  <c r="BD927" i="28" s="1"/>
  <c r="AV927" i="28"/>
  <c r="BC927" i="28" s="1"/>
  <c r="AU927" i="28"/>
  <c r="BB927" i="28" s="1"/>
  <c r="AT927" i="28"/>
  <c r="BA927" i="28" s="1"/>
  <c r="AX926" i="28"/>
  <c r="BE926" i="28" s="1"/>
  <c r="AW926" i="28"/>
  <c r="BD926" i="28" s="1"/>
  <c r="AV926" i="28"/>
  <c r="BC926" i="28" s="1"/>
  <c r="AU926" i="28"/>
  <c r="BB926" i="28" s="1"/>
  <c r="AT926" i="28"/>
  <c r="BA926" i="28" s="1"/>
  <c r="AY925" i="28"/>
  <c r="BF925" i="28" s="1"/>
  <c r="AX925" i="28"/>
  <c r="BE925" i="28" s="1"/>
  <c r="AW925" i="28"/>
  <c r="BD925" i="28" s="1"/>
  <c r="AV925" i="28"/>
  <c r="BC925" i="28" s="1"/>
  <c r="AU925" i="28"/>
  <c r="BB925" i="28" s="1"/>
  <c r="AT925" i="28"/>
  <c r="BA925" i="28" s="1"/>
  <c r="AY924" i="28"/>
  <c r="BF924" i="28" s="1"/>
  <c r="AX924" i="28"/>
  <c r="BE924" i="28" s="1"/>
  <c r="AW924" i="28"/>
  <c r="BD924" i="28" s="1"/>
  <c r="AV924" i="28"/>
  <c r="BC924" i="28" s="1"/>
  <c r="AU924" i="28"/>
  <c r="BB924" i="28" s="1"/>
  <c r="AT924" i="28"/>
  <c r="BA924" i="28" s="1"/>
  <c r="AX923" i="28"/>
  <c r="BE923" i="28" s="1"/>
  <c r="AW923" i="28"/>
  <c r="BD923" i="28" s="1"/>
  <c r="AV923" i="28"/>
  <c r="BC923" i="28" s="1"/>
  <c r="AU923" i="28"/>
  <c r="BB923" i="28" s="1"/>
  <c r="AT923" i="28"/>
  <c r="BA923" i="28" s="1"/>
  <c r="AY922" i="28"/>
  <c r="BF922" i="28" s="1"/>
  <c r="AX922" i="28"/>
  <c r="BE922" i="28" s="1"/>
  <c r="AW922" i="28"/>
  <c r="BD922" i="28" s="1"/>
  <c r="AV922" i="28"/>
  <c r="BC922" i="28" s="1"/>
  <c r="AU922" i="28"/>
  <c r="BB922" i="28" s="1"/>
  <c r="AT922" i="28"/>
  <c r="BA922" i="28" s="1"/>
  <c r="AY921" i="28"/>
  <c r="BF921" i="28" s="1"/>
  <c r="AX921" i="28"/>
  <c r="BE921" i="28" s="1"/>
  <c r="AW921" i="28"/>
  <c r="BD921" i="28" s="1"/>
  <c r="AV921" i="28"/>
  <c r="BC921" i="28" s="1"/>
  <c r="AU921" i="28"/>
  <c r="BB921" i="28" s="1"/>
  <c r="AT921" i="28"/>
  <c r="BA921" i="28" s="1"/>
  <c r="AX920" i="28"/>
  <c r="BE920" i="28" s="1"/>
  <c r="AW920" i="28"/>
  <c r="BD920" i="28" s="1"/>
  <c r="AV920" i="28"/>
  <c r="BC920" i="28" s="1"/>
  <c r="AU920" i="28"/>
  <c r="BB920" i="28" s="1"/>
  <c r="AT920" i="28"/>
  <c r="BA920" i="28" s="1"/>
  <c r="AY919" i="28"/>
  <c r="BF919" i="28" s="1"/>
  <c r="AX919" i="28"/>
  <c r="BE919" i="28" s="1"/>
  <c r="AW919" i="28"/>
  <c r="BD919" i="28" s="1"/>
  <c r="AV919" i="28"/>
  <c r="BC919" i="28" s="1"/>
  <c r="AU919" i="28"/>
  <c r="BB919" i="28" s="1"/>
  <c r="AT919" i="28"/>
  <c r="BA919" i="28" s="1"/>
  <c r="AX918" i="28"/>
  <c r="BE918" i="28" s="1"/>
  <c r="AW918" i="28"/>
  <c r="BD918" i="28" s="1"/>
  <c r="AV918" i="28"/>
  <c r="BC918" i="28" s="1"/>
  <c r="AU918" i="28"/>
  <c r="BB918" i="28" s="1"/>
  <c r="AT918" i="28"/>
  <c r="BA918" i="28" s="1"/>
  <c r="AY917" i="28"/>
  <c r="BF917" i="28" s="1"/>
  <c r="AX917" i="28"/>
  <c r="BE917" i="28" s="1"/>
  <c r="AW917" i="28"/>
  <c r="BD917" i="28" s="1"/>
  <c r="AV917" i="28"/>
  <c r="BC917" i="28" s="1"/>
  <c r="AU917" i="28"/>
  <c r="BB917" i="28" s="1"/>
  <c r="AT917" i="28"/>
  <c r="BA917" i="28" s="1"/>
  <c r="AY916" i="28"/>
  <c r="BF916" i="28" s="1"/>
  <c r="AX916" i="28"/>
  <c r="BE916" i="28" s="1"/>
  <c r="AW916" i="28"/>
  <c r="BD916" i="28" s="1"/>
  <c r="AV916" i="28"/>
  <c r="BC916" i="28" s="1"/>
  <c r="AU916" i="28"/>
  <c r="BB916" i="28" s="1"/>
  <c r="AT916" i="28"/>
  <c r="BA916" i="28" s="1"/>
  <c r="AX915" i="28"/>
  <c r="BE915" i="28" s="1"/>
  <c r="AW915" i="28"/>
  <c r="BD915" i="28" s="1"/>
  <c r="AV915" i="28"/>
  <c r="BC915" i="28" s="1"/>
  <c r="AU915" i="28"/>
  <c r="BB915" i="28" s="1"/>
  <c r="AT915" i="28"/>
  <c r="BA915" i="28" s="1"/>
  <c r="AY914" i="28"/>
  <c r="BF914" i="28" s="1"/>
  <c r="AX914" i="28"/>
  <c r="BE914" i="28" s="1"/>
  <c r="AW914" i="28"/>
  <c r="BD914" i="28" s="1"/>
  <c r="AV914" i="28"/>
  <c r="BC914" i="28" s="1"/>
  <c r="AU914" i="28"/>
  <c r="BB914" i="28" s="1"/>
  <c r="AT914" i="28"/>
  <c r="BA914" i="28" s="1"/>
  <c r="AY913" i="28"/>
  <c r="BF913" i="28" s="1"/>
  <c r="AX913" i="28"/>
  <c r="BE913" i="28" s="1"/>
  <c r="AW913" i="28"/>
  <c r="BD913" i="28" s="1"/>
  <c r="AV913" i="28"/>
  <c r="BC913" i="28" s="1"/>
  <c r="AU913" i="28"/>
  <c r="BB913" i="28" s="1"/>
  <c r="AT913" i="28"/>
  <c r="BA913" i="28" s="1"/>
  <c r="AX912" i="28"/>
  <c r="BE912" i="28" s="1"/>
  <c r="AW912" i="28"/>
  <c r="BD912" i="28" s="1"/>
  <c r="AV912" i="28"/>
  <c r="BC912" i="28" s="1"/>
  <c r="AU912" i="28"/>
  <c r="BB912" i="28" s="1"/>
  <c r="AT912" i="28"/>
  <c r="BA912" i="28" s="1"/>
  <c r="AY911" i="28"/>
  <c r="BF911" i="28" s="1"/>
  <c r="AX911" i="28"/>
  <c r="BE911" i="28" s="1"/>
  <c r="AW911" i="28"/>
  <c r="BD911" i="28" s="1"/>
  <c r="AV911" i="28"/>
  <c r="BC911" i="28" s="1"/>
  <c r="AU911" i="28"/>
  <c r="BB911" i="28" s="1"/>
  <c r="AT911" i="28"/>
  <c r="BA911" i="28" s="1"/>
  <c r="AX910" i="28"/>
  <c r="BE910" i="28" s="1"/>
  <c r="AW910" i="28"/>
  <c r="BD910" i="28" s="1"/>
  <c r="AV910" i="28"/>
  <c r="BC910" i="28" s="1"/>
  <c r="AU910" i="28"/>
  <c r="BB910" i="28" s="1"/>
  <c r="AT910" i="28"/>
  <c r="BA910" i="28" s="1"/>
  <c r="AY909" i="28"/>
  <c r="BF909" i="28" s="1"/>
  <c r="AX909" i="28"/>
  <c r="BE909" i="28" s="1"/>
  <c r="AW909" i="28"/>
  <c r="BD909" i="28" s="1"/>
  <c r="AV909" i="28"/>
  <c r="BC909" i="28" s="1"/>
  <c r="AU909" i="28"/>
  <c r="BB909" i="28" s="1"/>
  <c r="AT909" i="28"/>
  <c r="BA909" i="28" s="1"/>
  <c r="AY908" i="28"/>
  <c r="BF908" i="28" s="1"/>
  <c r="AX908" i="28"/>
  <c r="BE908" i="28" s="1"/>
  <c r="AW908" i="28"/>
  <c r="BD908" i="28" s="1"/>
  <c r="AV908" i="28"/>
  <c r="BC908" i="28" s="1"/>
  <c r="AU908" i="28"/>
  <c r="BB908" i="28" s="1"/>
  <c r="AT908" i="28"/>
  <c r="BA908" i="28" s="1"/>
  <c r="AY907" i="28"/>
  <c r="BF907" i="28" s="1"/>
  <c r="AX907" i="28"/>
  <c r="BE907" i="28" s="1"/>
  <c r="AW907" i="28"/>
  <c r="BD907" i="28" s="1"/>
  <c r="AV907" i="28"/>
  <c r="BC907" i="28" s="1"/>
  <c r="AU907" i="28"/>
  <c r="BB907" i="28" s="1"/>
  <c r="AT907" i="28"/>
  <c r="BA907" i="28" s="1"/>
  <c r="AY906" i="28"/>
  <c r="BF906" i="28" s="1"/>
  <c r="AX906" i="28"/>
  <c r="BE906" i="28" s="1"/>
  <c r="AW906" i="28"/>
  <c r="BD906" i="28" s="1"/>
  <c r="AV906" i="28"/>
  <c r="BC906" i="28" s="1"/>
  <c r="AU906" i="28"/>
  <c r="BB906" i="28" s="1"/>
  <c r="AT906" i="28"/>
  <c r="BA906" i="28" s="1"/>
  <c r="AX905" i="28"/>
  <c r="BE905" i="28" s="1"/>
  <c r="AW905" i="28"/>
  <c r="BD905" i="28" s="1"/>
  <c r="AV905" i="28"/>
  <c r="BC905" i="28" s="1"/>
  <c r="AU905" i="28"/>
  <c r="BB905" i="28" s="1"/>
  <c r="AT905" i="28"/>
  <c r="BA905" i="28" s="1"/>
  <c r="AX904" i="28"/>
  <c r="BE904" i="28" s="1"/>
  <c r="AW904" i="28"/>
  <c r="BD904" i="28" s="1"/>
  <c r="AV904" i="28"/>
  <c r="BC904" i="28" s="1"/>
  <c r="AU904" i="28"/>
  <c r="BB904" i="28" s="1"/>
  <c r="AT904" i="28"/>
  <c r="BA904" i="28" s="1"/>
  <c r="AX903" i="28"/>
  <c r="BE903" i="28" s="1"/>
  <c r="AW903" i="28"/>
  <c r="BD903" i="28" s="1"/>
  <c r="AV903" i="28"/>
  <c r="BC903" i="28" s="1"/>
  <c r="AU903" i="28"/>
  <c r="BB903" i="28" s="1"/>
  <c r="AT903" i="28"/>
  <c r="BA903" i="28" s="1"/>
  <c r="AX902" i="28"/>
  <c r="BE902" i="28" s="1"/>
  <c r="AW902" i="28"/>
  <c r="BD902" i="28" s="1"/>
  <c r="AV902" i="28"/>
  <c r="BC902" i="28" s="1"/>
  <c r="AU902" i="28"/>
  <c r="BB902" i="28" s="1"/>
  <c r="AT902" i="28"/>
  <c r="BA902" i="28" s="1"/>
  <c r="AY901" i="28"/>
  <c r="BF901" i="28" s="1"/>
  <c r="AX901" i="28"/>
  <c r="BE901" i="28" s="1"/>
  <c r="AW901" i="28"/>
  <c r="BD901" i="28" s="1"/>
  <c r="AV901" i="28"/>
  <c r="BC901" i="28" s="1"/>
  <c r="AU901" i="28"/>
  <c r="BB901" i="28" s="1"/>
  <c r="AT901" i="28"/>
  <c r="BA901" i="28" s="1"/>
  <c r="AY900" i="28"/>
  <c r="BF900" i="28" s="1"/>
  <c r="AX900" i="28"/>
  <c r="BE900" i="28" s="1"/>
  <c r="AW900" i="28"/>
  <c r="BD900" i="28" s="1"/>
  <c r="AV900" i="28"/>
  <c r="BC900" i="28" s="1"/>
  <c r="AU900" i="28"/>
  <c r="BB900" i="28" s="1"/>
  <c r="AT900" i="28"/>
  <c r="BA900" i="28" s="1"/>
  <c r="AX899" i="28"/>
  <c r="BE899" i="28" s="1"/>
  <c r="AW899" i="28"/>
  <c r="BD899" i="28" s="1"/>
  <c r="AV899" i="28"/>
  <c r="BC899" i="28" s="1"/>
  <c r="AU899" i="28"/>
  <c r="BB899" i="28" s="1"/>
  <c r="AT899" i="28"/>
  <c r="BA899" i="28" s="1"/>
  <c r="AY898" i="28"/>
  <c r="BF898" i="28" s="1"/>
  <c r="AX898" i="28"/>
  <c r="BE898" i="28" s="1"/>
  <c r="AW898" i="28"/>
  <c r="BD898" i="28" s="1"/>
  <c r="AV898" i="28"/>
  <c r="BC898" i="28" s="1"/>
  <c r="AU898" i="28"/>
  <c r="BB898" i="28" s="1"/>
  <c r="AT898" i="28"/>
  <c r="BA898" i="28" s="1"/>
  <c r="AX897" i="28"/>
  <c r="BE897" i="28" s="1"/>
  <c r="AW897" i="28"/>
  <c r="BD897" i="28" s="1"/>
  <c r="AV897" i="28"/>
  <c r="BC897" i="28" s="1"/>
  <c r="AU897" i="28"/>
  <c r="BB897" i="28" s="1"/>
  <c r="AT897" i="28"/>
  <c r="BA897" i="28" s="1"/>
  <c r="AX896" i="28"/>
  <c r="BE896" i="28" s="1"/>
  <c r="AW896" i="28"/>
  <c r="BD896" i="28" s="1"/>
  <c r="AV896" i="28"/>
  <c r="BC896" i="28" s="1"/>
  <c r="AU896" i="28"/>
  <c r="BB896" i="28" s="1"/>
  <c r="AT896" i="28"/>
  <c r="BA896" i="28" s="1"/>
  <c r="AY895" i="28"/>
  <c r="BF895" i="28" s="1"/>
  <c r="AX895" i="28"/>
  <c r="BE895" i="28" s="1"/>
  <c r="AW895" i="28"/>
  <c r="BD895" i="28" s="1"/>
  <c r="AV895" i="28"/>
  <c r="BC895" i="28" s="1"/>
  <c r="AU895" i="28"/>
  <c r="BB895" i="28" s="1"/>
  <c r="AT895" i="28"/>
  <c r="BA895" i="28" s="1"/>
  <c r="AX894" i="28"/>
  <c r="BE894" i="28" s="1"/>
  <c r="AW894" i="28"/>
  <c r="BD894" i="28" s="1"/>
  <c r="AV894" i="28"/>
  <c r="BC894" i="28" s="1"/>
  <c r="AU894" i="28"/>
  <c r="BB894" i="28" s="1"/>
  <c r="AT894" i="28"/>
  <c r="BA894" i="28" s="1"/>
  <c r="AY893" i="28"/>
  <c r="BF893" i="28" s="1"/>
  <c r="AX893" i="28"/>
  <c r="BE893" i="28" s="1"/>
  <c r="AW893" i="28"/>
  <c r="BD893" i="28" s="1"/>
  <c r="AV893" i="28"/>
  <c r="BC893" i="28" s="1"/>
  <c r="AU893" i="28"/>
  <c r="BB893" i="28" s="1"/>
  <c r="AT893" i="28"/>
  <c r="BA893" i="28" s="1"/>
  <c r="AY892" i="28"/>
  <c r="BF892" i="28" s="1"/>
  <c r="AX892" i="28"/>
  <c r="BE892" i="28" s="1"/>
  <c r="AW892" i="28"/>
  <c r="BD892" i="28" s="1"/>
  <c r="AV892" i="28"/>
  <c r="BC892" i="28" s="1"/>
  <c r="AU892" i="28"/>
  <c r="BB892" i="28" s="1"/>
  <c r="AT892" i="28"/>
  <c r="BA892" i="28" s="1"/>
  <c r="AY891" i="28"/>
  <c r="BF891" i="28" s="1"/>
  <c r="AX891" i="28"/>
  <c r="BE891" i="28" s="1"/>
  <c r="AW891" i="28"/>
  <c r="BD891" i="28" s="1"/>
  <c r="AV891" i="28"/>
  <c r="BC891" i="28" s="1"/>
  <c r="AU891" i="28"/>
  <c r="BB891" i="28" s="1"/>
  <c r="AT891" i="28"/>
  <c r="BA891" i="28" s="1"/>
  <c r="AY890" i="28"/>
  <c r="BF890" i="28" s="1"/>
  <c r="AX890" i="28"/>
  <c r="BE890" i="28" s="1"/>
  <c r="AW890" i="28"/>
  <c r="BD890" i="28" s="1"/>
  <c r="AV890" i="28"/>
  <c r="BC890" i="28" s="1"/>
  <c r="AU890" i="28"/>
  <c r="BB890" i="28" s="1"/>
  <c r="AT890" i="28"/>
  <c r="BA890" i="28" s="1"/>
  <c r="AY889" i="28"/>
  <c r="BF889" i="28" s="1"/>
  <c r="AX889" i="28"/>
  <c r="BE889" i="28" s="1"/>
  <c r="AW889" i="28"/>
  <c r="BD889" i="28" s="1"/>
  <c r="AV889" i="28"/>
  <c r="BC889" i="28" s="1"/>
  <c r="AU889" i="28"/>
  <c r="BB889" i="28" s="1"/>
  <c r="AT889" i="28"/>
  <c r="BA889" i="28" s="1"/>
  <c r="AX888" i="28"/>
  <c r="BE888" i="28" s="1"/>
  <c r="AW888" i="28"/>
  <c r="BD888" i="28" s="1"/>
  <c r="AV888" i="28"/>
  <c r="BC888" i="28" s="1"/>
  <c r="AU888" i="28"/>
  <c r="BB888" i="28" s="1"/>
  <c r="AT888" i="28"/>
  <c r="BA888" i="28" s="1"/>
  <c r="AX887" i="28"/>
  <c r="BE887" i="28" s="1"/>
  <c r="AW887" i="28"/>
  <c r="BD887" i="28" s="1"/>
  <c r="AV887" i="28"/>
  <c r="BC887" i="28" s="1"/>
  <c r="AU887" i="28"/>
  <c r="BB887" i="28" s="1"/>
  <c r="AT887" i="28"/>
  <c r="BA887" i="28" s="1"/>
  <c r="AX886" i="28"/>
  <c r="BE886" i="28" s="1"/>
  <c r="AW886" i="28"/>
  <c r="BD886" i="28" s="1"/>
  <c r="AV886" i="28"/>
  <c r="BC886" i="28" s="1"/>
  <c r="AU886" i="28"/>
  <c r="BB886" i="28" s="1"/>
  <c r="AT886" i="28"/>
  <c r="BA886" i="28" s="1"/>
  <c r="AY885" i="28"/>
  <c r="BF885" i="28" s="1"/>
  <c r="AX885" i="28"/>
  <c r="BE885" i="28" s="1"/>
  <c r="AW885" i="28"/>
  <c r="BD885" i="28" s="1"/>
  <c r="AV885" i="28"/>
  <c r="BC885" i="28" s="1"/>
  <c r="AU885" i="28"/>
  <c r="BB885" i="28" s="1"/>
  <c r="AT885" i="28"/>
  <c r="BA885" i="28" s="1"/>
  <c r="AY884" i="28"/>
  <c r="BF884" i="28" s="1"/>
  <c r="AX884" i="28"/>
  <c r="BE884" i="28" s="1"/>
  <c r="AW884" i="28"/>
  <c r="BD884" i="28" s="1"/>
  <c r="AV884" i="28"/>
  <c r="BC884" i="28" s="1"/>
  <c r="AU884" i="28"/>
  <c r="BB884" i="28" s="1"/>
  <c r="AT884" i="28"/>
  <c r="BA884" i="28" s="1"/>
  <c r="AY883" i="28"/>
  <c r="BF883" i="28" s="1"/>
  <c r="AX883" i="28"/>
  <c r="BE883" i="28" s="1"/>
  <c r="AW883" i="28"/>
  <c r="BD883" i="28" s="1"/>
  <c r="AV883" i="28"/>
  <c r="BC883" i="28" s="1"/>
  <c r="AU883" i="28"/>
  <c r="BB883" i="28" s="1"/>
  <c r="AT883" i="28"/>
  <c r="BA883" i="28" s="1"/>
  <c r="AY882" i="28"/>
  <c r="BF882" i="28" s="1"/>
  <c r="AX882" i="28"/>
  <c r="BE882" i="28" s="1"/>
  <c r="AW882" i="28"/>
  <c r="BD882" i="28" s="1"/>
  <c r="AV882" i="28"/>
  <c r="BC882" i="28" s="1"/>
  <c r="AU882" i="28"/>
  <c r="BB882" i="28" s="1"/>
  <c r="AT882" i="28"/>
  <c r="BA882" i="28" s="1"/>
  <c r="AY881" i="28"/>
  <c r="BF881" i="28" s="1"/>
  <c r="AX881" i="28"/>
  <c r="BE881" i="28" s="1"/>
  <c r="AW881" i="28"/>
  <c r="BD881" i="28" s="1"/>
  <c r="AV881" i="28"/>
  <c r="BC881" i="28" s="1"/>
  <c r="AU881" i="28"/>
  <c r="BB881" i="28" s="1"/>
  <c r="AT881" i="28"/>
  <c r="BA881" i="28" s="1"/>
  <c r="AX880" i="28"/>
  <c r="BE880" i="28" s="1"/>
  <c r="AW880" i="28"/>
  <c r="BD880" i="28" s="1"/>
  <c r="AV880" i="28"/>
  <c r="BC880" i="28" s="1"/>
  <c r="AU880" i="28"/>
  <c r="BB880" i="28" s="1"/>
  <c r="AT880" i="28"/>
  <c r="BA880" i="28" s="1"/>
  <c r="AX879" i="28"/>
  <c r="BE879" i="28" s="1"/>
  <c r="AW879" i="28"/>
  <c r="BD879" i="28" s="1"/>
  <c r="AV879" i="28"/>
  <c r="BC879" i="28" s="1"/>
  <c r="AU879" i="28"/>
  <c r="BB879" i="28" s="1"/>
  <c r="AT879" i="28"/>
  <c r="BA879" i="28" s="1"/>
  <c r="AX878" i="28"/>
  <c r="BE878" i="28" s="1"/>
  <c r="AW878" i="28"/>
  <c r="BD878" i="28" s="1"/>
  <c r="AV878" i="28"/>
  <c r="BC878" i="28" s="1"/>
  <c r="AU878" i="28"/>
  <c r="BB878" i="28" s="1"/>
  <c r="AT878" i="28"/>
  <c r="BA878" i="28" s="1"/>
  <c r="AY877" i="28"/>
  <c r="BF877" i="28" s="1"/>
  <c r="AX877" i="28"/>
  <c r="BE877" i="28" s="1"/>
  <c r="AW877" i="28"/>
  <c r="BD877" i="28" s="1"/>
  <c r="AV877" i="28"/>
  <c r="BC877" i="28" s="1"/>
  <c r="AU877" i="28"/>
  <c r="BB877" i="28" s="1"/>
  <c r="AT877" i="28"/>
  <c r="BA877" i="28" s="1"/>
  <c r="AY876" i="28"/>
  <c r="BF876" i="28" s="1"/>
  <c r="AX876" i="28"/>
  <c r="BE876" i="28" s="1"/>
  <c r="AW876" i="28"/>
  <c r="BD876" i="28" s="1"/>
  <c r="AV876" i="28"/>
  <c r="BC876" i="28" s="1"/>
  <c r="AU876" i="28"/>
  <c r="BB876" i="28" s="1"/>
  <c r="AT876" i="28"/>
  <c r="BA876" i="28" s="1"/>
  <c r="AY875" i="28"/>
  <c r="BF875" i="28" s="1"/>
  <c r="AX875" i="28"/>
  <c r="BE875" i="28" s="1"/>
  <c r="AW875" i="28"/>
  <c r="BD875" i="28" s="1"/>
  <c r="AV875" i="28"/>
  <c r="BC875" i="28" s="1"/>
  <c r="AU875" i="28"/>
  <c r="BB875" i="28" s="1"/>
  <c r="AT875" i="28"/>
  <c r="BA875" i="28" s="1"/>
  <c r="AY874" i="28"/>
  <c r="BF874" i="28" s="1"/>
  <c r="AX874" i="28"/>
  <c r="BE874" i="28" s="1"/>
  <c r="AW874" i="28"/>
  <c r="BD874" i="28" s="1"/>
  <c r="AV874" i="28"/>
  <c r="BC874" i="28" s="1"/>
  <c r="AU874" i="28"/>
  <c r="BB874" i="28" s="1"/>
  <c r="AT874" i="28"/>
  <c r="BA874" i="28" s="1"/>
  <c r="AX873" i="28"/>
  <c r="BE873" i="28" s="1"/>
  <c r="AW873" i="28"/>
  <c r="BD873" i="28" s="1"/>
  <c r="AV873" i="28"/>
  <c r="BC873" i="28" s="1"/>
  <c r="AU873" i="28"/>
  <c r="BB873" i="28" s="1"/>
  <c r="AT873" i="28"/>
  <c r="BA873" i="28" s="1"/>
  <c r="AX872" i="28"/>
  <c r="BE872" i="28" s="1"/>
  <c r="AW872" i="28"/>
  <c r="BD872" i="28" s="1"/>
  <c r="AV872" i="28"/>
  <c r="BC872" i="28" s="1"/>
  <c r="AU872" i="28"/>
  <c r="BB872" i="28" s="1"/>
  <c r="AT872" i="28"/>
  <c r="BA872" i="28" s="1"/>
  <c r="AY871" i="28"/>
  <c r="BF871" i="28" s="1"/>
  <c r="AX871" i="28"/>
  <c r="BE871" i="28" s="1"/>
  <c r="AW871" i="28"/>
  <c r="BD871" i="28" s="1"/>
  <c r="AV871" i="28"/>
  <c r="BC871" i="28" s="1"/>
  <c r="AU871" i="28"/>
  <c r="BB871" i="28" s="1"/>
  <c r="AT871" i="28"/>
  <c r="BA871" i="28" s="1"/>
  <c r="AX870" i="28"/>
  <c r="BE870" i="28" s="1"/>
  <c r="AW870" i="28"/>
  <c r="BD870" i="28" s="1"/>
  <c r="AV870" i="28"/>
  <c r="BC870" i="28" s="1"/>
  <c r="AU870" i="28"/>
  <c r="BB870" i="28" s="1"/>
  <c r="AT870" i="28"/>
  <c r="BA870" i="28" s="1"/>
  <c r="AY869" i="28"/>
  <c r="BF869" i="28" s="1"/>
  <c r="AX869" i="28"/>
  <c r="BE869" i="28" s="1"/>
  <c r="AW869" i="28"/>
  <c r="BD869" i="28" s="1"/>
  <c r="AV869" i="28"/>
  <c r="BC869" i="28" s="1"/>
  <c r="AU869" i="28"/>
  <c r="BB869" i="28" s="1"/>
  <c r="AT869" i="28"/>
  <c r="BA869" i="28" s="1"/>
  <c r="AY868" i="28"/>
  <c r="BF868" i="28" s="1"/>
  <c r="AX868" i="28"/>
  <c r="BE868" i="28" s="1"/>
  <c r="AW868" i="28"/>
  <c r="BD868" i="28" s="1"/>
  <c r="AV868" i="28"/>
  <c r="BC868" i="28" s="1"/>
  <c r="AU868" i="28"/>
  <c r="BB868" i="28" s="1"/>
  <c r="AT868" i="28"/>
  <c r="BA868" i="28" s="1"/>
  <c r="AX867" i="28"/>
  <c r="BE867" i="28" s="1"/>
  <c r="AW867" i="28"/>
  <c r="BD867" i="28" s="1"/>
  <c r="AV867" i="28"/>
  <c r="BC867" i="28" s="1"/>
  <c r="AU867" i="28"/>
  <c r="BB867" i="28" s="1"/>
  <c r="AT867" i="28"/>
  <c r="BA867" i="28" s="1"/>
  <c r="AY866" i="28"/>
  <c r="BF866" i="28" s="1"/>
  <c r="AX866" i="28"/>
  <c r="BE866" i="28" s="1"/>
  <c r="AW866" i="28"/>
  <c r="BD866" i="28" s="1"/>
  <c r="AV866" i="28"/>
  <c r="BC866" i="28" s="1"/>
  <c r="AU866" i="28"/>
  <c r="BB866" i="28" s="1"/>
  <c r="AT866" i="28"/>
  <c r="BA866" i="28" s="1"/>
  <c r="AY865" i="28"/>
  <c r="BF865" i="28" s="1"/>
  <c r="AX865" i="28"/>
  <c r="BE865" i="28" s="1"/>
  <c r="AW865" i="28"/>
  <c r="BD865" i="28" s="1"/>
  <c r="AV865" i="28"/>
  <c r="BC865" i="28" s="1"/>
  <c r="AU865" i="28"/>
  <c r="BB865" i="28" s="1"/>
  <c r="AT865" i="28"/>
  <c r="BA865" i="28" s="1"/>
  <c r="AX864" i="28"/>
  <c r="BE864" i="28" s="1"/>
  <c r="AW864" i="28"/>
  <c r="BD864" i="28" s="1"/>
  <c r="AV864" i="28"/>
  <c r="BC864" i="28" s="1"/>
  <c r="AU864" i="28"/>
  <c r="BB864" i="28" s="1"/>
  <c r="AT864" i="28"/>
  <c r="BA864" i="28" s="1"/>
  <c r="AX863" i="28"/>
  <c r="BE863" i="28" s="1"/>
  <c r="AW863" i="28"/>
  <c r="BD863" i="28" s="1"/>
  <c r="AV863" i="28"/>
  <c r="BC863" i="28" s="1"/>
  <c r="AU863" i="28"/>
  <c r="BB863" i="28" s="1"/>
  <c r="AT863" i="28"/>
  <c r="BA863" i="28" s="1"/>
  <c r="AX862" i="28"/>
  <c r="BE862" i="28" s="1"/>
  <c r="AW862" i="28"/>
  <c r="BD862" i="28" s="1"/>
  <c r="AV862" i="28"/>
  <c r="BC862" i="28" s="1"/>
  <c r="AU862" i="28"/>
  <c r="BB862" i="28" s="1"/>
  <c r="AT862" i="28"/>
  <c r="BA862" i="28" s="1"/>
  <c r="AY861" i="28"/>
  <c r="BF861" i="28" s="1"/>
  <c r="AX861" i="28"/>
  <c r="BE861" i="28" s="1"/>
  <c r="AW861" i="28"/>
  <c r="BD861" i="28" s="1"/>
  <c r="AV861" i="28"/>
  <c r="BC861" i="28" s="1"/>
  <c r="AU861" i="28"/>
  <c r="BB861" i="28" s="1"/>
  <c r="AT861" i="28"/>
  <c r="BA861" i="28" s="1"/>
  <c r="AY860" i="28"/>
  <c r="BF860" i="28" s="1"/>
  <c r="AX860" i="28"/>
  <c r="BE860" i="28" s="1"/>
  <c r="AW860" i="28"/>
  <c r="BD860" i="28" s="1"/>
  <c r="AV860" i="28"/>
  <c r="BC860" i="28" s="1"/>
  <c r="AU860" i="28"/>
  <c r="BB860" i="28" s="1"/>
  <c r="AT860" i="28"/>
  <c r="BA860" i="28" s="1"/>
  <c r="AY859" i="28"/>
  <c r="BF859" i="28" s="1"/>
  <c r="AX859" i="28"/>
  <c r="BE859" i="28" s="1"/>
  <c r="AW859" i="28"/>
  <c r="BD859" i="28" s="1"/>
  <c r="AV859" i="28"/>
  <c r="BC859" i="28" s="1"/>
  <c r="AU859" i="28"/>
  <c r="BB859" i="28" s="1"/>
  <c r="AT859" i="28"/>
  <c r="BA859" i="28" s="1"/>
  <c r="AY858" i="28"/>
  <c r="BF858" i="28" s="1"/>
  <c r="AX858" i="28"/>
  <c r="BE858" i="28" s="1"/>
  <c r="AW858" i="28"/>
  <c r="BD858" i="28" s="1"/>
  <c r="AV858" i="28"/>
  <c r="BC858" i="28" s="1"/>
  <c r="AU858" i="28"/>
  <c r="BB858" i="28" s="1"/>
  <c r="AT858" i="28"/>
  <c r="BA858" i="28" s="1"/>
  <c r="AX857" i="28"/>
  <c r="BE857" i="28" s="1"/>
  <c r="AW857" i="28"/>
  <c r="BD857" i="28" s="1"/>
  <c r="AV857" i="28"/>
  <c r="BC857" i="28" s="1"/>
  <c r="AU857" i="28"/>
  <c r="BB857" i="28" s="1"/>
  <c r="AT857" i="28"/>
  <c r="BA857" i="28" s="1"/>
  <c r="AX856" i="28"/>
  <c r="BE856" i="28" s="1"/>
  <c r="AW856" i="28"/>
  <c r="BD856" i="28" s="1"/>
  <c r="AV856" i="28"/>
  <c r="BC856" i="28" s="1"/>
  <c r="AU856" i="28"/>
  <c r="BB856" i="28" s="1"/>
  <c r="AT856" i="28"/>
  <c r="BA856" i="28" s="1"/>
  <c r="AX855" i="28"/>
  <c r="BE855" i="28" s="1"/>
  <c r="AW855" i="28"/>
  <c r="BD855" i="28" s="1"/>
  <c r="AV855" i="28"/>
  <c r="BC855" i="28" s="1"/>
  <c r="AU855" i="28"/>
  <c r="BB855" i="28" s="1"/>
  <c r="AT855" i="28"/>
  <c r="BA855" i="28" s="1"/>
  <c r="AX854" i="28"/>
  <c r="BE854" i="28" s="1"/>
  <c r="AW854" i="28"/>
  <c r="BD854" i="28" s="1"/>
  <c r="AV854" i="28"/>
  <c r="BC854" i="28" s="1"/>
  <c r="AU854" i="28"/>
  <c r="BB854" i="28" s="1"/>
  <c r="AT854" i="28"/>
  <c r="BA854" i="28" s="1"/>
  <c r="AY853" i="28"/>
  <c r="BF853" i="28" s="1"/>
  <c r="AX853" i="28"/>
  <c r="BE853" i="28" s="1"/>
  <c r="AW853" i="28"/>
  <c r="BD853" i="28" s="1"/>
  <c r="AV853" i="28"/>
  <c r="BC853" i="28" s="1"/>
  <c r="AU853" i="28"/>
  <c r="BB853" i="28" s="1"/>
  <c r="AT853" i="28"/>
  <c r="BA853" i="28" s="1"/>
  <c r="AY852" i="28"/>
  <c r="BF852" i="28" s="1"/>
  <c r="AX852" i="28"/>
  <c r="BE852" i="28" s="1"/>
  <c r="AW852" i="28"/>
  <c r="BD852" i="28" s="1"/>
  <c r="AV852" i="28"/>
  <c r="BC852" i="28" s="1"/>
  <c r="AU852" i="28"/>
  <c r="BB852" i="28" s="1"/>
  <c r="AT852" i="28"/>
  <c r="BA852" i="28" s="1"/>
  <c r="AX851" i="28"/>
  <c r="BE851" i="28" s="1"/>
  <c r="AW851" i="28"/>
  <c r="BD851" i="28" s="1"/>
  <c r="AV851" i="28"/>
  <c r="BC851" i="28" s="1"/>
  <c r="AU851" i="28"/>
  <c r="BB851" i="28" s="1"/>
  <c r="AT851" i="28"/>
  <c r="BA851" i="28" s="1"/>
  <c r="AY850" i="28"/>
  <c r="BF850" i="28" s="1"/>
  <c r="AX850" i="28"/>
  <c r="BE850" i="28" s="1"/>
  <c r="AW850" i="28"/>
  <c r="BD850" i="28" s="1"/>
  <c r="AV850" i="28"/>
  <c r="BC850" i="28" s="1"/>
  <c r="AU850" i="28"/>
  <c r="BB850" i="28" s="1"/>
  <c r="AT850" i="28"/>
  <c r="BA850" i="28" s="1"/>
  <c r="AY849" i="28"/>
  <c r="BF849" i="28" s="1"/>
  <c r="AX849" i="28"/>
  <c r="BE849" i="28" s="1"/>
  <c r="AW849" i="28"/>
  <c r="BD849" i="28" s="1"/>
  <c r="AV849" i="28"/>
  <c r="BC849" i="28" s="1"/>
  <c r="AU849" i="28"/>
  <c r="BB849" i="28" s="1"/>
  <c r="AT849" i="28"/>
  <c r="BA849" i="28" s="1"/>
  <c r="AX848" i="28"/>
  <c r="BE848" i="28" s="1"/>
  <c r="AW848" i="28"/>
  <c r="BD848" i="28" s="1"/>
  <c r="AV848" i="28"/>
  <c r="BC848" i="28" s="1"/>
  <c r="AU848" i="28"/>
  <c r="BB848" i="28" s="1"/>
  <c r="AT848" i="28"/>
  <c r="BA848" i="28" s="1"/>
  <c r="AY847" i="28"/>
  <c r="BF847" i="28" s="1"/>
  <c r="AX847" i="28"/>
  <c r="BE847" i="28" s="1"/>
  <c r="AW847" i="28"/>
  <c r="BD847" i="28" s="1"/>
  <c r="AV847" i="28"/>
  <c r="BC847" i="28" s="1"/>
  <c r="AU847" i="28"/>
  <c r="BB847" i="28" s="1"/>
  <c r="AT847" i="28"/>
  <c r="BA847" i="28" s="1"/>
  <c r="AX846" i="28"/>
  <c r="BE846" i="28" s="1"/>
  <c r="AW846" i="28"/>
  <c r="BD846" i="28" s="1"/>
  <c r="AV846" i="28"/>
  <c r="BC846" i="28" s="1"/>
  <c r="AU846" i="28"/>
  <c r="BB846" i="28" s="1"/>
  <c r="AT846" i="28"/>
  <c r="BA846" i="28" s="1"/>
  <c r="AY845" i="28"/>
  <c r="BF845" i="28" s="1"/>
  <c r="AX845" i="28"/>
  <c r="BE845" i="28" s="1"/>
  <c r="AW845" i="28"/>
  <c r="BD845" i="28" s="1"/>
  <c r="AV845" i="28"/>
  <c r="BC845" i="28" s="1"/>
  <c r="AU845" i="28"/>
  <c r="BB845" i="28" s="1"/>
  <c r="AT845" i="28"/>
  <c r="BA845" i="28" s="1"/>
  <c r="AY844" i="28"/>
  <c r="BF844" i="28" s="1"/>
  <c r="AX844" i="28"/>
  <c r="BE844" i="28" s="1"/>
  <c r="AW844" i="28"/>
  <c r="BD844" i="28" s="1"/>
  <c r="AV844" i="28"/>
  <c r="BC844" i="28" s="1"/>
  <c r="AU844" i="28"/>
  <c r="BB844" i="28" s="1"/>
  <c r="AT844" i="28"/>
  <c r="BA844" i="28" s="1"/>
  <c r="AX843" i="28"/>
  <c r="BE843" i="28" s="1"/>
  <c r="AW843" i="28"/>
  <c r="BD843" i="28" s="1"/>
  <c r="AV843" i="28"/>
  <c r="BC843" i="28" s="1"/>
  <c r="AU843" i="28"/>
  <c r="BB843" i="28" s="1"/>
  <c r="AT843" i="28"/>
  <c r="BA843" i="28" s="1"/>
  <c r="AY842" i="28"/>
  <c r="BF842" i="28" s="1"/>
  <c r="AX842" i="28"/>
  <c r="BE842" i="28" s="1"/>
  <c r="AW842" i="28"/>
  <c r="BD842" i="28" s="1"/>
  <c r="AV842" i="28"/>
  <c r="BC842" i="28" s="1"/>
  <c r="AU842" i="28"/>
  <c r="BB842" i="28" s="1"/>
  <c r="AT842" i="28"/>
  <c r="BA842" i="28" s="1"/>
  <c r="AY841" i="28"/>
  <c r="BF841" i="28" s="1"/>
  <c r="AX841" i="28"/>
  <c r="BE841" i="28" s="1"/>
  <c r="AW841" i="28"/>
  <c r="BD841" i="28" s="1"/>
  <c r="AV841" i="28"/>
  <c r="BC841" i="28" s="1"/>
  <c r="AU841" i="28"/>
  <c r="BB841" i="28" s="1"/>
  <c r="AT841" i="28"/>
  <c r="BA841" i="28" s="1"/>
  <c r="AX840" i="28"/>
  <c r="BE840" i="28" s="1"/>
  <c r="AW840" i="28"/>
  <c r="BD840" i="28" s="1"/>
  <c r="AV840" i="28"/>
  <c r="BC840" i="28" s="1"/>
  <c r="AU840" i="28"/>
  <c r="BB840" i="28" s="1"/>
  <c r="AT840" i="28"/>
  <c r="BA840" i="28" s="1"/>
  <c r="AX839" i="28"/>
  <c r="BE839" i="28" s="1"/>
  <c r="AW839" i="28"/>
  <c r="BD839" i="28" s="1"/>
  <c r="AV839" i="28"/>
  <c r="BC839" i="28" s="1"/>
  <c r="AU839" i="28"/>
  <c r="BB839" i="28" s="1"/>
  <c r="AT839" i="28"/>
  <c r="BA839" i="28" s="1"/>
  <c r="AX838" i="28"/>
  <c r="BE838" i="28" s="1"/>
  <c r="AW838" i="28"/>
  <c r="BD838" i="28" s="1"/>
  <c r="AV838" i="28"/>
  <c r="BC838" i="28" s="1"/>
  <c r="AU838" i="28"/>
  <c r="BB838" i="28" s="1"/>
  <c r="AT838" i="28"/>
  <c r="BA838" i="28" s="1"/>
  <c r="AY837" i="28"/>
  <c r="BF837" i="28" s="1"/>
  <c r="AX837" i="28"/>
  <c r="BE837" i="28" s="1"/>
  <c r="AW837" i="28"/>
  <c r="BD837" i="28" s="1"/>
  <c r="AV837" i="28"/>
  <c r="BC837" i="28" s="1"/>
  <c r="AU837" i="28"/>
  <c r="BB837" i="28" s="1"/>
  <c r="AT837" i="28"/>
  <c r="BA837" i="28" s="1"/>
  <c r="AY836" i="28"/>
  <c r="BF836" i="28" s="1"/>
  <c r="AX836" i="28"/>
  <c r="BE836" i="28" s="1"/>
  <c r="AW836" i="28"/>
  <c r="BD836" i="28" s="1"/>
  <c r="AV836" i="28"/>
  <c r="BC836" i="28" s="1"/>
  <c r="AU836" i="28"/>
  <c r="BB836" i="28" s="1"/>
  <c r="AT836" i="28"/>
  <c r="BA836" i="28" s="1"/>
  <c r="AY835" i="28"/>
  <c r="BF835" i="28" s="1"/>
  <c r="AX835" i="28"/>
  <c r="BE835" i="28" s="1"/>
  <c r="AW835" i="28"/>
  <c r="BD835" i="28" s="1"/>
  <c r="AV835" i="28"/>
  <c r="BC835" i="28" s="1"/>
  <c r="AU835" i="28"/>
  <c r="BB835" i="28" s="1"/>
  <c r="AT835" i="28"/>
  <c r="BA835" i="28" s="1"/>
  <c r="AY834" i="28"/>
  <c r="BF834" i="28" s="1"/>
  <c r="AX834" i="28"/>
  <c r="BE834" i="28" s="1"/>
  <c r="AW834" i="28"/>
  <c r="BD834" i="28" s="1"/>
  <c r="AV834" i="28"/>
  <c r="BC834" i="28" s="1"/>
  <c r="AU834" i="28"/>
  <c r="BB834" i="28" s="1"/>
  <c r="AT834" i="28"/>
  <c r="BA834" i="28" s="1"/>
  <c r="AY833" i="28"/>
  <c r="BF833" i="28" s="1"/>
  <c r="AX833" i="28"/>
  <c r="BE833" i="28" s="1"/>
  <c r="AW833" i="28"/>
  <c r="BD833" i="28" s="1"/>
  <c r="AV833" i="28"/>
  <c r="BC833" i="28" s="1"/>
  <c r="AU833" i="28"/>
  <c r="BB833" i="28" s="1"/>
  <c r="AT833" i="28"/>
  <c r="BA833" i="28" s="1"/>
  <c r="AX832" i="28"/>
  <c r="BE832" i="28" s="1"/>
  <c r="AW832" i="28"/>
  <c r="BD832" i="28" s="1"/>
  <c r="AV832" i="28"/>
  <c r="BC832" i="28" s="1"/>
  <c r="AU832" i="28"/>
  <c r="BB832" i="28" s="1"/>
  <c r="AT832" i="28"/>
  <c r="BA832" i="28" s="1"/>
  <c r="AX831" i="28"/>
  <c r="BE831" i="28" s="1"/>
  <c r="AW831" i="28"/>
  <c r="BD831" i="28" s="1"/>
  <c r="AV831" i="28"/>
  <c r="BC831" i="28" s="1"/>
  <c r="AU831" i="28"/>
  <c r="BB831" i="28" s="1"/>
  <c r="AT831" i="28"/>
  <c r="BA831" i="28" s="1"/>
  <c r="AY830" i="28"/>
  <c r="BF830" i="28" s="1"/>
  <c r="AX830" i="28"/>
  <c r="BE830" i="28" s="1"/>
  <c r="AW830" i="28"/>
  <c r="BD830" i="28" s="1"/>
  <c r="AV830" i="28"/>
  <c r="BC830" i="28" s="1"/>
  <c r="AU830" i="28"/>
  <c r="BB830" i="28" s="1"/>
  <c r="AT830" i="28"/>
  <c r="BA830" i="28" s="1"/>
  <c r="AY829" i="28"/>
  <c r="BF829" i="28" s="1"/>
  <c r="AX829" i="28"/>
  <c r="BE829" i="28" s="1"/>
  <c r="AW829" i="28"/>
  <c r="BD829" i="28" s="1"/>
  <c r="AV829" i="28"/>
  <c r="BC829" i="28" s="1"/>
  <c r="AU829" i="28"/>
  <c r="BB829" i="28" s="1"/>
  <c r="AT829" i="28"/>
  <c r="BA829" i="28" s="1"/>
  <c r="AY828" i="28"/>
  <c r="BF828" i="28" s="1"/>
  <c r="AX828" i="28"/>
  <c r="BE828" i="28" s="1"/>
  <c r="AW828" i="28"/>
  <c r="BD828" i="28" s="1"/>
  <c r="AV828" i="28"/>
  <c r="BC828" i="28" s="1"/>
  <c r="AU828" i="28"/>
  <c r="BB828" i="28" s="1"/>
  <c r="AT828" i="28"/>
  <c r="BA828" i="28" s="1"/>
  <c r="AY827" i="28"/>
  <c r="BF827" i="28" s="1"/>
  <c r="AX827" i="28"/>
  <c r="BE827" i="28" s="1"/>
  <c r="AW827" i="28"/>
  <c r="BD827" i="28" s="1"/>
  <c r="AV827" i="28"/>
  <c r="BC827" i="28" s="1"/>
  <c r="AU827" i="28"/>
  <c r="BB827" i="28" s="1"/>
  <c r="AT827" i="28"/>
  <c r="BA827" i="28" s="1"/>
  <c r="AY826" i="28"/>
  <c r="BF826" i="28" s="1"/>
  <c r="AX826" i="28"/>
  <c r="BE826" i="28" s="1"/>
  <c r="AW826" i="28"/>
  <c r="BD826" i="28" s="1"/>
  <c r="AV826" i="28"/>
  <c r="BC826" i="28" s="1"/>
  <c r="AU826" i="28"/>
  <c r="BB826" i="28" s="1"/>
  <c r="AT826" i="28"/>
  <c r="BA826" i="28" s="1"/>
  <c r="AX825" i="28"/>
  <c r="BE825" i="28" s="1"/>
  <c r="AW825" i="28"/>
  <c r="BD825" i="28" s="1"/>
  <c r="AV825" i="28"/>
  <c r="BC825" i="28" s="1"/>
  <c r="AU825" i="28"/>
  <c r="BB825" i="28" s="1"/>
  <c r="AT825" i="28"/>
  <c r="BA825" i="28" s="1"/>
  <c r="AX824" i="28"/>
  <c r="BE824" i="28" s="1"/>
  <c r="AW824" i="28"/>
  <c r="BD824" i="28" s="1"/>
  <c r="AV824" i="28"/>
  <c r="BC824" i="28" s="1"/>
  <c r="AU824" i="28"/>
  <c r="BB824" i="28" s="1"/>
  <c r="AT824" i="28"/>
  <c r="BA824" i="28" s="1"/>
  <c r="AY823" i="28"/>
  <c r="BF823" i="28" s="1"/>
  <c r="AX823" i="28"/>
  <c r="BE823" i="28" s="1"/>
  <c r="AW823" i="28"/>
  <c r="BD823" i="28" s="1"/>
  <c r="AV823" i="28"/>
  <c r="BC823" i="28" s="1"/>
  <c r="AU823" i="28"/>
  <c r="BB823" i="28" s="1"/>
  <c r="AT823" i="28"/>
  <c r="BA823" i="28" s="1"/>
  <c r="AX822" i="28"/>
  <c r="BE822" i="28" s="1"/>
  <c r="AW822" i="28"/>
  <c r="BD822" i="28" s="1"/>
  <c r="AV822" i="28"/>
  <c r="BC822" i="28" s="1"/>
  <c r="AU822" i="28"/>
  <c r="BB822" i="28" s="1"/>
  <c r="AT822" i="28"/>
  <c r="BA822" i="28" s="1"/>
  <c r="AY821" i="28"/>
  <c r="BF821" i="28" s="1"/>
  <c r="AX821" i="28"/>
  <c r="BE821" i="28" s="1"/>
  <c r="AW821" i="28"/>
  <c r="BD821" i="28" s="1"/>
  <c r="AV821" i="28"/>
  <c r="BC821" i="28" s="1"/>
  <c r="AU821" i="28"/>
  <c r="BB821" i="28" s="1"/>
  <c r="AT821" i="28"/>
  <c r="BA821" i="28" s="1"/>
  <c r="AY820" i="28"/>
  <c r="BF820" i="28" s="1"/>
  <c r="AX820" i="28"/>
  <c r="BE820" i="28" s="1"/>
  <c r="AW820" i="28"/>
  <c r="BD820" i="28" s="1"/>
  <c r="AV820" i="28"/>
  <c r="BC820" i="28" s="1"/>
  <c r="AU820" i="28"/>
  <c r="BB820" i="28" s="1"/>
  <c r="AT820" i="28"/>
  <c r="BA820" i="28" s="1"/>
  <c r="AY819" i="28"/>
  <c r="BF819" i="28" s="1"/>
  <c r="AX819" i="28"/>
  <c r="BE819" i="28" s="1"/>
  <c r="AW819" i="28"/>
  <c r="BD819" i="28" s="1"/>
  <c r="AV819" i="28"/>
  <c r="BC819" i="28" s="1"/>
  <c r="AU819" i="28"/>
  <c r="BB819" i="28" s="1"/>
  <c r="AT819" i="28"/>
  <c r="BA819" i="28" s="1"/>
  <c r="AY818" i="28"/>
  <c r="BF818" i="28" s="1"/>
  <c r="AX818" i="28"/>
  <c r="BE818" i="28" s="1"/>
  <c r="AW818" i="28"/>
  <c r="BD818" i="28" s="1"/>
  <c r="AV818" i="28"/>
  <c r="BC818" i="28" s="1"/>
  <c r="AU818" i="28"/>
  <c r="BB818" i="28" s="1"/>
  <c r="AT818" i="28"/>
  <c r="BA818" i="28" s="1"/>
  <c r="AY817" i="28"/>
  <c r="BF817" i="28" s="1"/>
  <c r="AX817" i="28"/>
  <c r="BE817" i="28" s="1"/>
  <c r="AW817" i="28"/>
  <c r="BD817" i="28" s="1"/>
  <c r="AV817" i="28"/>
  <c r="BC817" i="28" s="1"/>
  <c r="AU817" i="28"/>
  <c r="BB817" i="28" s="1"/>
  <c r="AT817" i="28"/>
  <c r="BA817" i="28" s="1"/>
  <c r="AX816" i="28"/>
  <c r="BE816" i="28" s="1"/>
  <c r="AW816" i="28"/>
  <c r="BD816" i="28" s="1"/>
  <c r="AV816" i="28"/>
  <c r="BC816" i="28" s="1"/>
  <c r="AU816" i="28"/>
  <c r="BB816" i="28" s="1"/>
  <c r="AT816" i="28"/>
  <c r="BA816" i="28" s="1"/>
  <c r="AY815" i="28"/>
  <c r="BF815" i="28" s="1"/>
  <c r="AX815" i="28"/>
  <c r="BE815" i="28" s="1"/>
  <c r="AW815" i="28"/>
  <c r="BD815" i="28" s="1"/>
  <c r="AV815" i="28"/>
  <c r="BC815" i="28" s="1"/>
  <c r="AU815" i="28"/>
  <c r="BB815" i="28" s="1"/>
  <c r="AT815" i="28"/>
  <c r="BA815" i="28" s="1"/>
  <c r="AX814" i="28"/>
  <c r="BE814" i="28" s="1"/>
  <c r="AW814" i="28"/>
  <c r="BD814" i="28" s="1"/>
  <c r="AV814" i="28"/>
  <c r="BC814" i="28" s="1"/>
  <c r="AU814" i="28"/>
  <c r="BB814" i="28" s="1"/>
  <c r="AT814" i="28"/>
  <c r="BA814" i="28" s="1"/>
  <c r="AY813" i="28"/>
  <c r="BF813" i="28" s="1"/>
  <c r="AX813" i="28"/>
  <c r="BE813" i="28" s="1"/>
  <c r="AW813" i="28"/>
  <c r="BD813" i="28" s="1"/>
  <c r="AV813" i="28"/>
  <c r="BC813" i="28" s="1"/>
  <c r="AU813" i="28"/>
  <c r="BB813" i="28" s="1"/>
  <c r="AT813" i="28"/>
  <c r="BA813" i="28" s="1"/>
  <c r="AY812" i="28"/>
  <c r="BF812" i="28" s="1"/>
  <c r="AX812" i="28"/>
  <c r="BE812" i="28" s="1"/>
  <c r="AW812" i="28"/>
  <c r="BD812" i="28" s="1"/>
  <c r="AV812" i="28"/>
  <c r="BC812" i="28" s="1"/>
  <c r="AU812" i="28"/>
  <c r="BB812" i="28" s="1"/>
  <c r="AT812" i="28"/>
  <c r="BA812" i="28" s="1"/>
  <c r="AX811" i="28"/>
  <c r="BE811" i="28" s="1"/>
  <c r="AW811" i="28"/>
  <c r="BD811" i="28" s="1"/>
  <c r="AV811" i="28"/>
  <c r="BC811" i="28" s="1"/>
  <c r="AU811" i="28"/>
  <c r="BB811" i="28" s="1"/>
  <c r="AT811" i="28"/>
  <c r="BA811" i="28" s="1"/>
  <c r="AY810" i="28"/>
  <c r="BF810" i="28" s="1"/>
  <c r="AX810" i="28"/>
  <c r="BE810" i="28" s="1"/>
  <c r="AW810" i="28"/>
  <c r="BD810" i="28" s="1"/>
  <c r="AV810" i="28"/>
  <c r="BC810" i="28" s="1"/>
  <c r="AU810" i="28"/>
  <c r="BB810" i="28" s="1"/>
  <c r="AT810" i="28"/>
  <c r="BA810" i="28" s="1"/>
  <c r="AX809" i="28"/>
  <c r="BE809" i="28" s="1"/>
  <c r="AW809" i="28"/>
  <c r="BD809" i="28" s="1"/>
  <c r="AV809" i="28"/>
  <c r="BC809" i="28" s="1"/>
  <c r="AU809" i="28"/>
  <c r="BB809" i="28" s="1"/>
  <c r="AT809" i="28"/>
  <c r="BA809" i="28" s="1"/>
  <c r="AX808" i="28"/>
  <c r="BE808" i="28" s="1"/>
  <c r="AW808" i="28"/>
  <c r="BD808" i="28" s="1"/>
  <c r="AV808" i="28"/>
  <c r="BC808" i="28" s="1"/>
  <c r="AU808" i="28"/>
  <c r="BB808" i="28" s="1"/>
  <c r="AT808" i="28"/>
  <c r="BA808" i="28" s="1"/>
  <c r="AX807" i="28"/>
  <c r="BE807" i="28" s="1"/>
  <c r="AW807" i="28"/>
  <c r="BD807" i="28" s="1"/>
  <c r="AV807" i="28"/>
  <c r="BC807" i="28" s="1"/>
  <c r="AU807" i="28"/>
  <c r="BB807" i="28" s="1"/>
  <c r="AT807" i="28"/>
  <c r="BA807" i="28" s="1"/>
  <c r="AX806" i="28"/>
  <c r="BE806" i="28" s="1"/>
  <c r="AW806" i="28"/>
  <c r="BD806" i="28" s="1"/>
  <c r="AV806" i="28"/>
  <c r="BC806" i="28" s="1"/>
  <c r="AU806" i="28"/>
  <c r="BB806" i="28" s="1"/>
  <c r="AT806" i="28"/>
  <c r="BA806" i="28" s="1"/>
  <c r="AY805" i="28"/>
  <c r="BF805" i="28" s="1"/>
  <c r="AX805" i="28"/>
  <c r="BE805" i="28" s="1"/>
  <c r="AW805" i="28"/>
  <c r="BD805" i="28" s="1"/>
  <c r="AV805" i="28"/>
  <c r="BC805" i="28" s="1"/>
  <c r="AU805" i="28"/>
  <c r="BB805" i="28" s="1"/>
  <c r="AT805" i="28"/>
  <c r="BA805" i="28" s="1"/>
  <c r="AY804" i="28"/>
  <c r="BF804" i="28" s="1"/>
  <c r="AX804" i="28"/>
  <c r="BE804" i="28" s="1"/>
  <c r="AW804" i="28"/>
  <c r="BD804" i="28" s="1"/>
  <c r="AV804" i="28"/>
  <c r="BC804" i="28" s="1"/>
  <c r="AU804" i="28"/>
  <c r="BB804" i="28" s="1"/>
  <c r="AT804" i="28"/>
  <c r="BA804" i="28" s="1"/>
  <c r="AX803" i="28"/>
  <c r="BE803" i="28" s="1"/>
  <c r="AW803" i="28"/>
  <c r="BD803" i="28" s="1"/>
  <c r="AV803" i="28"/>
  <c r="BC803" i="28" s="1"/>
  <c r="AU803" i="28"/>
  <c r="BB803" i="28" s="1"/>
  <c r="AT803" i="28"/>
  <c r="BA803" i="28" s="1"/>
  <c r="AY802" i="28"/>
  <c r="BF802" i="28" s="1"/>
  <c r="AX802" i="28"/>
  <c r="BE802" i="28" s="1"/>
  <c r="AW802" i="28"/>
  <c r="BD802" i="28" s="1"/>
  <c r="AV802" i="28"/>
  <c r="BC802" i="28" s="1"/>
  <c r="AU802" i="28"/>
  <c r="BB802" i="28" s="1"/>
  <c r="AT802" i="28"/>
  <c r="BA802" i="28" s="1"/>
  <c r="AY801" i="28"/>
  <c r="BF801" i="28" s="1"/>
  <c r="AX801" i="28"/>
  <c r="BE801" i="28" s="1"/>
  <c r="AW801" i="28"/>
  <c r="BD801" i="28" s="1"/>
  <c r="AV801" i="28"/>
  <c r="BC801" i="28" s="1"/>
  <c r="AU801" i="28"/>
  <c r="BB801" i="28" s="1"/>
  <c r="AT801" i="28"/>
  <c r="BA801" i="28" s="1"/>
  <c r="AX800" i="28"/>
  <c r="BE800" i="28" s="1"/>
  <c r="AW800" i="28"/>
  <c r="BD800" i="28" s="1"/>
  <c r="AV800" i="28"/>
  <c r="BC800" i="28" s="1"/>
  <c r="AU800" i="28"/>
  <c r="BB800" i="28" s="1"/>
  <c r="AT800" i="28"/>
  <c r="BA800" i="28" s="1"/>
  <c r="AX799" i="28"/>
  <c r="BE799" i="28" s="1"/>
  <c r="AW799" i="28"/>
  <c r="BD799" i="28" s="1"/>
  <c r="AV799" i="28"/>
  <c r="BC799" i="28" s="1"/>
  <c r="AU799" i="28"/>
  <c r="BB799" i="28" s="1"/>
  <c r="AT799" i="28"/>
  <c r="BA799" i="28" s="1"/>
  <c r="AX798" i="28"/>
  <c r="BE798" i="28" s="1"/>
  <c r="AW798" i="28"/>
  <c r="BD798" i="28" s="1"/>
  <c r="AV798" i="28"/>
  <c r="BC798" i="28" s="1"/>
  <c r="AU798" i="28"/>
  <c r="BB798" i="28" s="1"/>
  <c r="AT798" i="28"/>
  <c r="BA798" i="28" s="1"/>
  <c r="AY797" i="28"/>
  <c r="BF797" i="28" s="1"/>
  <c r="AX797" i="28"/>
  <c r="BE797" i="28" s="1"/>
  <c r="AW797" i="28"/>
  <c r="BD797" i="28" s="1"/>
  <c r="AV797" i="28"/>
  <c r="BC797" i="28" s="1"/>
  <c r="AU797" i="28"/>
  <c r="BB797" i="28" s="1"/>
  <c r="AT797" i="28"/>
  <c r="BA797" i="28" s="1"/>
  <c r="AY796" i="28"/>
  <c r="BF796" i="28" s="1"/>
  <c r="AX796" i="28"/>
  <c r="BE796" i="28" s="1"/>
  <c r="AW796" i="28"/>
  <c r="BD796" i="28" s="1"/>
  <c r="AV796" i="28"/>
  <c r="BC796" i="28" s="1"/>
  <c r="AU796" i="28"/>
  <c r="BB796" i="28" s="1"/>
  <c r="AT796" i="28"/>
  <c r="BA796" i="28" s="1"/>
  <c r="AX795" i="28"/>
  <c r="BE795" i="28" s="1"/>
  <c r="AW795" i="28"/>
  <c r="BD795" i="28" s="1"/>
  <c r="AV795" i="28"/>
  <c r="BC795" i="28" s="1"/>
  <c r="AU795" i="28"/>
  <c r="BB795" i="28" s="1"/>
  <c r="AT795" i="28"/>
  <c r="BA795" i="28" s="1"/>
  <c r="AY794" i="28"/>
  <c r="BF794" i="28" s="1"/>
  <c r="AX794" i="28"/>
  <c r="BE794" i="28" s="1"/>
  <c r="AW794" i="28"/>
  <c r="BD794" i="28" s="1"/>
  <c r="AV794" i="28"/>
  <c r="BC794" i="28" s="1"/>
  <c r="AU794" i="28"/>
  <c r="BB794" i="28" s="1"/>
  <c r="AT794" i="28"/>
  <c r="BA794" i="28" s="1"/>
  <c r="AY793" i="28"/>
  <c r="BF793" i="28" s="1"/>
  <c r="AX793" i="28"/>
  <c r="BE793" i="28" s="1"/>
  <c r="AW793" i="28"/>
  <c r="BD793" i="28" s="1"/>
  <c r="AV793" i="28"/>
  <c r="BC793" i="28" s="1"/>
  <c r="AU793" i="28"/>
  <c r="BB793" i="28" s="1"/>
  <c r="AT793" i="28"/>
  <c r="BA793" i="28" s="1"/>
  <c r="AX792" i="28"/>
  <c r="BE792" i="28" s="1"/>
  <c r="AW792" i="28"/>
  <c r="BD792" i="28" s="1"/>
  <c r="AV792" i="28"/>
  <c r="BC792" i="28" s="1"/>
  <c r="AU792" i="28"/>
  <c r="BB792" i="28" s="1"/>
  <c r="AT792" i="28"/>
  <c r="BA792" i="28" s="1"/>
  <c r="AY791" i="28"/>
  <c r="BF791" i="28" s="1"/>
  <c r="AX791" i="28"/>
  <c r="BE791" i="28" s="1"/>
  <c r="AW791" i="28"/>
  <c r="BD791" i="28" s="1"/>
  <c r="AV791" i="28"/>
  <c r="BC791" i="28" s="1"/>
  <c r="AU791" i="28"/>
  <c r="BB791" i="28" s="1"/>
  <c r="AT791" i="28"/>
  <c r="BA791" i="28" s="1"/>
  <c r="AX790" i="28"/>
  <c r="BE790" i="28" s="1"/>
  <c r="AW790" i="28"/>
  <c r="BD790" i="28" s="1"/>
  <c r="AV790" i="28"/>
  <c r="BC790" i="28" s="1"/>
  <c r="AU790" i="28"/>
  <c r="BB790" i="28" s="1"/>
  <c r="AT790" i="28"/>
  <c r="BA790" i="28" s="1"/>
  <c r="AY789" i="28"/>
  <c r="BF789" i="28" s="1"/>
  <c r="AX789" i="28"/>
  <c r="BE789" i="28" s="1"/>
  <c r="AW789" i="28"/>
  <c r="BD789" i="28" s="1"/>
  <c r="AV789" i="28"/>
  <c r="BC789" i="28" s="1"/>
  <c r="AU789" i="28"/>
  <c r="BB789" i="28" s="1"/>
  <c r="AT789" i="28"/>
  <c r="BA789" i="28" s="1"/>
  <c r="AY788" i="28"/>
  <c r="BF788" i="28" s="1"/>
  <c r="AX788" i="28"/>
  <c r="BE788" i="28" s="1"/>
  <c r="AW788" i="28"/>
  <c r="BD788" i="28" s="1"/>
  <c r="AV788" i="28"/>
  <c r="BC788" i="28" s="1"/>
  <c r="AU788" i="28"/>
  <c r="BB788" i="28" s="1"/>
  <c r="AT788" i="28"/>
  <c r="BA788" i="28" s="1"/>
  <c r="AY787" i="28"/>
  <c r="BF787" i="28" s="1"/>
  <c r="AX787" i="28"/>
  <c r="BE787" i="28" s="1"/>
  <c r="AW787" i="28"/>
  <c r="BD787" i="28" s="1"/>
  <c r="AV787" i="28"/>
  <c r="BC787" i="28" s="1"/>
  <c r="AU787" i="28"/>
  <c r="BB787" i="28" s="1"/>
  <c r="AT787" i="28"/>
  <c r="BA787" i="28" s="1"/>
  <c r="AY786" i="28"/>
  <c r="BF786" i="28" s="1"/>
  <c r="AX786" i="28"/>
  <c r="BE786" i="28" s="1"/>
  <c r="AW786" i="28"/>
  <c r="BD786" i="28" s="1"/>
  <c r="AV786" i="28"/>
  <c r="BC786" i="28" s="1"/>
  <c r="AU786" i="28"/>
  <c r="BB786" i="28" s="1"/>
  <c r="AT786" i="28"/>
  <c r="BA786" i="28" s="1"/>
  <c r="AY785" i="28"/>
  <c r="BF785" i="28" s="1"/>
  <c r="AX785" i="28"/>
  <c r="BE785" i="28" s="1"/>
  <c r="AW785" i="28"/>
  <c r="BD785" i="28" s="1"/>
  <c r="AV785" i="28"/>
  <c r="BC785" i="28" s="1"/>
  <c r="AU785" i="28"/>
  <c r="BB785" i="28" s="1"/>
  <c r="AT785" i="28"/>
  <c r="BA785" i="28" s="1"/>
  <c r="AX784" i="28"/>
  <c r="BE784" i="28" s="1"/>
  <c r="AW784" i="28"/>
  <c r="BD784" i="28" s="1"/>
  <c r="AV784" i="28"/>
  <c r="BC784" i="28" s="1"/>
  <c r="AU784" i="28"/>
  <c r="BB784" i="28" s="1"/>
  <c r="AT784" i="28"/>
  <c r="BA784" i="28" s="1"/>
  <c r="AX783" i="28"/>
  <c r="BE783" i="28" s="1"/>
  <c r="AW783" i="28"/>
  <c r="BD783" i="28" s="1"/>
  <c r="AV783" i="28"/>
  <c r="BC783" i="28" s="1"/>
  <c r="AU783" i="28"/>
  <c r="BB783" i="28" s="1"/>
  <c r="AT783" i="28"/>
  <c r="BA783" i="28" s="1"/>
  <c r="AX782" i="28"/>
  <c r="BE782" i="28" s="1"/>
  <c r="AW782" i="28"/>
  <c r="BD782" i="28" s="1"/>
  <c r="AV782" i="28"/>
  <c r="BC782" i="28" s="1"/>
  <c r="AU782" i="28"/>
  <c r="BB782" i="28" s="1"/>
  <c r="AT782" i="28"/>
  <c r="BA782" i="28" s="1"/>
  <c r="AY781" i="28"/>
  <c r="BF781" i="28" s="1"/>
  <c r="AX781" i="28"/>
  <c r="BE781" i="28" s="1"/>
  <c r="AW781" i="28"/>
  <c r="BD781" i="28" s="1"/>
  <c r="AV781" i="28"/>
  <c r="BC781" i="28" s="1"/>
  <c r="AU781" i="28"/>
  <c r="BB781" i="28" s="1"/>
  <c r="AT781" i="28"/>
  <c r="BA781" i="28" s="1"/>
  <c r="AY780" i="28"/>
  <c r="BF780" i="28" s="1"/>
  <c r="AX780" i="28"/>
  <c r="BE780" i="28" s="1"/>
  <c r="AW780" i="28"/>
  <c r="BD780" i="28" s="1"/>
  <c r="AV780" i="28"/>
  <c r="BC780" i="28" s="1"/>
  <c r="AU780" i="28"/>
  <c r="BB780" i="28" s="1"/>
  <c r="AT780" i="28"/>
  <c r="BA780" i="28" s="1"/>
  <c r="AY779" i="28"/>
  <c r="BF779" i="28" s="1"/>
  <c r="AX779" i="28"/>
  <c r="BE779" i="28" s="1"/>
  <c r="AW779" i="28"/>
  <c r="BD779" i="28" s="1"/>
  <c r="AV779" i="28"/>
  <c r="BC779" i="28" s="1"/>
  <c r="AU779" i="28"/>
  <c r="BB779" i="28" s="1"/>
  <c r="AT779" i="28"/>
  <c r="BA779" i="28" s="1"/>
  <c r="AY778" i="28"/>
  <c r="BF778" i="28" s="1"/>
  <c r="AX778" i="28"/>
  <c r="BE778" i="28" s="1"/>
  <c r="AW778" i="28"/>
  <c r="BD778" i="28" s="1"/>
  <c r="AV778" i="28"/>
  <c r="BC778" i="28" s="1"/>
  <c r="AU778" i="28"/>
  <c r="BB778" i="28" s="1"/>
  <c r="AT778" i="28"/>
  <c r="BA778" i="28" s="1"/>
  <c r="AY777" i="28"/>
  <c r="BF777" i="28" s="1"/>
  <c r="AX777" i="28"/>
  <c r="BE777" i="28" s="1"/>
  <c r="AW777" i="28"/>
  <c r="BD777" i="28" s="1"/>
  <c r="AV777" i="28"/>
  <c r="BC777" i="28" s="1"/>
  <c r="AU777" i="28"/>
  <c r="BB777" i="28" s="1"/>
  <c r="AT777" i="28"/>
  <c r="BA777" i="28" s="1"/>
  <c r="AX776" i="28"/>
  <c r="BE776" i="28" s="1"/>
  <c r="AW776" i="28"/>
  <c r="BD776" i="28" s="1"/>
  <c r="AV776" i="28"/>
  <c r="BC776" i="28" s="1"/>
  <c r="AU776" i="28"/>
  <c r="BB776" i="28" s="1"/>
  <c r="AT776" i="28"/>
  <c r="BA776" i="28" s="1"/>
  <c r="AX775" i="28"/>
  <c r="BE775" i="28" s="1"/>
  <c r="AW775" i="28"/>
  <c r="BD775" i="28" s="1"/>
  <c r="AV775" i="28"/>
  <c r="BC775" i="28" s="1"/>
  <c r="AU775" i="28"/>
  <c r="BB775" i="28" s="1"/>
  <c r="AT775" i="28"/>
  <c r="BA775" i="28" s="1"/>
  <c r="AX774" i="28"/>
  <c r="BE774" i="28" s="1"/>
  <c r="AW774" i="28"/>
  <c r="BD774" i="28" s="1"/>
  <c r="AV774" i="28"/>
  <c r="BC774" i="28" s="1"/>
  <c r="AU774" i="28"/>
  <c r="BB774" i="28" s="1"/>
  <c r="AT774" i="28"/>
  <c r="BA774" i="28" s="1"/>
  <c r="AY773" i="28"/>
  <c r="BF773" i="28" s="1"/>
  <c r="AX773" i="28"/>
  <c r="BE773" i="28" s="1"/>
  <c r="AW773" i="28"/>
  <c r="BD773" i="28" s="1"/>
  <c r="AV773" i="28"/>
  <c r="BC773" i="28" s="1"/>
  <c r="AU773" i="28"/>
  <c r="BB773" i="28" s="1"/>
  <c r="AT773" i="28"/>
  <c r="BA773" i="28" s="1"/>
  <c r="AY772" i="28"/>
  <c r="BF772" i="28" s="1"/>
  <c r="AX772" i="28"/>
  <c r="BE772" i="28" s="1"/>
  <c r="AW772" i="28"/>
  <c r="BD772" i="28" s="1"/>
  <c r="AV772" i="28"/>
  <c r="BC772" i="28" s="1"/>
  <c r="AU772" i="28"/>
  <c r="BB772" i="28" s="1"/>
  <c r="AT772" i="28"/>
  <c r="BA772" i="28" s="1"/>
  <c r="AY771" i="28"/>
  <c r="BF771" i="28" s="1"/>
  <c r="AX771" i="28"/>
  <c r="BE771" i="28" s="1"/>
  <c r="AW771" i="28"/>
  <c r="BD771" i="28" s="1"/>
  <c r="AV771" i="28"/>
  <c r="BC771" i="28" s="1"/>
  <c r="AU771" i="28"/>
  <c r="BB771" i="28" s="1"/>
  <c r="AT771" i="28"/>
  <c r="BA771" i="28" s="1"/>
  <c r="AY770" i="28"/>
  <c r="BF770" i="28" s="1"/>
  <c r="AX770" i="28"/>
  <c r="BE770" i="28" s="1"/>
  <c r="AW770" i="28"/>
  <c r="BD770" i="28" s="1"/>
  <c r="AV770" i="28"/>
  <c r="BC770" i="28" s="1"/>
  <c r="AU770" i="28"/>
  <c r="BB770" i="28" s="1"/>
  <c r="AT770" i="28"/>
  <c r="BA770" i="28" s="1"/>
  <c r="AY769" i="28"/>
  <c r="BF769" i="28" s="1"/>
  <c r="AX769" i="28"/>
  <c r="BE769" i="28" s="1"/>
  <c r="AW769" i="28"/>
  <c r="BD769" i="28" s="1"/>
  <c r="AV769" i="28"/>
  <c r="BC769" i="28" s="1"/>
  <c r="AU769" i="28"/>
  <c r="BB769" i="28" s="1"/>
  <c r="AT769" i="28"/>
  <c r="BA769" i="28" s="1"/>
  <c r="AX768" i="28"/>
  <c r="BE768" i="28" s="1"/>
  <c r="AW768" i="28"/>
  <c r="BD768" i="28" s="1"/>
  <c r="AV768" i="28"/>
  <c r="BC768" i="28" s="1"/>
  <c r="AU768" i="28"/>
  <c r="BB768" i="28" s="1"/>
  <c r="AT768" i="28"/>
  <c r="BA768" i="28" s="1"/>
  <c r="AX767" i="28"/>
  <c r="BE767" i="28" s="1"/>
  <c r="AW767" i="28"/>
  <c r="BD767" i="28" s="1"/>
  <c r="AV767" i="28"/>
  <c r="BC767" i="28" s="1"/>
  <c r="AU767" i="28"/>
  <c r="BB767" i="28" s="1"/>
  <c r="AT767" i="28"/>
  <c r="BA767" i="28" s="1"/>
  <c r="AX766" i="28"/>
  <c r="BE766" i="28" s="1"/>
  <c r="AW766" i="28"/>
  <c r="BD766" i="28" s="1"/>
  <c r="AV766" i="28"/>
  <c r="BC766" i="28" s="1"/>
  <c r="AU766" i="28"/>
  <c r="BB766" i="28" s="1"/>
  <c r="AT766" i="28"/>
  <c r="BA766" i="28" s="1"/>
  <c r="AY765" i="28"/>
  <c r="BF765" i="28" s="1"/>
  <c r="AX765" i="28"/>
  <c r="BE765" i="28" s="1"/>
  <c r="AW765" i="28"/>
  <c r="BD765" i="28" s="1"/>
  <c r="AV765" i="28"/>
  <c r="BC765" i="28" s="1"/>
  <c r="AU765" i="28"/>
  <c r="BB765" i="28" s="1"/>
  <c r="AT765" i="28"/>
  <c r="BA765" i="28" s="1"/>
  <c r="AY764" i="28"/>
  <c r="BF764" i="28" s="1"/>
  <c r="AX764" i="28"/>
  <c r="BE764" i="28" s="1"/>
  <c r="AW764" i="28"/>
  <c r="BD764" i="28" s="1"/>
  <c r="AV764" i="28"/>
  <c r="BC764" i="28" s="1"/>
  <c r="AU764" i="28"/>
  <c r="BB764" i="28" s="1"/>
  <c r="AT764" i="28"/>
  <c r="BA764" i="28" s="1"/>
  <c r="AY763" i="28"/>
  <c r="BF763" i="28" s="1"/>
  <c r="AX763" i="28"/>
  <c r="BE763" i="28" s="1"/>
  <c r="AW763" i="28"/>
  <c r="BD763" i="28" s="1"/>
  <c r="AV763" i="28"/>
  <c r="BC763" i="28" s="1"/>
  <c r="AU763" i="28"/>
  <c r="BB763" i="28" s="1"/>
  <c r="AT763" i="28"/>
  <c r="BA763" i="28" s="1"/>
  <c r="AY762" i="28"/>
  <c r="BF762" i="28" s="1"/>
  <c r="AX762" i="28"/>
  <c r="BE762" i="28" s="1"/>
  <c r="AW762" i="28"/>
  <c r="BD762" i="28" s="1"/>
  <c r="AV762" i="28"/>
  <c r="BC762" i="28" s="1"/>
  <c r="AU762" i="28"/>
  <c r="BB762" i="28" s="1"/>
  <c r="AT762" i="28"/>
  <c r="BA762" i="28" s="1"/>
  <c r="AY761" i="28"/>
  <c r="BF761" i="28" s="1"/>
  <c r="AX761" i="28"/>
  <c r="BE761" i="28" s="1"/>
  <c r="AW761" i="28"/>
  <c r="BD761" i="28" s="1"/>
  <c r="AV761" i="28"/>
  <c r="BC761" i="28" s="1"/>
  <c r="AU761" i="28"/>
  <c r="BB761" i="28" s="1"/>
  <c r="AT761" i="28"/>
  <c r="BA761" i="28" s="1"/>
  <c r="AX760" i="28"/>
  <c r="BE760" i="28" s="1"/>
  <c r="AW760" i="28"/>
  <c r="BD760" i="28" s="1"/>
  <c r="AV760" i="28"/>
  <c r="BC760" i="28" s="1"/>
  <c r="AU760" i="28"/>
  <c r="BB760" i="28" s="1"/>
  <c r="AT760" i="28"/>
  <c r="BA760" i="28" s="1"/>
  <c r="AX759" i="28"/>
  <c r="BE759" i="28" s="1"/>
  <c r="AW759" i="28"/>
  <c r="BD759" i="28" s="1"/>
  <c r="AV759" i="28"/>
  <c r="BC759" i="28" s="1"/>
  <c r="AU759" i="28"/>
  <c r="BB759" i="28" s="1"/>
  <c r="AT759" i="28"/>
  <c r="BA759" i="28" s="1"/>
  <c r="AX758" i="28"/>
  <c r="BE758" i="28" s="1"/>
  <c r="AW758" i="28"/>
  <c r="BD758" i="28" s="1"/>
  <c r="AV758" i="28"/>
  <c r="BC758" i="28" s="1"/>
  <c r="AU758" i="28"/>
  <c r="BB758" i="28" s="1"/>
  <c r="AT758" i="28"/>
  <c r="BA758" i="28" s="1"/>
  <c r="AY757" i="28"/>
  <c r="BF757" i="28" s="1"/>
  <c r="AX757" i="28"/>
  <c r="BE757" i="28" s="1"/>
  <c r="AW757" i="28"/>
  <c r="BD757" i="28" s="1"/>
  <c r="AV757" i="28"/>
  <c r="BC757" i="28" s="1"/>
  <c r="AU757" i="28"/>
  <c r="BB757" i="28" s="1"/>
  <c r="AT757" i="28"/>
  <c r="BA757" i="28" s="1"/>
  <c r="AY756" i="28"/>
  <c r="BF756" i="28" s="1"/>
  <c r="AX756" i="28"/>
  <c r="BE756" i="28" s="1"/>
  <c r="AW756" i="28"/>
  <c r="BD756" i="28" s="1"/>
  <c r="AV756" i="28"/>
  <c r="BC756" i="28" s="1"/>
  <c r="AU756" i="28"/>
  <c r="BB756" i="28" s="1"/>
  <c r="AT756" i="28"/>
  <c r="BA756" i="28" s="1"/>
  <c r="AY755" i="28"/>
  <c r="BF755" i="28" s="1"/>
  <c r="AX755" i="28"/>
  <c r="BE755" i="28" s="1"/>
  <c r="AW755" i="28"/>
  <c r="BD755" i="28" s="1"/>
  <c r="AV755" i="28"/>
  <c r="BC755" i="28" s="1"/>
  <c r="AU755" i="28"/>
  <c r="BB755" i="28" s="1"/>
  <c r="AT755" i="28"/>
  <c r="BA755" i="28" s="1"/>
  <c r="AY754" i="28"/>
  <c r="BF754" i="28" s="1"/>
  <c r="AX754" i="28"/>
  <c r="BE754" i="28" s="1"/>
  <c r="AW754" i="28"/>
  <c r="BD754" i="28" s="1"/>
  <c r="AV754" i="28"/>
  <c r="BC754" i="28" s="1"/>
  <c r="AU754" i="28"/>
  <c r="BB754" i="28" s="1"/>
  <c r="AT754" i="28"/>
  <c r="BA754" i="28" s="1"/>
  <c r="AY753" i="28"/>
  <c r="BF753" i="28" s="1"/>
  <c r="AX753" i="28"/>
  <c r="BE753" i="28" s="1"/>
  <c r="AW753" i="28"/>
  <c r="BD753" i="28" s="1"/>
  <c r="AV753" i="28"/>
  <c r="BC753" i="28" s="1"/>
  <c r="AU753" i="28"/>
  <c r="BB753" i="28" s="1"/>
  <c r="AT753" i="28"/>
  <c r="BA753" i="28" s="1"/>
  <c r="AX752" i="28"/>
  <c r="BE752" i="28" s="1"/>
  <c r="AW752" i="28"/>
  <c r="BD752" i="28" s="1"/>
  <c r="AV752" i="28"/>
  <c r="BC752" i="28" s="1"/>
  <c r="AU752" i="28"/>
  <c r="BB752" i="28" s="1"/>
  <c r="AT752" i="28"/>
  <c r="BA752" i="28" s="1"/>
  <c r="AX751" i="28"/>
  <c r="BE751" i="28" s="1"/>
  <c r="AW751" i="28"/>
  <c r="BD751" i="28" s="1"/>
  <c r="AV751" i="28"/>
  <c r="BC751" i="28" s="1"/>
  <c r="AU751" i="28"/>
  <c r="BB751" i="28" s="1"/>
  <c r="AT751" i="28"/>
  <c r="BA751" i="28" s="1"/>
  <c r="AX750" i="28"/>
  <c r="BE750" i="28" s="1"/>
  <c r="AW750" i="28"/>
  <c r="BD750" i="28" s="1"/>
  <c r="AV750" i="28"/>
  <c r="BC750" i="28" s="1"/>
  <c r="AU750" i="28"/>
  <c r="BB750" i="28" s="1"/>
  <c r="AT750" i="28"/>
  <c r="BA750" i="28" s="1"/>
  <c r="AY749" i="28"/>
  <c r="BF749" i="28" s="1"/>
  <c r="AX749" i="28"/>
  <c r="BE749" i="28" s="1"/>
  <c r="AW749" i="28"/>
  <c r="BD749" i="28" s="1"/>
  <c r="AV749" i="28"/>
  <c r="BC749" i="28" s="1"/>
  <c r="AU749" i="28"/>
  <c r="BB749" i="28" s="1"/>
  <c r="AT749" i="28"/>
  <c r="BA749" i="28" s="1"/>
  <c r="AY748" i="28"/>
  <c r="BF748" i="28" s="1"/>
  <c r="AX748" i="28"/>
  <c r="BE748" i="28" s="1"/>
  <c r="AW748" i="28"/>
  <c r="BD748" i="28" s="1"/>
  <c r="AV748" i="28"/>
  <c r="BC748" i="28" s="1"/>
  <c r="AU748" i="28"/>
  <c r="BB748" i="28" s="1"/>
  <c r="AT748" i="28"/>
  <c r="BA748" i="28" s="1"/>
  <c r="AY747" i="28"/>
  <c r="BF747" i="28" s="1"/>
  <c r="AX747" i="28"/>
  <c r="BE747" i="28" s="1"/>
  <c r="AW747" i="28"/>
  <c r="BD747" i="28" s="1"/>
  <c r="AV747" i="28"/>
  <c r="BC747" i="28" s="1"/>
  <c r="AU747" i="28"/>
  <c r="BB747" i="28" s="1"/>
  <c r="AT747" i="28"/>
  <c r="BA747" i="28" s="1"/>
  <c r="AY746" i="28"/>
  <c r="BF746" i="28" s="1"/>
  <c r="AX746" i="28"/>
  <c r="BE746" i="28" s="1"/>
  <c r="AW746" i="28"/>
  <c r="BD746" i="28" s="1"/>
  <c r="AV746" i="28"/>
  <c r="BC746" i="28" s="1"/>
  <c r="AU746" i="28"/>
  <c r="BB746" i="28" s="1"/>
  <c r="AT746" i="28"/>
  <c r="BA746" i="28" s="1"/>
  <c r="AY745" i="28"/>
  <c r="BF745" i="28" s="1"/>
  <c r="AX745" i="28"/>
  <c r="BE745" i="28" s="1"/>
  <c r="AW745" i="28"/>
  <c r="BD745" i="28" s="1"/>
  <c r="AV745" i="28"/>
  <c r="BC745" i="28" s="1"/>
  <c r="AU745" i="28"/>
  <c r="BB745" i="28" s="1"/>
  <c r="AT745" i="28"/>
  <c r="BA745" i="28" s="1"/>
  <c r="AX744" i="28"/>
  <c r="BE744" i="28" s="1"/>
  <c r="AW744" i="28"/>
  <c r="BD744" i="28" s="1"/>
  <c r="AV744" i="28"/>
  <c r="BC744" i="28" s="1"/>
  <c r="AU744" i="28"/>
  <c r="BB744" i="28" s="1"/>
  <c r="AT744" i="28"/>
  <c r="BA744" i="28" s="1"/>
  <c r="AX743" i="28"/>
  <c r="BE743" i="28" s="1"/>
  <c r="AW743" i="28"/>
  <c r="BD743" i="28" s="1"/>
  <c r="AV743" i="28"/>
  <c r="BC743" i="28" s="1"/>
  <c r="AU743" i="28"/>
  <c r="BB743" i="28" s="1"/>
  <c r="AT743" i="28"/>
  <c r="BA743" i="28" s="1"/>
  <c r="AY742" i="28"/>
  <c r="BF742" i="28" s="1"/>
  <c r="AX742" i="28"/>
  <c r="BE742" i="28" s="1"/>
  <c r="AW742" i="28"/>
  <c r="BD742" i="28" s="1"/>
  <c r="AV742" i="28"/>
  <c r="BC742" i="28" s="1"/>
  <c r="AU742" i="28"/>
  <c r="BB742" i="28" s="1"/>
  <c r="AT742" i="28"/>
  <c r="BA742" i="28" s="1"/>
  <c r="AY741" i="28"/>
  <c r="BF741" i="28" s="1"/>
  <c r="AX741" i="28"/>
  <c r="BE741" i="28" s="1"/>
  <c r="AW741" i="28"/>
  <c r="BD741" i="28" s="1"/>
  <c r="AV741" i="28"/>
  <c r="BC741" i="28" s="1"/>
  <c r="AU741" i="28"/>
  <c r="BB741" i="28" s="1"/>
  <c r="AT741" i="28"/>
  <c r="BA741" i="28" s="1"/>
  <c r="AY740" i="28"/>
  <c r="BF740" i="28" s="1"/>
  <c r="AX740" i="28"/>
  <c r="BE740" i="28" s="1"/>
  <c r="AW740" i="28"/>
  <c r="BD740" i="28" s="1"/>
  <c r="AV740" i="28"/>
  <c r="BC740" i="28" s="1"/>
  <c r="AU740" i="28"/>
  <c r="BB740" i="28" s="1"/>
  <c r="AT740" i="28"/>
  <c r="BA740" i="28" s="1"/>
  <c r="AY739" i="28"/>
  <c r="BF739" i="28" s="1"/>
  <c r="AX739" i="28"/>
  <c r="BE739" i="28" s="1"/>
  <c r="AW739" i="28"/>
  <c r="BD739" i="28" s="1"/>
  <c r="AV739" i="28"/>
  <c r="BC739" i="28" s="1"/>
  <c r="AU739" i="28"/>
  <c r="BB739" i="28" s="1"/>
  <c r="AT739" i="28"/>
  <c r="BA739" i="28" s="1"/>
  <c r="AY738" i="28"/>
  <c r="BF738" i="28" s="1"/>
  <c r="AX738" i="28"/>
  <c r="BE738" i="28" s="1"/>
  <c r="AW738" i="28"/>
  <c r="BD738" i="28" s="1"/>
  <c r="AV738" i="28"/>
  <c r="BC738" i="28" s="1"/>
  <c r="AU738" i="28"/>
  <c r="BB738" i="28" s="1"/>
  <c r="AT738" i="28"/>
  <c r="BA738" i="28" s="1"/>
  <c r="AY737" i="28"/>
  <c r="BF737" i="28" s="1"/>
  <c r="AX737" i="28"/>
  <c r="BE737" i="28" s="1"/>
  <c r="AW737" i="28"/>
  <c r="BD737" i="28" s="1"/>
  <c r="AV737" i="28"/>
  <c r="BC737" i="28" s="1"/>
  <c r="AU737" i="28"/>
  <c r="BB737" i="28" s="1"/>
  <c r="AT737" i="28"/>
  <c r="BA737" i="28" s="1"/>
  <c r="AX736" i="28"/>
  <c r="BE736" i="28" s="1"/>
  <c r="AW736" i="28"/>
  <c r="BD736" i="28" s="1"/>
  <c r="AV736" i="28"/>
  <c r="BC736" i="28" s="1"/>
  <c r="AU736" i="28"/>
  <c r="BB736" i="28" s="1"/>
  <c r="AT736" i="28"/>
  <c r="BA736" i="28" s="1"/>
  <c r="AX735" i="28"/>
  <c r="BE735" i="28" s="1"/>
  <c r="AW735" i="28"/>
  <c r="BD735" i="28" s="1"/>
  <c r="AV735" i="28"/>
  <c r="BC735" i="28" s="1"/>
  <c r="AU735" i="28"/>
  <c r="BB735" i="28" s="1"/>
  <c r="AT735" i="28"/>
  <c r="BA735" i="28" s="1"/>
  <c r="AX734" i="28"/>
  <c r="BE734" i="28" s="1"/>
  <c r="AW734" i="28"/>
  <c r="BD734" i="28" s="1"/>
  <c r="AV734" i="28"/>
  <c r="BC734" i="28" s="1"/>
  <c r="AU734" i="28"/>
  <c r="BB734" i="28" s="1"/>
  <c r="AT734" i="28"/>
  <c r="BA734" i="28" s="1"/>
  <c r="AY733" i="28"/>
  <c r="BF733" i="28" s="1"/>
  <c r="AX733" i="28"/>
  <c r="BE733" i="28" s="1"/>
  <c r="AW733" i="28"/>
  <c r="BD733" i="28" s="1"/>
  <c r="AV733" i="28"/>
  <c r="BC733" i="28" s="1"/>
  <c r="AU733" i="28"/>
  <c r="BB733" i="28" s="1"/>
  <c r="AT733" i="28"/>
  <c r="BA733" i="28" s="1"/>
  <c r="AY732" i="28"/>
  <c r="BF732" i="28" s="1"/>
  <c r="AX732" i="28"/>
  <c r="BE732" i="28" s="1"/>
  <c r="AW732" i="28"/>
  <c r="BD732" i="28" s="1"/>
  <c r="AV732" i="28"/>
  <c r="BC732" i="28" s="1"/>
  <c r="AU732" i="28"/>
  <c r="BB732" i="28" s="1"/>
  <c r="AT732" i="28"/>
  <c r="BA732" i="28" s="1"/>
  <c r="AY731" i="28"/>
  <c r="BF731" i="28" s="1"/>
  <c r="AX731" i="28"/>
  <c r="BE731" i="28" s="1"/>
  <c r="AW731" i="28"/>
  <c r="BD731" i="28" s="1"/>
  <c r="AV731" i="28"/>
  <c r="BC731" i="28" s="1"/>
  <c r="AU731" i="28"/>
  <c r="BB731" i="28" s="1"/>
  <c r="AT731" i="28"/>
  <c r="BA731" i="28" s="1"/>
  <c r="AY730" i="28"/>
  <c r="BF730" i="28" s="1"/>
  <c r="AX730" i="28"/>
  <c r="BE730" i="28" s="1"/>
  <c r="AW730" i="28"/>
  <c r="BD730" i="28" s="1"/>
  <c r="AV730" i="28"/>
  <c r="BC730" i="28" s="1"/>
  <c r="AU730" i="28"/>
  <c r="BB730" i="28" s="1"/>
  <c r="AT730" i="28"/>
  <c r="BA730" i="28" s="1"/>
  <c r="AY729" i="28"/>
  <c r="BF729" i="28" s="1"/>
  <c r="AX729" i="28"/>
  <c r="BE729" i="28" s="1"/>
  <c r="AW729" i="28"/>
  <c r="BD729" i="28" s="1"/>
  <c r="AV729" i="28"/>
  <c r="BC729" i="28" s="1"/>
  <c r="AU729" i="28"/>
  <c r="BB729" i="28" s="1"/>
  <c r="AT729" i="28"/>
  <c r="BA729" i="28" s="1"/>
  <c r="AX728" i="28"/>
  <c r="BE728" i="28" s="1"/>
  <c r="AW728" i="28"/>
  <c r="BD728" i="28" s="1"/>
  <c r="AV728" i="28"/>
  <c r="BC728" i="28" s="1"/>
  <c r="AU728" i="28"/>
  <c r="BB728" i="28" s="1"/>
  <c r="AT728" i="28"/>
  <c r="BA728" i="28" s="1"/>
  <c r="AX727" i="28"/>
  <c r="BE727" i="28" s="1"/>
  <c r="AW727" i="28"/>
  <c r="BD727" i="28" s="1"/>
  <c r="AV727" i="28"/>
  <c r="BC727" i="28" s="1"/>
  <c r="AU727" i="28"/>
  <c r="BB727" i="28" s="1"/>
  <c r="AT727" i="28"/>
  <c r="BA727" i="28" s="1"/>
  <c r="BF726" i="28"/>
  <c r="AX726" i="28"/>
  <c r="BE726" i="28" s="1"/>
  <c r="AW726" i="28"/>
  <c r="BD726" i="28" s="1"/>
  <c r="AV726" i="28"/>
  <c r="BC726" i="28" s="1"/>
  <c r="AU726" i="28"/>
  <c r="BB726" i="28" s="1"/>
  <c r="AT726" i="28"/>
  <c r="BA726" i="28" s="1"/>
  <c r="AY725" i="28"/>
  <c r="BF725" i="28" s="1"/>
  <c r="AX725" i="28"/>
  <c r="BE725" i="28" s="1"/>
  <c r="AW725" i="28"/>
  <c r="BD725" i="28" s="1"/>
  <c r="AV725" i="28"/>
  <c r="BC725" i="28" s="1"/>
  <c r="AU725" i="28"/>
  <c r="BB725" i="28" s="1"/>
  <c r="AT725" i="28"/>
  <c r="BA725" i="28" s="1"/>
  <c r="AY724" i="28"/>
  <c r="BF724" i="28" s="1"/>
  <c r="AX724" i="28"/>
  <c r="BE724" i="28" s="1"/>
  <c r="AW724" i="28"/>
  <c r="BD724" i="28" s="1"/>
  <c r="AV724" i="28"/>
  <c r="BC724" i="28" s="1"/>
  <c r="AU724" i="28"/>
  <c r="BB724" i="28" s="1"/>
  <c r="AT724" i="28"/>
  <c r="BA724" i="28" s="1"/>
  <c r="AY723" i="28"/>
  <c r="BF723" i="28" s="1"/>
  <c r="AX723" i="28"/>
  <c r="BE723" i="28" s="1"/>
  <c r="AW723" i="28"/>
  <c r="BD723" i="28" s="1"/>
  <c r="AV723" i="28"/>
  <c r="BC723" i="28" s="1"/>
  <c r="AU723" i="28"/>
  <c r="BB723" i="28" s="1"/>
  <c r="AT723" i="28"/>
  <c r="BA723" i="28" s="1"/>
  <c r="AY722" i="28"/>
  <c r="BF722" i="28" s="1"/>
  <c r="AX722" i="28"/>
  <c r="BE722" i="28" s="1"/>
  <c r="AW722" i="28"/>
  <c r="BD722" i="28" s="1"/>
  <c r="AV722" i="28"/>
  <c r="BC722" i="28" s="1"/>
  <c r="AU722" i="28"/>
  <c r="BB722" i="28" s="1"/>
  <c r="AT722" i="28"/>
  <c r="BA722" i="28" s="1"/>
  <c r="AY721" i="28"/>
  <c r="BF721" i="28" s="1"/>
  <c r="AX721" i="28"/>
  <c r="BE721" i="28" s="1"/>
  <c r="AW721" i="28"/>
  <c r="BD721" i="28" s="1"/>
  <c r="AV721" i="28"/>
  <c r="BC721" i="28" s="1"/>
  <c r="AU721" i="28"/>
  <c r="BB721" i="28" s="1"/>
  <c r="AT721" i="28"/>
  <c r="BA721" i="28" s="1"/>
  <c r="AX720" i="28"/>
  <c r="BE720" i="28" s="1"/>
  <c r="AW720" i="28"/>
  <c r="BD720" i="28" s="1"/>
  <c r="AV720" i="28"/>
  <c r="BC720" i="28" s="1"/>
  <c r="AU720" i="28"/>
  <c r="BB720" i="28" s="1"/>
  <c r="AT720" i="28"/>
  <c r="BA720" i="28" s="1"/>
  <c r="AY719" i="28"/>
  <c r="BF719" i="28" s="1"/>
  <c r="AX719" i="28"/>
  <c r="BE719" i="28" s="1"/>
  <c r="AW719" i="28"/>
  <c r="BD719" i="28" s="1"/>
  <c r="AV719" i="28"/>
  <c r="BC719" i="28" s="1"/>
  <c r="AU719" i="28"/>
  <c r="BB719" i="28" s="1"/>
  <c r="AT719" i="28"/>
  <c r="BA719" i="28" s="1"/>
  <c r="AX718" i="28"/>
  <c r="BE718" i="28" s="1"/>
  <c r="AW718" i="28"/>
  <c r="BD718" i="28" s="1"/>
  <c r="AV718" i="28"/>
  <c r="BC718" i="28" s="1"/>
  <c r="AU718" i="28"/>
  <c r="BB718" i="28" s="1"/>
  <c r="AT718" i="28"/>
  <c r="BA718" i="28" s="1"/>
  <c r="AY717" i="28"/>
  <c r="BF717" i="28" s="1"/>
  <c r="AX717" i="28"/>
  <c r="BE717" i="28" s="1"/>
  <c r="AW717" i="28"/>
  <c r="BD717" i="28" s="1"/>
  <c r="AV717" i="28"/>
  <c r="BC717" i="28" s="1"/>
  <c r="AU717" i="28"/>
  <c r="BB717" i="28" s="1"/>
  <c r="AT717" i="28"/>
  <c r="BA717" i="28" s="1"/>
  <c r="AY716" i="28"/>
  <c r="BF716" i="28" s="1"/>
  <c r="AX716" i="28"/>
  <c r="BE716" i="28" s="1"/>
  <c r="AW716" i="28"/>
  <c r="BD716" i="28" s="1"/>
  <c r="AV716" i="28"/>
  <c r="BC716" i="28" s="1"/>
  <c r="AU716" i="28"/>
  <c r="BB716" i="28" s="1"/>
  <c r="AT716" i="28"/>
  <c r="BA716" i="28" s="1"/>
  <c r="AY715" i="28"/>
  <c r="BF715" i="28" s="1"/>
  <c r="AX715" i="28"/>
  <c r="BE715" i="28" s="1"/>
  <c r="AW715" i="28"/>
  <c r="BD715" i="28" s="1"/>
  <c r="AV715" i="28"/>
  <c r="BC715" i="28" s="1"/>
  <c r="AU715" i="28"/>
  <c r="BB715" i="28" s="1"/>
  <c r="AT715" i="28"/>
  <c r="BA715" i="28" s="1"/>
  <c r="AY714" i="28"/>
  <c r="BF714" i="28" s="1"/>
  <c r="AX714" i="28"/>
  <c r="BE714" i="28" s="1"/>
  <c r="AW714" i="28"/>
  <c r="BD714" i="28" s="1"/>
  <c r="AV714" i="28"/>
  <c r="BC714" i="28" s="1"/>
  <c r="AU714" i="28"/>
  <c r="BB714" i="28" s="1"/>
  <c r="AT714" i="28"/>
  <c r="BA714" i="28" s="1"/>
  <c r="AY713" i="28"/>
  <c r="BF713" i="28" s="1"/>
  <c r="AX713" i="28"/>
  <c r="BE713" i="28" s="1"/>
  <c r="AW713" i="28"/>
  <c r="BD713" i="28" s="1"/>
  <c r="AV713" i="28"/>
  <c r="BC713" i="28" s="1"/>
  <c r="AU713" i="28"/>
  <c r="BB713" i="28" s="1"/>
  <c r="AT713" i="28"/>
  <c r="BA713" i="28" s="1"/>
  <c r="AX712" i="28"/>
  <c r="BE712" i="28" s="1"/>
  <c r="AW712" i="28"/>
  <c r="BD712" i="28" s="1"/>
  <c r="AV712" i="28"/>
  <c r="BC712" i="28" s="1"/>
  <c r="AU712" i="28"/>
  <c r="BB712" i="28" s="1"/>
  <c r="AT712" i="28"/>
  <c r="BA712" i="28" s="1"/>
  <c r="AX711" i="28"/>
  <c r="BE711" i="28" s="1"/>
  <c r="AW711" i="28"/>
  <c r="BD711" i="28" s="1"/>
  <c r="AV711" i="28"/>
  <c r="BC711" i="28" s="1"/>
  <c r="AU711" i="28"/>
  <c r="BB711" i="28" s="1"/>
  <c r="AT711" i="28"/>
  <c r="BA711" i="28" s="1"/>
  <c r="AX710" i="28"/>
  <c r="BE710" i="28" s="1"/>
  <c r="AW710" i="28"/>
  <c r="BD710" i="28" s="1"/>
  <c r="AV710" i="28"/>
  <c r="BC710" i="28" s="1"/>
  <c r="AU710" i="28"/>
  <c r="BB710" i="28" s="1"/>
  <c r="AT710" i="28"/>
  <c r="BA710" i="28" s="1"/>
  <c r="AY709" i="28"/>
  <c r="BF709" i="28" s="1"/>
  <c r="AX709" i="28"/>
  <c r="BE709" i="28" s="1"/>
  <c r="AW709" i="28"/>
  <c r="BD709" i="28" s="1"/>
  <c r="AV709" i="28"/>
  <c r="BC709" i="28" s="1"/>
  <c r="AU709" i="28"/>
  <c r="BB709" i="28" s="1"/>
  <c r="AT709" i="28"/>
  <c r="BA709" i="28" s="1"/>
  <c r="AY708" i="28"/>
  <c r="BF708" i="28" s="1"/>
  <c r="AX708" i="28"/>
  <c r="BE708" i="28" s="1"/>
  <c r="AW708" i="28"/>
  <c r="BD708" i="28" s="1"/>
  <c r="AV708" i="28"/>
  <c r="BC708" i="28" s="1"/>
  <c r="AU708" i="28"/>
  <c r="BB708" i="28" s="1"/>
  <c r="AT708" i="28"/>
  <c r="BA708" i="28" s="1"/>
  <c r="AY707" i="28"/>
  <c r="BF707" i="28" s="1"/>
  <c r="AX707" i="28"/>
  <c r="BE707" i="28" s="1"/>
  <c r="AW707" i="28"/>
  <c r="BD707" i="28" s="1"/>
  <c r="AV707" i="28"/>
  <c r="BC707" i="28" s="1"/>
  <c r="AU707" i="28"/>
  <c r="BB707" i="28" s="1"/>
  <c r="AT707" i="28"/>
  <c r="BA707" i="28" s="1"/>
  <c r="AY706" i="28"/>
  <c r="BF706" i="28" s="1"/>
  <c r="AX706" i="28"/>
  <c r="BE706" i="28" s="1"/>
  <c r="AW706" i="28"/>
  <c r="BD706" i="28" s="1"/>
  <c r="AV706" i="28"/>
  <c r="BC706" i="28" s="1"/>
  <c r="AU706" i="28"/>
  <c r="BB706" i="28" s="1"/>
  <c r="AT706" i="28"/>
  <c r="BA706" i="28" s="1"/>
  <c r="AY705" i="28"/>
  <c r="BF705" i="28" s="1"/>
  <c r="AX705" i="28"/>
  <c r="BE705" i="28" s="1"/>
  <c r="AW705" i="28"/>
  <c r="BD705" i="28" s="1"/>
  <c r="AV705" i="28"/>
  <c r="BC705" i="28" s="1"/>
  <c r="AU705" i="28"/>
  <c r="BB705" i="28" s="1"/>
  <c r="AT705" i="28"/>
  <c r="BA705" i="28" s="1"/>
  <c r="AX704" i="28"/>
  <c r="BE704" i="28" s="1"/>
  <c r="AW704" i="28"/>
  <c r="BD704" i="28" s="1"/>
  <c r="AV704" i="28"/>
  <c r="BC704" i="28" s="1"/>
  <c r="AU704" i="28"/>
  <c r="BB704" i="28" s="1"/>
  <c r="AT704" i="28"/>
  <c r="BA704" i="28" s="1"/>
  <c r="AY703" i="28"/>
  <c r="BF703" i="28" s="1"/>
  <c r="AX703" i="28"/>
  <c r="BE703" i="28" s="1"/>
  <c r="AW703" i="28"/>
  <c r="BD703" i="28" s="1"/>
  <c r="AV703" i="28"/>
  <c r="BC703" i="28" s="1"/>
  <c r="AU703" i="28"/>
  <c r="BB703" i="28" s="1"/>
  <c r="AT703" i="28"/>
  <c r="BA703" i="28" s="1"/>
  <c r="AX702" i="28"/>
  <c r="BE702" i="28" s="1"/>
  <c r="AW702" i="28"/>
  <c r="BD702" i="28" s="1"/>
  <c r="AV702" i="28"/>
  <c r="BC702" i="28" s="1"/>
  <c r="AU702" i="28"/>
  <c r="BB702" i="28" s="1"/>
  <c r="AT702" i="28"/>
  <c r="BA702" i="28" s="1"/>
  <c r="AY701" i="28"/>
  <c r="BF701" i="28" s="1"/>
  <c r="AX701" i="28"/>
  <c r="BE701" i="28" s="1"/>
  <c r="AW701" i="28"/>
  <c r="BD701" i="28" s="1"/>
  <c r="AV701" i="28"/>
  <c r="BC701" i="28" s="1"/>
  <c r="AU701" i="28"/>
  <c r="BB701" i="28" s="1"/>
  <c r="AT701" i="28"/>
  <c r="BA701" i="28" s="1"/>
  <c r="AY700" i="28"/>
  <c r="BF700" i="28" s="1"/>
  <c r="AX700" i="28"/>
  <c r="BE700" i="28" s="1"/>
  <c r="AW700" i="28"/>
  <c r="BD700" i="28" s="1"/>
  <c r="AV700" i="28"/>
  <c r="BC700" i="28" s="1"/>
  <c r="AU700" i="28"/>
  <c r="BB700" i="28" s="1"/>
  <c r="AT700" i="28"/>
  <c r="BA700" i="28" s="1"/>
  <c r="AY699" i="28"/>
  <c r="BF699" i="28" s="1"/>
  <c r="AX699" i="28"/>
  <c r="BE699" i="28" s="1"/>
  <c r="AW699" i="28"/>
  <c r="BD699" i="28" s="1"/>
  <c r="AV699" i="28"/>
  <c r="BC699" i="28" s="1"/>
  <c r="AU699" i="28"/>
  <c r="BB699" i="28" s="1"/>
  <c r="AT699" i="28"/>
  <c r="BA699" i="28" s="1"/>
  <c r="AY698" i="28"/>
  <c r="BF698" i="28" s="1"/>
  <c r="AX698" i="28"/>
  <c r="BE698" i="28" s="1"/>
  <c r="AW698" i="28"/>
  <c r="BD698" i="28" s="1"/>
  <c r="AV698" i="28"/>
  <c r="BC698" i="28" s="1"/>
  <c r="AU698" i="28"/>
  <c r="BB698" i="28" s="1"/>
  <c r="AT698" i="28"/>
  <c r="BA698" i="28" s="1"/>
  <c r="AY697" i="28"/>
  <c r="BF697" i="28" s="1"/>
  <c r="AX697" i="28"/>
  <c r="BE697" i="28" s="1"/>
  <c r="AW697" i="28"/>
  <c r="BD697" i="28" s="1"/>
  <c r="AV697" i="28"/>
  <c r="BC697" i="28" s="1"/>
  <c r="AU697" i="28"/>
  <c r="BB697" i="28" s="1"/>
  <c r="AT697" i="28"/>
  <c r="BA697" i="28" s="1"/>
  <c r="AX696" i="28"/>
  <c r="BE696" i="28" s="1"/>
  <c r="AW696" i="28"/>
  <c r="BD696" i="28" s="1"/>
  <c r="AV696" i="28"/>
  <c r="BC696" i="28" s="1"/>
  <c r="AU696" i="28"/>
  <c r="BB696" i="28" s="1"/>
  <c r="AT696" i="28"/>
  <c r="BA696" i="28" s="1"/>
  <c r="AX695" i="28"/>
  <c r="BE695" i="28" s="1"/>
  <c r="AW695" i="28"/>
  <c r="BD695" i="28" s="1"/>
  <c r="AV695" i="28"/>
  <c r="BC695" i="28" s="1"/>
  <c r="AU695" i="28"/>
  <c r="BB695" i="28" s="1"/>
  <c r="AT695" i="28"/>
  <c r="BA695" i="28" s="1"/>
  <c r="AX694" i="28"/>
  <c r="BE694" i="28" s="1"/>
  <c r="AW694" i="28"/>
  <c r="BD694" i="28" s="1"/>
  <c r="AV694" i="28"/>
  <c r="BC694" i="28" s="1"/>
  <c r="AU694" i="28"/>
  <c r="BB694" i="28" s="1"/>
  <c r="AT694" i="28"/>
  <c r="BA694" i="28" s="1"/>
  <c r="AY693" i="28"/>
  <c r="BF693" i="28" s="1"/>
  <c r="AX693" i="28"/>
  <c r="BE693" i="28" s="1"/>
  <c r="AW693" i="28"/>
  <c r="BD693" i="28" s="1"/>
  <c r="AV693" i="28"/>
  <c r="BC693" i="28" s="1"/>
  <c r="AU693" i="28"/>
  <c r="BB693" i="28" s="1"/>
  <c r="AT693" i="28"/>
  <c r="BA693" i="28" s="1"/>
  <c r="AY692" i="28"/>
  <c r="BF692" i="28" s="1"/>
  <c r="AX692" i="28"/>
  <c r="BE692" i="28" s="1"/>
  <c r="AW692" i="28"/>
  <c r="BD692" i="28" s="1"/>
  <c r="AV692" i="28"/>
  <c r="BC692" i="28" s="1"/>
  <c r="AU692" i="28"/>
  <c r="BB692" i="28" s="1"/>
  <c r="AT692" i="28"/>
  <c r="BA692" i="28" s="1"/>
  <c r="AY691" i="28"/>
  <c r="BF691" i="28" s="1"/>
  <c r="AX691" i="28"/>
  <c r="BE691" i="28" s="1"/>
  <c r="AW691" i="28"/>
  <c r="BD691" i="28" s="1"/>
  <c r="AV691" i="28"/>
  <c r="BC691" i="28" s="1"/>
  <c r="AU691" i="28"/>
  <c r="BB691" i="28" s="1"/>
  <c r="AT691" i="28"/>
  <c r="BA691" i="28" s="1"/>
  <c r="AY690" i="28"/>
  <c r="BF690" i="28" s="1"/>
  <c r="AX690" i="28"/>
  <c r="BE690" i="28" s="1"/>
  <c r="AW690" i="28"/>
  <c r="BD690" i="28" s="1"/>
  <c r="AV690" i="28"/>
  <c r="BC690" i="28" s="1"/>
  <c r="AU690" i="28"/>
  <c r="BB690" i="28" s="1"/>
  <c r="AT690" i="28"/>
  <c r="BA690" i="28" s="1"/>
  <c r="AY689" i="28"/>
  <c r="BF689" i="28" s="1"/>
  <c r="AX689" i="28"/>
  <c r="BE689" i="28" s="1"/>
  <c r="AW689" i="28"/>
  <c r="BD689" i="28" s="1"/>
  <c r="AV689" i="28"/>
  <c r="BC689" i="28" s="1"/>
  <c r="AU689" i="28"/>
  <c r="BB689" i="28" s="1"/>
  <c r="AT689" i="28"/>
  <c r="BA689" i="28" s="1"/>
  <c r="AX688" i="28"/>
  <c r="BE688" i="28" s="1"/>
  <c r="AW688" i="28"/>
  <c r="BD688" i="28" s="1"/>
  <c r="AV688" i="28"/>
  <c r="BC688" i="28" s="1"/>
  <c r="AU688" i="28"/>
  <c r="BB688" i="28" s="1"/>
  <c r="AT688" i="28"/>
  <c r="BA688" i="28" s="1"/>
  <c r="AX687" i="28"/>
  <c r="BE687" i="28" s="1"/>
  <c r="AW687" i="28"/>
  <c r="BD687" i="28" s="1"/>
  <c r="AV687" i="28"/>
  <c r="BC687" i="28" s="1"/>
  <c r="AU687" i="28"/>
  <c r="BB687" i="28" s="1"/>
  <c r="AT687" i="28"/>
  <c r="BA687" i="28" s="1"/>
  <c r="AX686" i="28"/>
  <c r="BE686" i="28" s="1"/>
  <c r="AW686" i="28"/>
  <c r="BD686" i="28" s="1"/>
  <c r="AV686" i="28"/>
  <c r="BC686" i="28" s="1"/>
  <c r="AU686" i="28"/>
  <c r="BB686" i="28" s="1"/>
  <c r="AT686" i="28"/>
  <c r="BA686" i="28" s="1"/>
  <c r="AY685" i="28"/>
  <c r="BF685" i="28" s="1"/>
  <c r="AX685" i="28"/>
  <c r="BE685" i="28" s="1"/>
  <c r="AW685" i="28"/>
  <c r="BD685" i="28" s="1"/>
  <c r="AV685" i="28"/>
  <c r="BC685" i="28" s="1"/>
  <c r="AU685" i="28"/>
  <c r="BB685" i="28" s="1"/>
  <c r="AT685" i="28"/>
  <c r="BA685" i="28" s="1"/>
  <c r="AY684" i="28"/>
  <c r="BF684" i="28" s="1"/>
  <c r="AX684" i="28"/>
  <c r="BE684" i="28" s="1"/>
  <c r="AW684" i="28"/>
  <c r="BD684" i="28" s="1"/>
  <c r="AV684" i="28"/>
  <c r="BC684" i="28" s="1"/>
  <c r="AU684" i="28"/>
  <c r="BB684" i="28" s="1"/>
  <c r="AT684" i="28"/>
  <c r="BA684" i="28" s="1"/>
  <c r="AY683" i="28"/>
  <c r="BF683" i="28" s="1"/>
  <c r="AX683" i="28"/>
  <c r="BE683" i="28" s="1"/>
  <c r="AW683" i="28"/>
  <c r="BD683" i="28" s="1"/>
  <c r="AV683" i="28"/>
  <c r="BC683" i="28" s="1"/>
  <c r="AU683" i="28"/>
  <c r="BB683" i="28" s="1"/>
  <c r="AT683" i="28"/>
  <c r="BA683" i="28" s="1"/>
  <c r="AY682" i="28"/>
  <c r="BF682" i="28" s="1"/>
  <c r="AX682" i="28"/>
  <c r="BE682" i="28" s="1"/>
  <c r="AW682" i="28"/>
  <c r="BD682" i="28" s="1"/>
  <c r="AV682" i="28"/>
  <c r="BC682" i="28" s="1"/>
  <c r="AU682" i="28"/>
  <c r="BB682" i="28" s="1"/>
  <c r="AT682" i="28"/>
  <c r="BA682" i="28" s="1"/>
  <c r="AY681" i="28"/>
  <c r="BF681" i="28" s="1"/>
  <c r="AX681" i="28"/>
  <c r="BE681" i="28" s="1"/>
  <c r="AW681" i="28"/>
  <c r="BD681" i="28" s="1"/>
  <c r="AV681" i="28"/>
  <c r="BC681" i="28" s="1"/>
  <c r="AU681" i="28"/>
  <c r="BB681" i="28" s="1"/>
  <c r="AT681" i="28"/>
  <c r="BA681" i="28" s="1"/>
  <c r="AX680" i="28"/>
  <c r="BE680" i="28" s="1"/>
  <c r="AW680" i="28"/>
  <c r="BD680" i="28" s="1"/>
  <c r="AV680" i="28"/>
  <c r="BC680" i="28" s="1"/>
  <c r="AU680" i="28"/>
  <c r="BB680" i="28" s="1"/>
  <c r="AT680" i="28"/>
  <c r="BA680" i="28" s="1"/>
  <c r="AY679" i="28"/>
  <c r="BF679" i="28" s="1"/>
  <c r="AX679" i="28"/>
  <c r="BE679" i="28" s="1"/>
  <c r="AW679" i="28"/>
  <c r="BD679" i="28" s="1"/>
  <c r="AV679" i="28"/>
  <c r="BC679" i="28" s="1"/>
  <c r="AU679" i="28"/>
  <c r="BB679" i="28" s="1"/>
  <c r="AT679" i="28"/>
  <c r="BA679" i="28" s="1"/>
  <c r="AX678" i="28"/>
  <c r="BE678" i="28" s="1"/>
  <c r="AW678" i="28"/>
  <c r="BD678" i="28" s="1"/>
  <c r="AV678" i="28"/>
  <c r="BC678" i="28" s="1"/>
  <c r="AU678" i="28"/>
  <c r="BB678" i="28" s="1"/>
  <c r="AT678" i="28"/>
  <c r="BA678" i="28" s="1"/>
  <c r="AY677" i="28"/>
  <c r="BF677" i="28" s="1"/>
  <c r="AX677" i="28"/>
  <c r="BE677" i="28" s="1"/>
  <c r="AW677" i="28"/>
  <c r="BD677" i="28" s="1"/>
  <c r="AV677" i="28"/>
  <c r="BC677" i="28" s="1"/>
  <c r="AU677" i="28"/>
  <c r="BB677" i="28" s="1"/>
  <c r="AT677" i="28"/>
  <c r="BA677" i="28" s="1"/>
  <c r="AY676" i="28"/>
  <c r="BF676" i="28" s="1"/>
  <c r="AX676" i="28"/>
  <c r="BE676" i="28" s="1"/>
  <c r="AW676" i="28"/>
  <c r="BD676" i="28" s="1"/>
  <c r="AV676" i="28"/>
  <c r="BC676" i="28" s="1"/>
  <c r="AU676" i="28"/>
  <c r="BB676" i="28" s="1"/>
  <c r="AT676" i="28"/>
  <c r="BA676" i="28" s="1"/>
  <c r="AY675" i="28"/>
  <c r="BF675" i="28" s="1"/>
  <c r="AX675" i="28"/>
  <c r="BE675" i="28" s="1"/>
  <c r="AW675" i="28"/>
  <c r="BD675" i="28" s="1"/>
  <c r="AV675" i="28"/>
  <c r="BC675" i="28" s="1"/>
  <c r="AU675" i="28"/>
  <c r="BB675" i="28" s="1"/>
  <c r="AT675" i="28"/>
  <c r="BA675" i="28" s="1"/>
  <c r="AY674" i="28"/>
  <c r="BF674" i="28" s="1"/>
  <c r="AX674" i="28"/>
  <c r="BE674" i="28" s="1"/>
  <c r="AW674" i="28"/>
  <c r="BD674" i="28" s="1"/>
  <c r="AV674" i="28"/>
  <c r="BC674" i="28" s="1"/>
  <c r="AU674" i="28"/>
  <c r="BB674" i="28" s="1"/>
  <c r="AT674" i="28"/>
  <c r="BA674" i="28" s="1"/>
  <c r="AY673" i="28"/>
  <c r="BF673" i="28" s="1"/>
  <c r="AX673" i="28"/>
  <c r="BE673" i="28" s="1"/>
  <c r="AW673" i="28"/>
  <c r="BD673" i="28" s="1"/>
  <c r="AV673" i="28"/>
  <c r="BC673" i="28" s="1"/>
  <c r="AU673" i="28"/>
  <c r="BB673" i="28" s="1"/>
  <c r="AT673" i="28"/>
  <c r="BA673" i="28" s="1"/>
  <c r="AX672" i="28"/>
  <c r="BE672" i="28" s="1"/>
  <c r="AW672" i="28"/>
  <c r="BD672" i="28" s="1"/>
  <c r="AV672" i="28"/>
  <c r="BC672" i="28" s="1"/>
  <c r="AU672" i="28"/>
  <c r="BB672" i="28" s="1"/>
  <c r="AT672" i="28"/>
  <c r="BA672" i="28" s="1"/>
  <c r="AX671" i="28"/>
  <c r="BE671" i="28" s="1"/>
  <c r="AW671" i="28"/>
  <c r="BD671" i="28" s="1"/>
  <c r="AV671" i="28"/>
  <c r="BC671" i="28" s="1"/>
  <c r="AU671" i="28"/>
  <c r="BB671" i="28" s="1"/>
  <c r="AT671" i="28"/>
  <c r="BA671" i="28" s="1"/>
  <c r="AX670" i="28"/>
  <c r="BE670" i="28" s="1"/>
  <c r="AW670" i="28"/>
  <c r="BD670" i="28" s="1"/>
  <c r="AV670" i="28"/>
  <c r="BC670" i="28" s="1"/>
  <c r="AU670" i="28"/>
  <c r="BB670" i="28" s="1"/>
  <c r="AT670" i="28"/>
  <c r="BA670" i="28" s="1"/>
  <c r="AY669" i="28"/>
  <c r="BF669" i="28" s="1"/>
  <c r="AX669" i="28"/>
  <c r="BE669" i="28" s="1"/>
  <c r="AW669" i="28"/>
  <c r="BD669" i="28" s="1"/>
  <c r="AV669" i="28"/>
  <c r="BC669" i="28" s="1"/>
  <c r="AU669" i="28"/>
  <c r="BB669" i="28" s="1"/>
  <c r="AT669" i="28"/>
  <c r="BA669" i="28" s="1"/>
  <c r="AY668" i="28"/>
  <c r="BF668" i="28" s="1"/>
  <c r="AX668" i="28"/>
  <c r="BE668" i="28" s="1"/>
  <c r="AW668" i="28"/>
  <c r="BD668" i="28" s="1"/>
  <c r="AV668" i="28"/>
  <c r="BC668" i="28" s="1"/>
  <c r="AU668" i="28"/>
  <c r="BB668" i="28" s="1"/>
  <c r="AT668" i="28"/>
  <c r="BA668" i="28" s="1"/>
  <c r="AY667" i="28"/>
  <c r="BF667" i="28" s="1"/>
  <c r="AX667" i="28"/>
  <c r="BE667" i="28" s="1"/>
  <c r="AW667" i="28"/>
  <c r="BD667" i="28" s="1"/>
  <c r="AV667" i="28"/>
  <c r="BC667" i="28" s="1"/>
  <c r="AU667" i="28"/>
  <c r="BB667" i="28" s="1"/>
  <c r="AT667" i="28"/>
  <c r="BA667" i="28" s="1"/>
  <c r="AY666" i="28"/>
  <c r="BF666" i="28" s="1"/>
  <c r="AX666" i="28"/>
  <c r="BE666" i="28" s="1"/>
  <c r="AW666" i="28"/>
  <c r="BD666" i="28" s="1"/>
  <c r="AV666" i="28"/>
  <c r="BC666" i="28" s="1"/>
  <c r="AU666" i="28"/>
  <c r="BB666" i="28" s="1"/>
  <c r="AT666" i="28"/>
  <c r="BA666" i="28" s="1"/>
  <c r="AY665" i="28"/>
  <c r="BF665" i="28" s="1"/>
  <c r="AX665" i="28"/>
  <c r="BE665" i="28" s="1"/>
  <c r="AW665" i="28"/>
  <c r="BD665" i="28" s="1"/>
  <c r="AV665" i="28"/>
  <c r="BC665" i="28" s="1"/>
  <c r="AU665" i="28"/>
  <c r="BB665" i="28" s="1"/>
  <c r="AT665" i="28"/>
  <c r="BA665" i="28" s="1"/>
  <c r="AX664" i="28"/>
  <c r="BE664" i="28" s="1"/>
  <c r="AW664" i="28"/>
  <c r="BD664" i="28" s="1"/>
  <c r="AV664" i="28"/>
  <c r="BC664" i="28" s="1"/>
  <c r="AU664" i="28"/>
  <c r="BB664" i="28" s="1"/>
  <c r="AT664" i="28"/>
  <c r="BA664" i="28" s="1"/>
  <c r="AX663" i="28"/>
  <c r="BE663" i="28" s="1"/>
  <c r="AW663" i="28"/>
  <c r="BD663" i="28" s="1"/>
  <c r="AV663" i="28"/>
  <c r="BC663" i="28" s="1"/>
  <c r="AU663" i="28"/>
  <c r="BB663" i="28" s="1"/>
  <c r="AT663" i="28"/>
  <c r="BA663" i="28" s="1"/>
  <c r="AX662" i="28"/>
  <c r="BE662" i="28" s="1"/>
  <c r="AW662" i="28"/>
  <c r="BD662" i="28" s="1"/>
  <c r="AV662" i="28"/>
  <c r="BC662" i="28" s="1"/>
  <c r="AU662" i="28"/>
  <c r="BB662" i="28" s="1"/>
  <c r="AT662" i="28"/>
  <c r="BA662" i="28" s="1"/>
  <c r="AY661" i="28"/>
  <c r="BF661" i="28" s="1"/>
  <c r="AX661" i="28"/>
  <c r="BE661" i="28" s="1"/>
  <c r="AW661" i="28"/>
  <c r="BD661" i="28" s="1"/>
  <c r="AV661" i="28"/>
  <c r="BC661" i="28" s="1"/>
  <c r="AU661" i="28"/>
  <c r="BB661" i="28" s="1"/>
  <c r="AT661" i="28"/>
  <c r="BA661" i="28" s="1"/>
  <c r="AY660" i="28"/>
  <c r="BF660" i="28" s="1"/>
  <c r="AX660" i="28"/>
  <c r="BE660" i="28" s="1"/>
  <c r="AW660" i="28"/>
  <c r="BD660" i="28" s="1"/>
  <c r="AV660" i="28"/>
  <c r="BC660" i="28" s="1"/>
  <c r="AU660" i="28"/>
  <c r="BB660" i="28" s="1"/>
  <c r="AT660" i="28"/>
  <c r="BA660" i="28" s="1"/>
  <c r="AY659" i="28"/>
  <c r="BF659" i="28" s="1"/>
  <c r="AX659" i="28"/>
  <c r="BE659" i="28" s="1"/>
  <c r="AW659" i="28"/>
  <c r="BD659" i="28" s="1"/>
  <c r="AV659" i="28"/>
  <c r="BC659" i="28" s="1"/>
  <c r="AU659" i="28"/>
  <c r="BB659" i="28" s="1"/>
  <c r="AT659" i="28"/>
  <c r="BA659" i="28" s="1"/>
  <c r="AY658" i="28"/>
  <c r="BF658" i="28" s="1"/>
  <c r="AX658" i="28"/>
  <c r="BE658" i="28" s="1"/>
  <c r="AW658" i="28"/>
  <c r="BD658" i="28" s="1"/>
  <c r="AV658" i="28"/>
  <c r="BC658" i="28" s="1"/>
  <c r="AU658" i="28"/>
  <c r="BB658" i="28" s="1"/>
  <c r="AT658" i="28"/>
  <c r="BA658" i="28" s="1"/>
  <c r="AY657" i="28"/>
  <c r="BF657" i="28" s="1"/>
  <c r="AX657" i="28"/>
  <c r="BE657" i="28" s="1"/>
  <c r="AW657" i="28"/>
  <c r="BD657" i="28" s="1"/>
  <c r="AV657" i="28"/>
  <c r="BC657" i="28" s="1"/>
  <c r="AU657" i="28"/>
  <c r="BB657" i="28" s="1"/>
  <c r="AT657" i="28"/>
  <c r="BA657" i="28" s="1"/>
  <c r="AX656" i="28"/>
  <c r="BE656" i="28" s="1"/>
  <c r="AW656" i="28"/>
  <c r="BD656" i="28" s="1"/>
  <c r="AV656" i="28"/>
  <c r="BC656" i="28" s="1"/>
  <c r="AU656" i="28"/>
  <c r="BB656" i="28" s="1"/>
  <c r="AT656" i="28"/>
  <c r="BA656" i="28" s="1"/>
  <c r="AX655" i="28"/>
  <c r="BE655" i="28" s="1"/>
  <c r="AW655" i="28"/>
  <c r="BD655" i="28" s="1"/>
  <c r="AV655" i="28"/>
  <c r="BC655" i="28" s="1"/>
  <c r="AU655" i="28"/>
  <c r="BB655" i="28" s="1"/>
  <c r="AT655" i="28"/>
  <c r="BA655" i="28" s="1"/>
  <c r="AX654" i="28"/>
  <c r="BE654" i="28" s="1"/>
  <c r="AW654" i="28"/>
  <c r="BD654" i="28" s="1"/>
  <c r="AV654" i="28"/>
  <c r="BC654" i="28" s="1"/>
  <c r="AU654" i="28"/>
  <c r="BB654" i="28" s="1"/>
  <c r="AT654" i="28"/>
  <c r="BA654" i="28" s="1"/>
  <c r="AY653" i="28"/>
  <c r="BF653" i="28" s="1"/>
  <c r="AX653" i="28"/>
  <c r="BE653" i="28" s="1"/>
  <c r="AW653" i="28"/>
  <c r="BD653" i="28" s="1"/>
  <c r="AV653" i="28"/>
  <c r="BC653" i="28" s="1"/>
  <c r="AU653" i="28"/>
  <c r="BB653" i="28" s="1"/>
  <c r="AT653" i="28"/>
  <c r="BA653" i="28" s="1"/>
  <c r="AY652" i="28"/>
  <c r="BF652" i="28" s="1"/>
  <c r="AX652" i="28"/>
  <c r="BE652" i="28" s="1"/>
  <c r="AW652" i="28"/>
  <c r="BD652" i="28" s="1"/>
  <c r="AV652" i="28"/>
  <c r="BC652" i="28" s="1"/>
  <c r="AU652" i="28"/>
  <c r="BB652" i="28" s="1"/>
  <c r="AT652" i="28"/>
  <c r="BA652" i="28" s="1"/>
  <c r="AY651" i="28"/>
  <c r="BF651" i="28" s="1"/>
  <c r="AX651" i="28"/>
  <c r="BE651" i="28" s="1"/>
  <c r="AW651" i="28"/>
  <c r="BD651" i="28" s="1"/>
  <c r="AV651" i="28"/>
  <c r="BC651" i="28" s="1"/>
  <c r="AU651" i="28"/>
  <c r="BB651" i="28" s="1"/>
  <c r="AT651" i="28"/>
  <c r="BA651" i="28" s="1"/>
  <c r="AY650" i="28"/>
  <c r="BF650" i="28" s="1"/>
  <c r="AX650" i="28"/>
  <c r="BE650" i="28" s="1"/>
  <c r="AW650" i="28"/>
  <c r="BD650" i="28" s="1"/>
  <c r="AV650" i="28"/>
  <c r="BC650" i="28" s="1"/>
  <c r="AU650" i="28"/>
  <c r="BB650" i="28" s="1"/>
  <c r="AT650" i="28"/>
  <c r="BA650" i="28" s="1"/>
  <c r="AY649" i="28"/>
  <c r="BF649" i="28" s="1"/>
  <c r="AX649" i="28"/>
  <c r="BE649" i="28" s="1"/>
  <c r="AW649" i="28"/>
  <c r="BD649" i="28" s="1"/>
  <c r="AV649" i="28"/>
  <c r="BC649" i="28" s="1"/>
  <c r="AU649" i="28"/>
  <c r="BB649" i="28" s="1"/>
  <c r="AT649" i="28"/>
  <c r="BA649" i="28" s="1"/>
  <c r="AX648" i="28"/>
  <c r="BE648" i="28" s="1"/>
  <c r="AW648" i="28"/>
  <c r="BD648" i="28" s="1"/>
  <c r="AV648" i="28"/>
  <c r="BC648" i="28" s="1"/>
  <c r="AU648" i="28"/>
  <c r="BB648" i="28" s="1"/>
  <c r="AT648" i="28"/>
  <c r="BA648" i="28" s="1"/>
  <c r="AY647" i="28"/>
  <c r="BF647" i="28" s="1"/>
  <c r="AX647" i="28"/>
  <c r="BE647" i="28" s="1"/>
  <c r="AW647" i="28"/>
  <c r="BD647" i="28" s="1"/>
  <c r="AV647" i="28"/>
  <c r="BC647" i="28" s="1"/>
  <c r="AU647" i="28"/>
  <c r="BB647" i="28" s="1"/>
  <c r="AT647" i="28"/>
  <c r="BA647" i="28" s="1"/>
  <c r="AX646" i="28"/>
  <c r="BE646" i="28" s="1"/>
  <c r="AW646" i="28"/>
  <c r="BD646" i="28" s="1"/>
  <c r="AV646" i="28"/>
  <c r="BC646" i="28" s="1"/>
  <c r="AU646" i="28"/>
  <c r="BB646" i="28" s="1"/>
  <c r="AT646" i="28"/>
  <c r="BA646" i="28" s="1"/>
  <c r="AY645" i="28"/>
  <c r="BF645" i="28" s="1"/>
  <c r="AX645" i="28"/>
  <c r="BE645" i="28" s="1"/>
  <c r="AW645" i="28"/>
  <c r="BD645" i="28" s="1"/>
  <c r="AV645" i="28"/>
  <c r="BC645" i="28" s="1"/>
  <c r="AU645" i="28"/>
  <c r="BB645" i="28" s="1"/>
  <c r="AT645" i="28"/>
  <c r="BA645" i="28" s="1"/>
  <c r="AY644" i="28"/>
  <c r="BF644" i="28" s="1"/>
  <c r="AX644" i="28"/>
  <c r="BE644" i="28" s="1"/>
  <c r="AW644" i="28"/>
  <c r="BD644" i="28" s="1"/>
  <c r="AV644" i="28"/>
  <c r="BC644" i="28" s="1"/>
  <c r="AU644" i="28"/>
  <c r="BB644" i="28" s="1"/>
  <c r="AT644" i="28"/>
  <c r="BA644" i="28" s="1"/>
  <c r="AY643" i="28"/>
  <c r="BF643" i="28" s="1"/>
  <c r="AX643" i="28"/>
  <c r="BE643" i="28" s="1"/>
  <c r="AW643" i="28"/>
  <c r="BD643" i="28" s="1"/>
  <c r="AV643" i="28"/>
  <c r="BC643" i="28" s="1"/>
  <c r="AU643" i="28"/>
  <c r="BB643" i="28" s="1"/>
  <c r="AT643" i="28"/>
  <c r="BA643" i="28" s="1"/>
  <c r="AY642" i="28"/>
  <c r="BF642" i="28" s="1"/>
  <c r="AX642" i="28"/>
  <c r="BE642" i="28" s="1"/>
  <c r="AW642" i="28"/>
  <c r="BD642" i="28" s="1"/>
  <c r="AV642" i="28"/>
  <c r="BC642" i="28" s="1"/>
  <c r="AU642" i="28"/>
  <c r="BB642" i="28" s="1"/>
  <c r="AT642" i="28"/>
  <c r="BA642" i="28" s="1"/>
  <c r="AY641" i="28"/>
  <c r="BF641" i="28" s="1"/>
  <c r="AX641" i="28"/>
  <c r="BE641" i="28" s="1"/>
  <c r="AW641" i="28"/>
  <c r="BD641" i="28" s="1"/>
  <c r="AV641" i="28"/>
  <c r="BC641" i="28" s="1"/>
  <c r="AU641" i="28"/>
  <c r="BB641" i="28" s="1"/>
  <c r="AT641" i="28"/>
  <c r="BA641" i="28" s="1"/>
  <c r="AX640" i="28"/>
  <c r="BE640" i="28" s="1"/>
  <c r="AW640" i="28"/>
  <c r="BD640" i="28" s="1"/>
  <c r="AV640" i="28"/>
  <c r="BC640" i="28" s="1"/>
  <c r="AU640" i="28"/>
  <c r="BB640" i="28" s="1"/>
  <c r="AT640" i="28"/>
  <c r="BA640" i="28" s="1"/>
  <c r="AX639" i="28"/>
  <c r="BE639" i="28" s="1"/>
  <c r="AW639" i="28"/>
  <c r="BD639" i="28" s="1"/>
  <c r="AV639" i="28"/>
  <c r="BC639" i="28" s="1"/>
  <c r="AU639" i="28"/>
  <c r="BB639" i="28" s="1"/>
  <c r="AT639" i="28"/>
  <c r="BA639" i="28" s="1"/>
  <c r="AY638" i="28"/>
  <c r="BF638" i="28" s="1"/>
  <c r="AX638" i="28"/>
  <c r="BE638" i="28" s="1"/>
  <c r="AW638" i="28"/>
  <c r="BD638" i="28" s="1"/>
  <c r="AV638" i="28"/>
  <c r="BC638" i="28" s="1"/>
  <c r="AU638" i="28"/>
  <c r="BB638" i="28" s="1"/>
  <c r="AT638" i="28"/>
  <c r="BA638" i="28" s="1"/>
  <c r="AY637" i="28"/>
  <c r="BF637" i="28" s="1"/>
  <c r="AX637" i="28"/>
  <c r="BE637" i="28" s="1"/>
  <c r="AW637" i="28"/>
  <c r="BD637" i="28" s="1"/>
  <c r="AV637" i="28"/>
  <c r="BC637" i="28" s="1"/>
  <c r="AU637" i="28"/>
  <c r="BB637" i="28" s="1"/>
  <c r="AT637" i="28"/>
  <c r="BA637" i="28" s="1"/>
  <c r="AY636" i="28"/>
  <c r="BF636" i="28" s="1"/>
  <c r="AX636" i="28"/>
  <c r="BE636" i="28" s="1"/>
  <c r="AW636" i="28"/>
  <c r="BD636" i="28" s="1"/>
  <c r="AV636" i="28"/>
  <c r="BC636" i="28" s="1"/>
  <c r="AU636" i="28"/>
  <c r="BB636" i="28" s="1"/>
  <c r="AT636" i="28"/>
  <c r="BA636" i="28" s="1"/>
  <c r="AY635" i="28"/>
  <c r="BF635" i="28" s="1"/>
  <c r="AX635" i="28"/>
  <c r="BE635" i="28" s="1"/>
  <c r="AW635" i="28"/>
  <c r="BD635" i="28" s="1"/>
  <c r="AV635" i="28"/>
  <c r="BC635" i="28" s="1"/>
  <c r="AU635" i="28"/>
  <c r="BB635" i="28" s="1"/>
  <c r="AT635" i="28"/>
  <c r="BA635" i="28" s="1"/>
  <c r="AY634" i="28"/>
  <c r="BF634" i="28" s="1"/>
  <c r="AX634" i="28"/>
  <c r="BE634" i="28" s="1"/>
  <c r="AW634" i="28"/>
  <c r="BD634" i="28" s="1"/>
  <c r="AV634" i="28"/>
  <c r="BC634" i="28" s="1"/>
  <c r="AU634" i="28"/>
  <c r="BB634" i="28" s="1"/>
  <c r="AT634" i="28"/>
  <c r="BA634" i="28" s="1"/>
  <c r="AY633" i="28"/>
  <c r="BF633" i="28" s="1"/>
  <c r="AX633" i="28"/>
  <c r="BE633" i="28" s="1"/>
  <c r="AW633" i="28"/>
  <c r="BD633" i="28" s="1"/>
  <c r="AV633" i="28"/>
  <c r="BC633" i="28" s="1"/>
  <c r="AU633" i="28"/>
  <c r="BB633" i="28" s="1"/>
  <c r="AT633" i="28"/>
  <c r="BA633" i="28" s="1"/>
  <c r="AX632" i="28"/>
  <c r="BE632" i="28" s="1"/>
  <c r="AW632" i="28"/>
  <c r="BD632" i="28" s="1"/>
  <c r="AV632" i="28"/>
  <c r="BC632" i="28" s="1"/>
  <c r="AU632" i="28"/>
  <c r="BB632" i="28" s="1"/>
  <c r="AT632" i="28"/>
  <c r="BA632" i="28" s="1"/>
  <c r="AX631" i="28"/>
  <c r="BE631" i="28" s="1"/>
  <c r="AW631" i="28"/>
  <c r="BD631" i="28" s="1"/>
  <c r="AV631" i="28"/>
  <c r="BC631" i="28" s="1"/>
  <c r="AU631" i="28"/>
  <c r="BB631" i="28" s="1"/>
  <c r="AT631" i="28"/>
  <c r="BA631" i="28" s="1"/>
  <c r="AY630" i="28"/>
  <c r="BF630" i="28" s="1"/>
  <c r="AX630" i="28"/>
  <c r="BE630" i="28" s="1"/>
  <c r="AW630" i="28"/>
  <c r="BD630" i="28" s="1"/>
  <c r="AV630" i="28"/>
  <c r="BC630" i="28" s="1"/>
  <c r="AU630" i="28"/>
  <c r="BB630" i="28" s="1"/>
  <c r="AT630" i="28"/>
  <c r="BA630" i="28" s="1"/>
  <c r="AY629" i="28"/>
  <c r="BF629" i="28" s="1"/>
  <c r="AX629" i="28"/>
  <c r="BE629" i="28" s="1"/>
  <c r="AW629" i="28"/>
  <c r="BD629" i="28" s="1"/>
  <c r="AV629" i="28"/>
  <c r="BC629" i="28" s="1"/>
  <c r="AU629" i="28"/>
  <c r="BB629" i="28" s="1"/>
  <c r="AT629" i="28"/>
  <c r="BA629" i="28" s="1"/>
  <c r="AY628" i="28"/>
  <c r="BF628" i="28" s="1"/>
  <c r="AX628" i="28"/>
  <c r="BE628" i="28" s="1"/>
  <c r="AW628" i="28"/>
  <c r="BD628" i="28" s="1"/>
  <c r="AV628" i="28"/>
  <c r="BC628" i="28" s="1"/>
  <c r="AU628" i="28"/>
  <c r="BB628" i="28" s="1"/>
  <c r="AT628" i="28"/>
  <c r="BA628" i="28" s="1"/>
  <c r="AY627" i="28"/>
  <c r="BF627" i="28" s="1"/>
  <c r="AX627" i="28"/>
  <c r="BE627" i="28" s="1"/>
  <c r="AW627" i="28"/>
  <c r="BD627" i="28" s="1"/>
  <c r="AV627" i="28"/>
  <c r="BC627" i="28" s="1"/>
  <c r="AU627" i="28"/>
  <c r="BB627" i="28" s="1"/>
  <c r="AT627" i="28"/>
  <c r="BA627" i="28" s="1"/>
  <c r="AY626" i="28"/>
  <c r="BF626" i="28" s="1"/>
  <c r="AX626" i="28"/>
  <c r="BE626" i="28" s="1"/>
  <c r="AW626" i="28"/>
  <c r="BD626" i="28" s="1"/>
  <c r="AV626" i="28"/>
  <c r="BC626" i="28" s="1"/>
  <c r="AU626" i="28"/>
  <c r="BB626" i="28" s="1"/>
  <c r="AT626" i="28"/>
  <c r="BA626" i="28" s="1"/>
  <c r="AY625" i="28"/>
  <c r="BF625" i="28" s="1"/>
  <c r="AX625" i="28"/>
  <c r="BE625" i="28" s="1"/>
  <c r="AW625" i="28"/>
  <c r="BD625" i="28" s="1"/>
  <c r="AV625" i="28"/>
  <c r="BC625" i="28" s="1"/>
  <c r="AU625" i="28"/>
  <c r="BB625" i="28" s="1"/>
  <c r="AT625" i="28"/>
  <c r="BA625" i="28" s="1"/>
  <c r="AX624" i="28"/>
  <c r="BE624" i="28" s="1"/>
  <c r="AW624" i="28"/>
  <c r="BD624" i="28" s="1"/>
  <c r="AV624" i="28"/>
  <c r="BC624" i="28" s="1"/>
  <c r="AU624" i="28"/>
  <c r="BB624" i="28" s="1"/>
  <c r="AT624" i="28"/>
  <c r="BA624" i="28" s="1"/>
  <c r="AX623" i="28"/>
  <c r="BE623" i="28" s="1"/>
  <c r="AW623" i="28"/>
  <c r="BD623" i="28" s="1"/>
  <c r="AV623" i="28"/>
  <c r="BC623" i="28" s="1"/>
  <c r="AU623" i="28"/>
  <c r="BB623" i="28" s="1"/>
  <c r="AT623" i="28"/>
  <c r="BA623" i="28" s="1"/>
  <c r="AX622" i="28"/>
  <c r="BE622" i="28" s="1"/>
  <c r="AW622" i="28"/>
  <c r="BD622" i="28" s="1"/>
  <c r="AV622" i="28"/>
  <c r="BC622" i="28" s="1"/>
  <c r="AU622" i="28"/>
  <c r="BB622" i="28" s="1"/>
  <c r="AT622" i="28"/>
  <c r="BA622" i="28" s="1"/>
  <c r="AY621" i="28"/>
  <c r="BF621" i="28" s="1"/>
  <c r="AX621" i="28"/>
  <c r="BE621" i="28" s="1"/>
  <c r="AW621" i="28"/>
  <c r="BD621" i="28" s="1"/>
  <c r="AV621" i="28"/>
  <c r="BC621" i="28" s="1"/>
  <c r="AU621" i="28"/>
  <c r="BB621" i="28" s="1"/>
  <c r="AT621" i="28"/>
  <c r="BA621" i="28" s="1"/>
  <c r="AY620" i="28"/>
  <c r="BF620" i="28" s="1"/>
  <c r="AX620" i="28"/>
  <c r="BE620" i="28" s="1"/>
  <c r="AW620" i="28"/>
  <c r="BD620" i="28" s="1"/>
  <c r="AV620" i="28"/>
  <c r="BC620" i="28" s="1"/>
  <c r="AU620" i="28"/>
  <c r="BB620" i="28" s="1"/>
  <c r="AT620" i="28"/>
  <c r="BA620" i="28" s="1"/>
  <c r="AY619" i="28"/>
  <c r="BF619" i="28" s="1"/>
  <c r="AX619" i="28"/>
  <c r="BE619" i="28" s="1"/>
  <c r="AW619" i="28"/>
  <c r="BD619" i="28" s="1"/>
  <c r="AV619" i="28"/>
  <c r="BC619" i="28" s="1"/>
  <c r="AU619" i="28"/>
  <c r="BB619" i="28" s="1"/>
  <c r="AT619" i="28"/>
  <c r="BA619" i="28" s="1"/>
  <c r="AY618" i="28"/>
  <c r="BF618" i="28" s="1"/>
  <c r="AX618" i="28"/>
  <c r="BE618" i="28" s="1"/>
  <c r="AW618" i="28"/>
  <c r="BD618" i="28" s="1"/>
  <c r="AV618" i="28"/>
  <c r="BC618" i="28" s="1"/>
  <c r="AU618" i="28"/>
  <c r="BB618" i="28" s="1"/>
  <c r="AT618" i="28"/>
  <c r="BA618" i="28" s="1"/>
  <c r="AY617" i="28"/>
  <c r="BF617" i="28" s="1"/>
  <c r="AX617" i="28"/>
  <c r="BE617" i="28" s="1"/>
  <c r="AW617" i="28"/>
  <c r="BD617" i="28" s="1"/>
  <c r="AV617" i="28"/>
  <c r="BC617" i="28" s="1"/>
  <c r="AU617" i="28"/>
  <c r="BB617" i="28" s="1"/>
  <c r="AT617" i="28"/>
  <c r="BA617" i="28" s="1"/>
  <c r="AX616" i="28"/>
  <c r="BE616" i="28" s="1"/>
  <c r="AW616" i="28"/>
  <c r="BD616" i="28" s="1"/>
  <c r="AV616" i="28"/>
  <c r="BC616" i="28" s="1"/>
  <c r="AU616" i="28"/>
  <c r="BB616" i="28" s="1"/>
  <c r="AT616" i="28"/>
  <c r="BA616" i="28" s="1"/>
  <c r="AX615" i="28"/>
  <c r="BE615" i="28" s="1"/>
  <c r="AW615" i="28"/>
  <c r="BD615" i="28" s="1"/>
  <c r="AV615" i="28"/>
  <c r="BC615" i="28" s="1"/>
  <c r="AU615" i="28"/>
  <c r="BB615" i="28" s="1"/>
  <c r="AT615" i="28"/>
  <c r="BA615" i="28" s="1"/>
  <c r="AX614" i="28"/>
  <c r="BE614" i="28" s="1"/>
  <c r="AW614" i="28"/>
  <c r="BD614" i="28" s="1"/>
  <c r="AV614" i="28"/>
  <c r="BC614" i="28" s="1"/>
  <c r="AU614" i="28"/>
  <c r="BB614" i="28" s="1"/>
  <c r="AT614" i="28"/>
  <c r="BA614" i="28" s="1"/>
  <c r="AY613" i="28"/>
  <c r="BF613" i="28" s="1"/>
  <c r="AX613" i="28"/>
  <c r="BE613" i="28" s="1"/>
  <c r="AW613" i="28"/>
  <c r="BD613" i="28" s="1"/>
  <c r="AV613" i="28"/>
  <c r="BC613" i="28" s="1"/>
  <c r="AU613" i="28"/>
  <c r="BB613" i="28" s="1"/>
  <c r="AT613" i="28"/>
  <c r="BA613" i="28" s="1"/>
  <c r="AY612" i="28"/>
  <c r="BF612" i="28" s="1"/>
  <c r="AX612" i="28"/>
  <c r="BE612" i="28" s="1"/>
  <c r="AW612" i="28"/>
  <c r="BD612" i="28" s="1"/>
  <c r="AV612" i="28"/>
  <c r="BC612" i="28" s="1"/>
  <c r="AU612" i="28"/>
  <c r="BB612" i="28" s="1"/>
  <c r="AT612" i="28"/>
  <c r="BA612" i="28" s="1"/>
  <c r="AY611" i="28"/>
  <c r="BF611" i="28" s="1"/>
  <c r="AX611" i="28"/>
  <c r="BE611" i="28" s="1"/>
  <c r="AW611" i="28"/>
  <c r="BD611" i="28" s="1"/>
  <c r="AV611" i="28"/>
  <c r="BC611" i="28" s="1"/>
  <c r="AU611" i="28"/>
  <c r="BB611" i="28" s="1"/>
  <c r="AT611" i="28"/>
  <c r="BA611" i="28" s="1"/>
  <c r="AY610" i="28"/>
  <c r="BF610" i="28" s="1"/>
  <c r="AX610" i="28"/>
  <c r="BE610" i="28" s="1"/>
  <c r="AW610" i="28"/>
  <c r="BD610" i="28" s="1"/>
  <c r="AV610" i="28"/>
  <c r="BC610" i="28" s="1"/>
  <c r="AU610" i="28"/>
  <c r="BB610" i="28" s="1"/>
  <c r="AT610" i="28"/>
  <c r="BA610" i="28" s="1"/>
  <c r="AY609" i="28"/>
  <c r="BF609" i="28" s="1"/>
  <c r="AX609" i="28"/>
  <c r="BE609" i="28" s="1"/>
  <c r="AW609" i="28"/>
  <c r="BD609" i="28" s="1"/>
  <c r="AV609" i="28"/>
  <c r="BC609" i="28" s="1"/>
  <c r="AU609" i="28"/>
  <c r="BB609" i="28" s="1"/>
  <c r="AT609" i="28"/>
  <c r="BA609" i="28" s="1"/>
  <c r="AX608" i="28"/>
  <c r="BE608" i="28" s="1"/>
  <c r="AW608" i="28"/>
  <c r="BD608" i="28" s="1"/>
  <c r="AV608" i="28"/>
  <c r="BC608" i="28" s="1"/>
  <c r="AU608" i="28"/>
  <c r="BB608" i="28" s="1"/>
  <c r="AT608" i="28"/>
  <c r="BA608" i="28" s="1"/>
  <c r="AX607" i="28"/>
  <c r="BE607" i="28" s="1"/>
  <c r="AW607" i="28"/>
  <c r="BD607" i="28" s="1"/>
  <c r="AV607" i="28"/>
  <c r="BC607" i="28" s="1"/>
  <c r="AU607" i="28"/>
  <c r="BB607" i="28" s="1"/>
  <c r="AT607" i="28"/>
  <c r="BA607" i="28" s="1"/>
  <c r="AX606" i="28"/>
  <c r="BE606" i="28" s="1"/>
  <c r="AW606" i="28"/>
  <c r="BD606" i="28" s="1"/>
  <c r="AV606" i="28"/>
  <c r="BC606" i="28" s="1"/>
  <c r="AU606" i="28"/>
  <c r="BB606" i="28" s="1"/>
  <c r="AT606" i="28"/>
  <c r="BA606" i="28" s="1"/>
  <c r="AY605" i="28"/>
  <c r="BF605" i="28" s="1"/>
  <c r="AX605" i="28"/>
  <c r="BE605" i="28" s="1"/>
  <c r="AW605" i="28"/>
  <c r="BD605" i="28" s="1"/>
  <c r="AV605" i="28"/>
  <c r="BC605" i="28" s="1"/>
  <c r="AU605" i="28"/>
  <c r="BB605" i="28" s="1"/>
  <c r="AT605" i="28"/>
  <c r="BA605" i="28" s="1"/>
  <c r="AY604" i="28"/>
  <c r="BF604" i="28" s="1"/>
  <c r="AX604" i="28"/>
  <c r="BE604" i="28" s="1"/>
  <c r="AW604" i="28"/>
  <c r="BD604" i="28" s="1"/>
  <c r="AV604" i="28"/>
  <c r="BC604" i="28" s="1"/>
  <c r="AU604" i="28"/>
  <c r="BB604" i="28" s="1"/>
  <c r="AT604" i="28"/>
  <c r="BA604" i="28" s="1"/>
  <c r="AY603" i="28"/>
  <c r="BF603" i="28" s="1"/>
  <c r="AX603" i="28"/>
  <c r="BE603" i="28" s="1"/>
  <c r="AW603" i="28"/>
  <c r="BD603" i="28" s="1"/>
  <c r="AV603" i="28"/>
  <c r="BC603" i="28" s="1"/>
  <c r="AU603" i="28"/>
  <c r="BB603" i="28" s="1"/>
  <c r="AT603" i="28"/>
  <c r="BA603" i="28" s="1"/>
  <c r="AY602" i="28"/>
  <c r="BF602" i="28" s="1"/>
  <c r="AX602" i="28"/>
  <c r="BE602" i="28" s="1"/>
  <c r="AW602" i="28"/>
  <c r="BD602" i="28" s="1"/>
  <c r="AV602" i="28"/>
  <c r="BC602" i="28" s="1"/>
  <c r="AU602" i="28"/>
  <c r="BB602" i="28" s="1"/>
  <c r="AT602" i="28"/>
  <c r="BA602" i="28" s="1"/>
  <c r="AY601" i="28"/>
  <c r="BF601" i="28" s="1"/>
  <c r="AX601" i="28"/>
  <c r="BE601" i="28" s="1"/>
  <c r="AW601" i="28"/>
  <c r="BD601" i="28" s="1"/>
  <c r="AV601" i="28"/>
  <c r="BC601" i="28" s="1"/>
  <c r="AU601" i="28"/>
  <c r="BB601" i="28" s="1"/>
  <c r="AT601" i="28"/>
  <c r="BA601" i="28" s="1"/>
  <c r="AX600" i="28"/>
  <c r="BE600" i="28" s="1"/>
  <c r="AW600" i="28"/>
  <c r="BD600" i="28" s="1"/>
  <c r="AV600" i="28"/>
  <c r="BC600" i="28" s="1"/>
  <c r="AU600" i="28"/>
  <c r="BB600" i="28" s="1"/>
  <c r="AT600" i="28"/>
  <c r="BA600" i="28" s="1"/>
  <c r="AX599" i="28"/>
  <c r="BE599" i="28" s="1"/>
  <c r="AW599" i="28"/>
  <c r="BD599" i="28" s="1"/>
  <c r="AV599" i="28"/>
  <c r="BC599" i="28" s="1"/>
  <c r="AU599" i="28"/>
  <c r="BB599" i="28" s="1"/>
  <c r="AT599" i="28"/>
  <c r="BA599" i="28" s="1"/>
  <c r="AX598" i="28"/>
  <c r="BE598" i="28" s="1"/>
  <c r="AW598" i="28"/>
  <c r="BD598" i="28" s="1"/>
  <c r="AV598" i="28"/>
  <c r="BC598" i="28" s="1"/>
  <c r="AU598" i="28"/>
  <c r="BB598" i="28" s="1"/>
  <c r="AT598" i="28"/>
  <c r="BA598" i="28" s="1"/>
  <c r="AY597" i="28"/>
  <c r="BF597" i="28" s="1"/>
  <c r="AX597" i="28"/>
  <c r="BE597" i="28" s="1"/>
  <c r="AW597" i="28"/>
  <c r="BD597" i="28" s="1"/>
  <c r="AV597" i="28"/>
  <c r="BC597" i="28" s="1"/>
  <c r="AU597" i="28"/>
  <c r="BB597" i="28" s="1"/>
  <c r="AT597" i="28"/>
  <c r="BA597" i="28" s="1"/>
  <c r="AY596" i="28"/>
  <c r="BF596" i="28" s="1"/>
  <c r="AX596" i="28"/>
  <c r="BE596" i="28" s="1"/>
  <c r="AW596" i="28"/>
  <c r="BD596" i="28" s="1"/>
  <c r="AV596" i="28"/>
  <c r="BC596" i="28" s="1"/>
  <c r="AU596" i="28"/>
  <c r="BB596" i="28" s="1"/>
  <c r="AT596" i="28"/>
  <c r="BA596" i="28" s="1"/>
  <c r="AY595" i="28"/>
  <c r="BF595" i="28" s="1"/>
  <c r="AX595" i="28"/>
  <c r="BE595" i="28" s="1"/>
  <c r="AW595" i="28"/>
  <c r="BD595" i="28" s="1"/>
  <c r="AV595" i="28"/>
  <c r="BC595" i="28" s="1"/>
  <c r="AU595" i="28"/>
  <c r="BB595" i="28" s="1"/>
  <c r="AT595" i="28"/>
  <c r="BA595" i="28" s="1"/>
  <c r="AY594" i="28"/>
  <c r="BF594" i="28" s="1"/>
  <c r="AX594" i="28"/>
  <c r="BE594" i="28" s="1"/>
  <c r="AW594" i="28"/>
  <c r="BD594" i="28" s="1"/>
  <c r="AV594" i="28"/>
  <c r="BC594" i="28" s="1"/>
  <c r="AU594" i="28"/>
  <c r="BB594" i="28" s="1"/>
  <c r="AT594" i="28"/>
  <c r="BA594" i="28" s="1"/>
  <c r="AY593" i="28"/>
  <c r="BF593" i="28" s="1"/>
  <c r="AX593" i="28"/>
  <c r="BE593" i="28" s="1"/>
  <c r="AW593" i="28"/>
  <c r="BD593" i="28" s="1"/>
  <c r="AV593" i="28"/>
  <c r="BC593" i="28" s="1"/>
  <c r="AU593" i="28"/>
  <c r="BB593" i="28" s="1"/>
  <c r="AT593" i="28"/>
  <c r="BA593" i="28" s="1"/>
  <c r="AX592" i="28"/>
  <c r="BE592" i="28" s="1"/>
  <c r="AW592" i="28"/>
  <c r="BD592" i="28" s="1"/>
  <c r="AV592" i="28"/>
  <c r="BC592" i="28" s="1"/>
  <c r="AU592" i="28"/>
  <c r="BB592" i="28" s="1"/>
  <c r="AT592" i="28"/>
  <c r="BA592" i="28" s="1"/>
  <c r="AY591" i="28"/>
  <c r="BF591" i="28" s="1"/>
  <c r="AX591" i="28"/>
  <c r="BE591" i="28" s="1"/>
  <c r="AW591" i="28"/>
  <c r="BD591" i="28" s="1"/>
  <c r="AV591" i="28"/>
  <c r="BC591" i="28" s="1"/>
  <c r="AU591" i="28"/>
  <c r="BB591" i="28" s="1"/>
  <c r="AT591" i="28"/>
  <c r="BA591" i="28" s="1"/>
  <c r="AX590" i="28"/>
  <c r="BE590" i="28" s="1"/>
  <c r="AW590" i="28"/>
  <c r="BD590" i="28" s="1"/>
  <c r="AV590" i="28"/>
  <c r="BC590" i="28" s="1"/>
  <c r="AU590" i="28"/>
  <c r="BB590" i="28" s="1"/>
  <c r="AT590" i="28"/>
  <c r="BA590" i="28" s="1"/>
  <c r="AY589" i="28"/>
  <c r="BF589" i="28" s="1"/>
  <c r="AX589" i="28"/>
  <c r="BE589" i="28" s="1"/>
  <c r="AW589" i="28"/>
  <c r="BD589" i="28" s="1"/>
  <c r="AV589" i="28"/>
  <c r="BC589" i="28" s="1"/>
  <c r="AU589" i="28"/>
  <c r="BB589" i="28" s="1"/>
  <c r="AT589" i="28"/>
  <c r="BA589" i="28" s="1"/>
  <c r="AY588" i="28"/>
  <c r="BF588" i="28" s="1"/>
  <c r="AX588" i="28"/>
  <c r="BE588" i="28" s="1"/>
  <c r="AW588" i="28"/>
  <c r="BD588" i="28" s="1"/>
  <c r="AV588" i="28"/>
  <c r="BC588" i="28" s="1"/>
  <c r="AU588" i="28"/>
  <c r="BB588" i="28" s="1"/>
  <c r="AT588" i="28"/>
  <c r="BA588" i="28" s="1"/>
  <c r="AY587" i="28"/>
  <c r="BF587" i="28" s="1"/>
  <c r="AX587" i="28"/>
  <c r="BE587" i="28" s="1"/>
  <c r="AW587" i="28"/>
  <c r="BD587" i="28" s="1"/>
  <c r="AV587" i="28"/>
  <c r="BC587" i="28" s="1"/>
  <c r="AU587" i="28"/>
  <c r="BB587" i="28" s="1"/>
  <c r="AT587" i="28"/>
  <c r="BA587" i="28" s="1"/>
  <c r="AY586" i="28"/>
  <c r="BF586" i="28" s="1"/>
  <c r="AX586" i="28"/>
  <c r="BE586" i="28" s="1"/>
  <c r="AW586" i="28"/>
  <c r="BD586" i="28" s="1"/>
  <c r="AV586" i="28"/>
  <c r="BC586" i="28" s="1"/>
  <c r="AU586" i="28"/>
  <c r="BB586" i="28" s="1"/>
  <c r="AT586" i="28"/>
  <c r="BA586" i="28" s="1"/>
  <c r="AY585" i="28"/>
  <c r="BF585" i="28" s="1"/>
  <c r="AX585" i="28"/>
  <c r="BE585" i="28" s="1"/>
  <c r="AW585" i="28"/>
  <c r="BD585" i="28" s="1"/>
  <c r="AV585" i="28"/>
  <c r="BC585" i="28" s="1"/>
  <c r="AU585" i="28"/>
  <c r="BB585" i="28" s="1"/>
  <c r="AT585" i="28"/>
  <c r="BA585" i="28" s="1"/>
  <c r="AX584" i="28"/>
  <c r="BE584" i="28" s="1"/>
  <c r="AW584" i="28"/>
  <c r="BD584" i="28" s="1"/>
  <c r="AV584" i="28"/>
  <c r="BC584" i="28" s="1"/>
  <c r="AU584" i="28"/>
  <c r="BB584" i="28" s="1"/>
  <c r="AT584" i="28"/>
  <c r="BA584" i="28" s="1"/>
  <c r="AX583" i="28"/>
  <c r="BE583" i="28" s="1"/>
  <c r="AW583" i="28"/>
  <c r="BD583" i="28" s="1"/>
  <c r="AV583" i="28"/>
  <c r="BC583" i="28" s="1"/>
  <c r="AU583" i="28"/>
  <c r="BB583" i="28" s="1"/>
  <c r="AT583" i="28"/>
  <c r="BA583" i="28" s="1"/>
  <c r="AX582" i="28"/>
  <c r="BE582" i="28" s="1"/>
  <c r="AW582" i="28"/>
  <c r="BD582" i="28" s="1"/>
  <c r="AV582" i="28"/>
  <c r="BC582" i="28" s="1"/>
  <c r="AU582" i="28"/>
  <c r="BB582" i="28" s="1"/>
  <c r="AT582" i="28"/>
  <c r="BA582" i="28" s="1"/>
  <c r="AY581" i="28"/>
  <c r="BF581" i="28" s="1"/>
  <c r="AX581" i="28"/>
  <c r="BE581" i="28" s="1"/>
  <c r="AW581" i="28"/>
  <c r="BD581" i="28" s="1"/>
  <c r="AV581" i="28"/>
  <c r="BC581" i="28" s="1"/>
  <c r="AU581" i="28"/>
  <c r="BB581" i="28" s="1"/>
  <c r="AT581" i="28"/>
  <c r="BA581" i="28" s="1"/>
  <c r="AY580" i="28"/>
  <c r="BF580" i="28" s="1"/>
  <c r="AX580" i="28"/>
  <c r="BE580" i="28" s="1"/>
  <c r="AW580" i="28"/>
  <c r="BD580" i="28" s="1"/>
  <c r="AV580" i="28"/>
  <c r="BC580" i="28" s="1"/>
  <c r="AU580" i="28"/>
  <c r="BB580" i="28" s="1"/>
  <c r="AT580" i="28"/>
  <c r="BA580" i="28" s="1"/>
  <c r="AY579" i="28"/>
  <c r="BF579" i="28" s="1"/>
  <c r="AX579" i="28"/>
  <c r="BE579" i="28" s="1"/>
  <c r="AW579" i="28"/>
  <c r="BD579" i="28" s="1"/>
  <c r="AV579" i="28"/>
  <c r="BC579" i="28" s="1"/>
  <c r="AU579" i="28"/>
  <c r="BB579" i="28" s="1"/>
  <c r="AT579" i="28"/>
  <c r="BA579" i="28" s="1"/>
  <c r="AY578" i="28"/>
  <c r="BF578" i="28" s="1"/>
  <c r="AX578" i="28"/>
  <c r="BE578" i="28" s="1"/>
  <c r="AW578" i="28"/>
  <c r="BD578" i="28" s="1"/>
  <c r="AV578" i="28"/>
  <c r="BC578" i="28" s="1"/>
  <c r="AU578" i="28"/>
  <c r="BB578" i="28" s="1"/>
  <c r="AT578" i="28"/>
  <c r="BA578" i="28" s="1"/>
  <c r="AY577" i="28"/>
  <c r="BF577" i="28" s="1"/>
  <c r="AX577" i="28"/>
  <c r="BE577" i="28" s="1"/>
  <c r="AW577" i="28"/>
  <c r="BD577" i="28" s="1"/>
  <c r="AV577" i="28"/>
  <c r="BC577" i="28" s="1"/>
  <c r="AU577" i="28"/>
  <c r="BB577" i="28" s="1"/>
  <c r="AT577" i="28"/>
  <c r="BA577" i="28" s="1"/>
  <c r="AX576" i="28"/>
  <c r="BE576" i="28" s="1"/>
  <c r="AW576" i="28"/>
  <c r="BD576" i="28" s="1"/>
  <c r="AV576" i="28"/>
  <c r="BC576" i="28" s="1"/>
  <c r="AU576" i="28"/>
  <c r="BB576" i="28" s="1"/>
  <c r="AT576" i="28"/>
  <c r="BA576" i="28" s="1"/>
  <c r="AX575" i="28"/>
  <c r="BE575" i="28" s="1"/>
  <c r="AW575" i="28"/>
  <c r="BD575" i="28" s="1"/>
  <c r="AV575" i="28"/>
  <c r="BC575" i="28" s="1"/>
  <c r="AU575" i="28"/>
  <c r="BB575" i="28" s="1"/>
  <c r="AT575" i="28"/>
  <c r="BA575" i="28" s="1"/>
  <c r="AX574" i="28"/>
  <c r="BE574" i="28" s="1"/>
  <c r="AW574" i="28"/>
  <c r="BD574" i="28" s="1"/>
  <c r="AV574" i="28"/>
  <c r="BC574" i="28" s="1"/>
  <c r="AU574" i="28"/>
  <c r="BB574" i="28" s="1"/>
  <c r="AT574" i="28"/>
  <c r="BA574" i="28" s="1"/>
  <c r="AY573" i="28"/>
  <c r="BF573" i="28" s="1"/>
  <c r="AX573" i="28"/>
  <c r="BE573" i="28" s="1"/>
  <c r="AW573" i="28"/>
  <c r="BD573" i="28" s="1"/>
  <c r="AV573" i="28"/>
  <c r="BC573" i="28" s="1"/>
  <c r="AU573" i="28"/>
  <c r="BB573" i="28" s="1"/>
  <c r="AT573" i="28"/>
  <c r="BA573" i="28" s="1"/>
  <c r="AY572" i="28"/>
  <c r="BF572" i="28" s="1"/>
  <c r="AX572" i="28"/>
  <c r="BE572" i="28" s="1"/>
  <c r="AW572" i="28"/>
  <c r="BD572" i="28" s="1"/>
  <c r="AV572" i="28"/>
  <c r="BC572" i="28" s="1"/>
  <c r="AU572" i="28"/>
  <c r="BB572" i="28" s="1"/>
  <c r="AT572" i="28"/>
  <c r="BA572" i="28" s="1"/>
  <c r="AY571" i="28"/>
  <c r="BF571" i="28" s="1"/>
  <c r="AX571" i="28"/>
  <c r="BE571" i="28" s="1"/>
  <c r="AW571" i="28"/>
  <c r="BD571" i="28" s="1"/>
  <c r="AV571" i="28"/>
  <c r="BC571" i="28" s="1"/>
  <c r="AU571" i="28"/>
  <c r="BB571" i="28" s="1"/>
  <c r="AT571" i="28"/>
  <c r="BA571" i="28" s="1"/>
  <c r="AY570" i="28"/>
  <c r="BF570" i="28" s="1"/>
  <c r="AX570" i="28"/>
  <c r="BE570" i="28" s="1"/>
  <c r="AW570" i="28"/>
  <c r="BD570" i="28" s="1"/>
  <c r="AV570" i="28"/>
  <c r="BC570" i="28" s="1"/>
  <c r="AU570" i="28"/>
  <c r="BB570" i="28" s="1"/>
  <c r="AT570" i="28"/>
  <c r="BA570" i="28" s="1"/>
  <c r="AY569" i="28"/>
  <c r="BF569" i="28" s="1"/>
  <c r="AX569" i="28"/>
  <c r="BE569" i="28" s="1"/>
  <c r="AW569" i="28"/>
  <c r="BD569" i="28" s="1"/>
  <c r="AV569" i="28"/>
  <c r="BC569" i="28" s="1"/>
  <c r="AU569" i="28"/>
  <c r="BB569" i="28" s="1"/>
  <c r="AT569" i="28"/>
  <c r="BA569" i="28" s="1"/>
  <c r="AX568" i="28"/>
  <c r="BE568" i="28" s="1"/>
  <c r="AW568" i="28"/>
  <c r="BD568" i="28" s="1"/>
  <c r="AV568" i="28"/>
  <c r="BC568" i="28" s="1"/>
  <c r="AU568" i="28"/>
  <c r="BB568" i="28" s="1"/>
  <c r="AT568" i="28"/>
  <c r="BA568" i="28" s="1"/>
  <c r="AY567" i="28"/>
  <c r="BF567" i="28" s="1"/>
  <c r="AX567" i="28"/>
  <c r="BE567" i="28" s="1"/>
  <c r="AW567" i="28"/>
  <c r="BD567" i="28" s="1"/>
  <c r="AV567" i="28"/>
  <c r="BC567" i="28" s="1"/>
  <c r="AU567" i="28"/>
  <c r="BB567" i="28" s="1"/>
  <c r="AT567" i="28"/>
  <c r="BA567" i="28" s="1"/>
  <c r="AX566" i="28"/>
  <c r="BE566" i="28" s="1"/>
  <c r="AW566" i="28"/>
  <c r="BD566" i="28" s="1"/>
  <c r="AV566" i="28"/>
  <c r="BC566" i="28" s="1"/>
  <c r="AU566" i="28"/>
  <c r="BB566" i="28" s="1"/>
  <c r="AT566" i="28"/>
  <c r="BA566" i="28" s="1"/>
  <c r="AY565" i="28"/>
  <c r="BF565" i="28" s="1"/>
  <c r="AX565" i="28"/>
  <c r="BE565" i="28" s="1"/>
  <c r="AW565" i="28"/>
  <c r="BD565" i="28" s="1"/>
  <c r="AV565" i="28"/>
  <c r="BC565" i="28" s="1"/>
  <c r="AU565" i="28"/>
  <c r="BB565" i="28" s="1"/>
  <c r="AT565" i="28"/>
  <c r="BA565" i="28" s="1"/>
  <c r="AY564" i="28"/>
  <c r="BF564" i="28" s="1"/>
  <c r="AX564" i="28"/>
  <c r="BE564" i="28" s="1"/>
  <c r="AW564" i="28"/>
  <c r="BD564" i="28" s="1"/>
  <c r="AV564" i="28"/>
  <c r="BC564" i="28" s="1"/>
  <c r="AU564" i="28"/>
  <c r="BB564" i="28" s="1"/>
  <c r="AT564" i="28"/>
  <c r="BA564" i="28" s="1"/>
  <c r="AY563" i="28"/>
  <c r="BF563" i="28" s="1"/>
  <c r="AX563" i="28"/>
  <c r="BE563" i="28" s="1"/>
  <c r="AW563" i="28"/>
  <c r="BD563" i="28" s="1"/>
  <c r="AV563" i="28"/>
  <c r="BC563" i="28" s="1"/>
  <c r="AU563" i="28"/>
  <c r="BB563" i="28" s="1"/>
  <c r="AT563" i="28"/>
  <c r="BA563" i="28" s="1"/>
  <c r="AY562" i="28"/>
  <c r="BF562" i="28" s="1"/>
  <c r="AX562" i="28"/>
  <c r="BE562" i="28" s="1"/>
  <c r="AW562" i="28"/>
  <c r="BD562" i="28" s="1"/>
  <c r="AV562" i="28"/>
  <c r="BC562" i="28" s="1"/>
  <c r="AU562" i="28"/>
  <c r="BB562" i="28" s="1"/>
  <c r="AT562" i="28"/>
  <c r="BA562" i="28" s="1"/>
  <c r="AY561" i="28"/>
  <c r="BF561" i="28" s="1"/>
  <c r="AX561" i="28"/>
  <c r="BE561" i="28" s="1"/>
  <c r="AW561" i="28"/>
  <c r="BD561" i="28" s="1"/>
  <c r="AV561" i="28"/>
  <c r="BC561" i="28" s="1"/>
  <c r="AU561" i="28"/>
  <c r="BB561" i="28" s="1"/>
  <c r="AT561" i="28"/>
  <c r="BA561" i="28" s="1"/>
  <c r="AX560" i="28"/>
  <c r="BE560" i="28" s="1"/>
  <c r="AW560" i="28"/>
  <c r="BD560" i="28" s="1"/>
  <c r="AV560" i="28"/>
  <c r="BC560" i="28" s="1"/>
  <c r="AU560" i="28"/>
  <c r="BB560" i="28" s="1"/>
  <c r="AT560" i="28"/>
  <c r="BA560" i="28" s="1"/>
  <c r="AX559" i="28"/>
  <c r="BE559" i="28" s="1"/>
  <c r="AW559" i="28"/>
  <c r="BD559" i="28" s="1"/>
  <c r="AV559" i="28"/>
  <c r="BC559" i="28" s="1"/>
  <c r="AU559" i="28"/>
  <c r="BB559" i="28" s="1"/>
  <c r="AT559" i="28"/>
  <c r="BA559" i="28" s="1"/>
  <c r="AX558" i="28"/>
  <c r="BE558" i="28" s="1"/>
  <c r="AW558" i="28"/>
  <c r="BD558" i="28" s="1"/>
  <c r="AV558" i="28"/>
  <c r="BC558" i="28" s="1"/>
  <c r="AU558" i="28"/>
  <c r="BB558" i="28" s="1"/>
  <c r="AT558" i="28"/>
  <c r="BA558" i="28" s="1"/>
  <c r="AY557" i="28"/>
  <c r="BF557" i="28" s="1"/>
  <c r="AX557" i="28"/>
  <c r="BE557" i="28" s="1"/>
  <c r="AW557" i="28"/>
  <c r="BD557" i="28" s="1"/>
  <c r="AV557" i="28"/>
  <c r="BC557" i="28" s="1"/>
  <c r="AU557" i="28"/>
  <c r="BB557" i="28" s="1"/>
  <c r="AT557" i="28"/>
  <c r="BA557" i="28" s="1"/>
  <c r="AY556" i="28"/>
  <c r="BF556" i="28" s="1"/>
  <c r="AX556" i="28"/>
  <c r="BE556" i="28" s="1"/>
  <c r="AW556" i="28"/>
  <c r="BD556" i="28" s="1"/>
  <c r="AV556" i="28"/>
  <c r="BC556" i="28" s="1"/>
  <c r="AU556" i="28"/>
  <c r="BB556" i="28" s="1"/>
  <c r="AT556" i="28"/>
  <c r="BA556" i="28" s="1"/>
  <c r="AY555" i="28"/>
  <c r="BF555" i="28" s="1"/>
  <c r="AX555" i="28"/>
  <c r="BE555" i="28" s="1"/>
  <c r="AW555" i="28"/>
  <c r="BD555" i="28" s="1"/>
  <c r="AV555" i="28"/>
  <c r="BC555" i="28" s="1"/>
  <c r="AU555" i="28"/>
  <c r="BB555" i="28" s="1"/>
  <c r="AT555" i="28"/>
  <c r="BA555" i="28" s="1"/>
  <c r="AY554" i="28"/>
  <c r="BF554" i="28" s="1"/>
  <c r="AX554" i="28"/>
  <c r="BE554" i="28" s="1"/>
  <c r="AW554" i="28"/>
  <c r="BD554" i="28" s="1"/>
  <c r="AV554" i="28"/>
  <c r="BC554" i="28" s="1"/>
  <c r="AU554" i="28"/>
  <c r="BB554" i="28" s="1"/>
  <c r="AT554" i="28"/>
  <c r="BA554" i="28" s="1"/>
  <c r="AY553" i="28"/>
  <c r="BF553" i="28" s="1"/>
  <c r="AX553" i="28"/>
  <c r="BE553" i="28" s="1"/>
  <c r="AW553" i="28"/>
  <c r="BD553" i="28" s="1"/>
  <c r="AV553" i="28"/>
  <c r="BC553" i="28" s="1"/>
  <c r="AU553" i="28"/>
  <c r="BB553" i="28" s="1"/>
  <c r="AT553" i="28"/>
  <c r="BA553" i="28" s="1"/>
  <c r="AX552" i="28"/>
  <c r="BE552" i="28" s="1"/>
  <c r="AW552" i="28"/>
  <c r="BD552" i="28" s="1"/>
  <c r="AV552" i="28"/>
  <c r="BC552" i="28" s="1"/>
  <c r="AU552" i="28"/>
  <c r="BB552" i="28" s="1"/>
  <c r="AT552" i="28"/>
  <c r="BA552" i="28" s="1"/>
  <c r="AY551" i="28"/>
  <c r="BF551" i="28" s="1"/>
  <c r="AX551" i="28"/>
  <c r="BE551" i="28" s="1"/>
  <c r="AW551" i="28"/>
  <c r="BD551" i="28" s="1"/>
  <c r="AV551" i="28"/>
  <c r="BC551" i="28" s="1"/>
  <c r="AU551" i="28"/>
  <c r="BB551" i="28" s="1"/>
  <c r="AT551" i="28"/>
  <c r="BA551" i="28" s="1"/>
  <c r="AX550" i="28"/>
  <c r="BE550" i="28" s="1"/>
  <c r="AW550" i="28"/>
  <c r="BD550" i="28" s="1"/>
  <c r="AV550" i="28"/>
  <c r="BC550" i="28" s="1"/>
  <c r="AU550" i="28"/>
  <c r="BB550" i="28" s="1"/>
  <c r="AT550" i="28"/>
  <c r="BA550" i="28" s="1"/>
  <c r="AY549" i="28"/>
  <c r="BF549" i="28" s="1"/>
  <c r="AX549" i="28"/>
  <c r="BE549" i="28" s="1"/>
  <c r="AW549" i="28"/>
  <c r="BD549" i="28" s="1"/>
  <c r="AV549" i="28"/>
  <c r="BC549" i="28" s="1"/>
  <c r="AU549" i="28"/>
  <c r="BB549" i="28" s="1"/>
  <c r="AT549" i="28"/>
  <c r="BA549" i="28" s="1"/>
  <c r="AY548" i="28"/>
  <c r="BF548" i="28" s="1"/>
  <c r="AX548" i="28"/>
  <c r="BE548" i="28" s="1"/>
  <c r="AW548" i="28"/>
  <c r="BD548" i="28" s="1"/>
  <c r="AV548" i="28"/>
  <c r="BC548" i="28" s="1"/>
  <c r="AU548" i="28"/>
  <c r="BB548" i="28" s="1"/>
  <c r="AT548" i="28"/>
  <c r="BA548" i="28" s="1"/>
  <c r="AY547" i="28"/>
  <c r="BF547" i="28" s="1"/>
  <c r="AX547" i="28"/>
  <c r="BE547" i="28" s="1"/>
  <c r="AW547" i="28"/>
  <c r="BD547" i="28" s="1"/>
  <c r="AV547" i="28"/>
  <c r="BC547" i="28" s="1"/>
  <c r="AU547" i="28"/>
  <c r="BB547" i="28" s="1"/>
  <c r="AT547" i="28"/>
  <c r="BA547" i="28" s="1"/>
  <c r="AY546" i="28"/>
  <c r="BF546" i="28" s="1"/>
  <c r="AX546" i="28"/>
  <c r="BE546" i="28" s="1"/>
  <c r="AW546" i="28"/>
  <c r="BD546" i="28" s="1"/>
  <c r="AV546" i="28"/>
  <c r="BC546" i="28" s="1"/>
  <c r="AU546" i="28"/>
  <c r="BB546" i="28" s="1"/>
  <c r="AT546" i="28"/>
  <c r="BA546" i="28" s="1"/>
  <c r="AY545" i="28"/>
  <c r="BF545" i="28" s="1"/>
  <c r="AX545" i="28"/>
  <c r="BE545" i="28" s="1"/>
  <c r="AW545" i="28"/>
  <c r="BD545" i="28" s="1"/>
  <c r="AV545" i="28"/>
  <c r="BC545" i="28" s="1"/>
  <c r="AU545" i="28"/>
  <c r="BB545" i="28" s="1"/>
  <c r="AT545" i="28"/>
  <c r="BA545" i="28" s="1"/>
  <c r="AX544" i="28"/>
  <c r="BE544" i="28" s="1"/>
  <c r="AW544" i="28"/>
  <c r="BD544" i="28" s="1"/>
  <c r="AV544" i="28"/>
  <c r="BC544" i="28" s="1"/>
  <c r="AU544" i="28"/>
  <c r="BB544" i="28" s="1"/>
  <c r="AT544" i="28"/>
  <c r="BA544" i="28" s="1"/>
  <c r="AY543" i="28"/>
  <c r="BF543" i="28" s="1"/>
  <c r="AX543" i="28"/>
  <c r="BE543" i="28" s="1"/>
  <c r="AW543" i="28"/>
  <c r="BD543" i="28" s="1"/>
  <c r="AV543" i="28"/>
  <c r="BC543" i="28" s="1"/>
  <c r="AU543" i="28"/>
  <c r="BB543" i="28" s="1"/>
  <c r="AT543" i="28"/>
  <c r="BA543" i="28" s="1"/>
  <c r="AX542" i="28"/>
  <c r="BE542" i="28" s="1"/>
  <c r="AW542" i="28"/>
  <c r="BD542" i="28" s="1"/>
  <c r="AV542" i="28"/>
  <c r="BC542" i="28" s="1"/>
  <c r="AU542" i="28"/>
  <c r="BB542" i="28" s="1"/>
  <c r="AT542" i="28"/>
  <c r="BA542" i="28" s="1"/>
  <c r="AY541" i="28"/>
  <c r="BF541" i="28" s="1"/>
  <c r="AX541" i="28"/>
  <c r="BE541" i="28" s="1"/>
  <c r="AW541" i="28"/>
  <c r="BD541" i="28" s="1"/>
  <c r="AV541" i="28"/>
  <c r="BC541" i="28" s="1"/>
  <c r="AU541" i="28"/>
  <c r="BB541" i="28" s="1"/>
  <c r="AT541" i="28"/>
  <c r="BA541" i="28" s="1"/>
  <c r="AY540" i="28"/>
  <c r="BF540" i="28" s="1"/>
  <c r="AX540" i="28"/>
  <c r="BE540" i="28" s="1"/>
  <c r="AW540" i="28"/>
  <c r="BD540" i="28" s="1"/>
  <c r="AV540" i="28"/>
  <c r="BC540" i="28" s="1"/>
  <c r="AU540" i="28"/>
  <c r="BB540" i="28" s="1"/>
  <c r="AT540" i="28"/>
  <c r="BA540" i="28" s="1"/>
  <c r="AY539" i="28"/>
  <c r="BF539" i="28" s="1"/>
  <c r="AX539" i="28"/>
  <c r="BE539" i="28" s="1"/>
  <c r="AW539" i="28"/>
  <c r="BD539" i="28" s="1"/>
  <c r="AV539" i="28"/>
  <c r="BC539" i="28" s="1"/>
  <c r="AU539" i="28"/>
  <c r="BB539" i="28" s="1"/>
  <c r="AT539" i="28"/>
  <c r="BA539" i="28" s="1"/>
  <c r="AY538" i="28"/>
  <c r="BF538" i="28" s="1"/>
  <c r="AX538" i="28"/>
  <c r="BE538" i="28" s="1"/>
  <c r="AW538" i="28"/>
  <c r="BD538" i="28" s="1"/>
  <c r="AV538" i="28"/>
  <c r="BC538" i="28" s="1"/>
  <c r="AU538" i="28"/>
  <c r="BB538" i="28" s="1"/>
  <c r="AT538" i="28"/>
  <c r="BA538" i="28" s="1"/>
  <c r="AY537" i="28"/>
  <c r="BF537" i="28" s="1"/>
  <c r="AX537" i="28"/>
  <c r="BE537" i="28" s="1"/>
  <c r="AW537" i="28"/>
  <c r="BD537" i="28" s="1"/>
  <c r="AV537" i="28"/>
  <c r="BC537" i="28" s="1"/>
  <c r="AU537" i="28"/>
  <c r="BB537" i="28" s="1"/>
  <c r="AT537" i="28"/>
  <c r="BA537" i="28" s="1"/>
  <c r="AX536" i="28"/>
  <c r="BE536" i="28" s="1"/>
  <c r="AW536" i="28"/>
  <c r="BD536" i="28" s="1"/>
  <c r="AV536" i="28"/>
  <c r="BC536" i="28" s="1"/>
  <c r="AU536" i="28"/>
  <c r="BB536" i="28" s="1"/>
  <c r="AT536" i="28"/>
  <c r="BA536" i="28" s="1"/>
  <c r="AX535" i="28"/>
  <c r="BE535" i="28" s="1"/>
  <c r="AW535" i="28"/>
  <c r="BD535" i="28" s="1"/>
  <c r="AV535" i="28"/>
  <c r="BC535" i="28" s="1"/>
  <c r="AU535" i="28"/>
  <c r="BB535" i="28" s="1"/>
  <c r="AT535" i="28"/>
  <c r="BA535" i="28" s="1"/>
  <c r="AX534" i="28"/>
  <c r="BE534" i="28" s="1"/>
  <c r="AW534" i="28"/>
  <c r="BD534" i="28" s="1"/>
  <c r="AV534" i="28"/>
  <c r="BC534" i="28" s="1"/>
  <c r="AU534" i="28"/>
  <c r="BB534" i="28" s="1"/>
  <c r="AT534" i="28"/>
  <c r="BA534" i="28" s="1"/>
  <c r="AY533" i="28"/>
  <c r="BF533" i="28" s="1"/>
  <c r="AX533" i="28"/>
  <c r="BE533" i="28" s="1"/>
  <c r="AW533" i="28"/>
  <c r="BD533" i="28" s="1"/>
  <c r="AV533" i="28"/>
  <c r="BC533" i="28" s="1"/>
  <c r="AU533" i="28"/>
  <c r="BB533" i="28" s="1"/>
  <c r="AT533" i="28"/>
  <c r="BA533" i="28" s="1"/>
  <c r="AY532" i="28"/>
  <c r="BF532" i="28" s="1"/>
  <c r="AX532" i="28"/>
  <c r="BE532" i="28" s="1"/>
  <c r="AW532" i="28"/>
  <c r="BD532" i="28" s="1"/>
  <c r="AV532" i="28"/>
  <c r="BC532" i="28" s="1"/>
  <c r="AU532" i="28"/>
  <c r="BB532" i="28" s="1"/>
  <c r="AT532" i="28"/>
  <c r="BA532" i="28" s="1"/>
  <c r="AY531" i="28"/>
  <c r="BF531" i="28" s="1"/>
  <c r="AX531" i="28"/>
  <c r="BE531" i="28" s="1"/>
  <c r="AW531" i="28"/>
  <c r="BD531" i="28" s="1"/>
  <c r="AV531" i="28"/>
  <c r="BC531" i="28" s="1"/>
  <c r="AU531" i="28"/>
  <c r="BB531" i="28" s="1"/>
  <c r="AT531" i="28"/>
  <c r="BA531" i="28" s="1"/>
  <c r="AY530" i="28"/>
  <c r="BF530" i="28" s="1"/>
  <c r="AX530" i="28"/>
  <c r="BE530" i="28" s="1"/>
  <c r="AW530" i="28"/>
  <c r="BD530" i="28" s="1"/>
  <c r="AV530" i="28"/>
  <c r="BC530" i="28" s="1"/>
  <c r="AU530" i="28"/>
  <c r="BB530" i="28" s="1"/>
  <c r="AT530" i="28"/>
  <c r="BA530" i="28" s="1"/>
  <c r="AY529" i="28"/>
  <c r="BF529" i="28" s="1"/>
  <c r="AX529" i="28"/>
  <c r="BE529" i="28" s="1"/>
  <c r="AW529" i="28"/>
  <c r="BD529" i="28" s="1"/>
  <c r="AV529" i="28"/>
  <c r="BC529" i="28" s="1"/>
  <c r="AU529" i="28"/>
  <c r="BB529" i="28" s="1"/>
  <c r="AT529" i="28"/>
  <c r="BA529" i="28" s="1"/>
  <c r="AX528" i="28"/>
  <c r="BE528" i="28" s="1"/>
  <c r="AW528" i="28"/>
  <c r="BD528" i="28" s="1"/>
  <c r="AV528" i="28"/>
  <c r="BC528" i="28" s="1"/>
  <c r="AU528" i="28"/>
  <c r="BB528" i="28" s="1"/>
  <c r="AT528" i="28"/>
  <c r="BA528" i="28" s="1"/>
  <c r="AX527" i="28"/>
  <c r="BE527" i="28" s="1"/>
  <c r="AW527" i="28"/>
  <c r="BD527" i="28" s="1"/>
  <c r="AV527" i="28"/>
  <c r="BC527" i="28" s="1"/>
  <c r="AU527" i="28"/>
  <c r="BB527" i="28" s="1"/>
  <c r="AT527" i="28"/>
  <c r="BA527" i="28" s="1"/>
  <c r="AX526" i="28"/>
  <c r="BE526" i="28" s="1"/>
  <c r="AW526" i="28"/>
  <c r="BD526" i="28" s="1"/>
  <c r="AV526" i="28"/>
  <c r="BC526" i="28" s="1"/>
  <c r="AU526" i="28"/>
  <c r="BB526" i="28" s="1"/>
  <c r="AT526" i="28"/>
  <c r="BA526" i="28" s="1"/>
  <c r="AY525" i="28"/>
  <c r="BF525" i="28" s="1"/>
  <c r="AX525" i="28"/>
  <c r="BE525" i="28" s="1"/>
  <c r="AW525" i="28"/>
  <c r="BD525" i="28" s="1"/>
  <c r="AV525" i="28"/>
  <c r="BC525" i="28" s="1"/>
  <c r="AU525" i="28"/>
  <c r="BB525" i="28" s="1"/>
  <c r="AT525" i="28"/>
  <c r="BA525" i="28" s="1"/>
  <c r="AY524" i="28"/>
  <c r="BF524" i="28" s="1"/>
  <c r="AX524" i="28"/>
  <c r="BE524" i="28" s="1"/>
  <c r="AW524" i="28"/>
  <c r="BD524" i="28" s="1"/>
  <c r="AV524" i="28"/>
  <c r="BC524" i="28" s="1"/>
  <c r="AU524" i="28"/>
  <c r="BB524" i="28" s="1"/>
  <c r="AT524" i="28"/>
  <c r="BA524" i="28" s="1"/>
  <c r="AY523" i="28"/>
  <c r="BF523" i="28" s="1"/>
  <c r="AX523" i="28"/>
  <c r="BE523" i="28" s="1"/>
  <c r="AW523" i="28"/>
  <c r="BD523" i="28" s="1"/>
  <c r="AV523" i="28"/>
  <c r="BC523" i="28" s="1"/>
  <c r="AU523" i="28"/>
  <c r="BB523" i="28" s="1"/>
  <c r="AT523" i="28"/>
  <c r="BA523" i="28" s="1"/>
  <c r="AY522" i="28"/>
  <c r="BF522" i="28" s="1"/>
  <c r="AX522" i="28"/>
  <c r="BE522" i="28" s="1"/>
  <c r="AW522" i="28"/>
  <c r="BD522" i="28" s="1"/>
  <c r="AV522" i="28"/>
  <c r="BC522" i="28" s="1"/>
  <c r="AU522" i="28"/>
  <c r="BB522" i="28" s="1"/>
  <c r="AT522" i="28"/>
  <c r="BA522" i="28" s="1"/>
  <c r="AY521" i="28"/>
  <c r="BF521" i="28" s="1"/>
  <c r="AX521" i="28"/>
  <c r="BE521" i="28" s="1"/>
  <c r="AW521" i="28"/>
  <c r="BD521" i="28" s="1"/>
  <c r="AV521" i="28"/>
  <c r="BC521" i="28" s="1"/>
  <c r="AU521" i="28"/>
  <c r="BB521" i="28" s="1"/>
  <c r="AT521" i="28"/>
  <c r="BA521" i="28" s="1"/>
  <c r="AX520" i="28"/>
  <c r="BE520" i="28" s="1"/>
  <c r="AW520" i="28"/>
  <c r="BD520" i="28" s="1"/>
  <c r="AV520" i="28"/>
  <c r="BC520" i="28" s="1"/>
  <c r="AU520" i="28"/>
  <c r="BB520" i="28" s="1"/>
  <c r="AT520" i="28"/>
  <c r="BA520" i="28" s="1"/>
  <c r="AY519" i="28"/>
  <c r="BF519" i="28" s="1"/>
  <c r="AX519" i="28"/>
  <c r="BE519" i="28" s="1"/>
  <c r="AW519" i="28"/>
  <c r="BD519" i="28" s="1"/>
  <c r="AV519" i="28"/>
  <c r="BC519" i="28" s="1"/>
  <c r="AU519" i="28"/>
  <c r="BB519" i="28" s="1"/>
  <c r="AT519" i="28"/>
  <c r="BA519" i="28" s="1"/>
  <c r="AY518" i="28"/>
  <c r="BF518" i="28" s="1"/>
  <c r="AX518" i="28"/>
  <c r="BE518" i="28" s="1"/>
  <c r="AW518" i="28"/>
  <c r="BD518" i="28" s="1"/>
  <c r="AV518" i="28"/>
  <c r="BC518" i="28" s="1"/>
  <c r="AU518" i="28"/>
  <c r="BB518" i="28" s="1"/>
  <c r="AT518" i="28"/>
  <c r="BA518" i="28" s="1"/>
  <c r="AY517" i="28"/>
  <c r="BF517" i="28" s="1"/>
  <c r="AX517" i="28"/>
  <c r="BE517" i="28" s="1"/>
  <c r="AW517" i="28"/>
  <c r="BD517" i="28" s="1"/>
  <c r="AV517" i="28"/>
  <c r="BC517" i="28" s="1"/>
  <c r="AU517" i="28"/>
  <c r="BB517" i="28" s="1"/>
  <c r="AT517" i="28"/>
  <c r="BA517" i="28" s="1"/>
  <c r="AY516" i="28"/>
  <c r="BF516" i="28" s="1"/>
  <c r="AX516" i="28"/>
  <c r="BE516" i="28" s="1"/>
  <c r="AW516" i="28"/>
  <c r="BD516" i="28" s="1"/>
  <c r="AV516" i="28"/>
  <c r="BC516" i="28" s="1"/>
  <c r="AU516" i="28"/>
  <c r="BB516" i="28" s="1"/>
  <c r="AT516" i="28"/>
  <c r="BA516" i="28" s="1"/>
  <c r="AY515" i="28"/>
  <c r="BF515" i="28" s="1"/>
  <c r="AX515" i="28"/>
  <c r="BE515" i="28" s="1"/>
  <c r="AW515" i="28"/>
  <c r="BD515" i="28" s="1"/>
  <c r="AV515" i="28"/>
  <c r="BC515" i="28" s="1"/>
  <c r="AU515" i="28"/>
  <c r="BB515" i="28" s="1"/>
  <c r="AT515" i="28"/>
  <c r="BA515" i="28" s="1"/>
  <c r="AY514" i="28"/>
  <c r="BF514" i="28" s="1"/>
  <c r="AX514" i="28"/>
  <c r="BE514" i="28" s="1"/>
  <c r="AW514" i="28"/>
  <c r="BD514" i="28" s="1"/>
  <c r="AV514" i="28"/>
  <c r="BC514" i="28" s="1"/>
  <c r="AU514" i="28"/>
  <c r="BB514" i="28" s="1"/>
  <c r="AT514" i="28"/>
  <c r="BA514" i="28" s="1"/>
  <c r="AY513" i="28"/>
  <c r="BF513" i="28" s="1"/>
  <c r="AX513" i="28"/>
  <c r="BE513" i="28" s="1"/>
  <c r="AW513" i="28"/>
  <c r="BD513" i="28" s="1"/>
  <c r="AV513" i="28"/>
  <c r="BC513" i="28" s="1"/>
  <c r="AU513" i="28"/>
  <c r="BB513" i="28" s="1"/>
  <c r="AT513" i="28"/>
  <c r="BA513" i="28" s="1"/>
  <c r="AX512" i="28"/>
  <c r="BE512" i="28" s="1"/>
  <c r="AW512" i="28"/>
  <c r="BD512" i="28" s="1"/>
  <c r="AV512" i="28"/>
  <c r="BC512" i="28" s="1"/>
  <c r="AU512" i="28"/>
  <c r="BB512" i="28" s="1"/>
  <c r="AT512" i="28"/>
  <c r="BA512" i="28" s="1"/>
  <c r="AX511" i="28"/>
  <c r="BE511" i="28" s="1"/>
  <c r="AW511" i="28"/>
  <c r="BD511" i="28" s="1"/>
  <c r="AV511" i="28"/>
  <c r="BC511" i="28" s="1"/>
  <c r="AU511" i="28"/>
  <c r="BB511" i="28" s="1"/>
  <c r="AT511" i="28"/>
  <c r="BA511" i="28" s="1"/>
  <c r="AX510" i="28"/>
  <c r="BE510" i="28" s="1"/>
  <c r="AW510" i="28"/>
  <c r="BD510" i="28" s="1"/>
  <c r="AV510" i="28"/>
  <c r="BC510" i="28" s="1"/>
  <c r="AU510" i="28"/>
  <c r="BB510" i="28" s="1"/>
  <c r="AT510" i="28"/>
  <c r="BA510" i="28" s="1"/>
  <c r="AY509" i="28"/>
  <c r="BF509" i="28" s="1"/>
  <c r="AX509" i="28"/>
  <c r="BE509" i="28" s="1"/>
  <c r="AW509" i="28"/>
  <c r="BD509" i="28" s="1"/>
  <c r="AV509" i="28"/>
  <c r="BC509" i="28" s="1"/>
  <c r="AU509" i="28"/>
  <c r="BB509" i="28" s="1"/>
  <c r="AT509" i="28"/>
  <c r="BA509" i="28" s="1"/>
  <c r="AY508" i="28"/>
  <c r="BF508" i="28" s="1"/>
  <c r="AX508" i="28"/>
  <c r="BE508" i="28" s="1"/>
  <c r="AW508" i="28"/>
  <c r="BD508" i="28" s="1"/>
  <c r="AV508" i="28"/>
  <c r="BC508" i="28" s="1"/>
  <c r="AU508" i="28"/>
  <c r="BB508" i="28" s="1"/>
  <c r="AT508" i="28"/>
  <c r="BA508" i="28" s="1"/>
  <c r="AY507" i="28"/>
  <c r="BF507" i="28" s="1"/>
  <c r="AX507" i="28"/>
  <c r="BE507" i="28" s="1"/>
  <c r="AW507" i="28"/>
  <c r="BD507" i="28" s="1"/>
  <c r="AV507" i="28"/>
  <c r="BC507" i="28" s="1"/>
  <c r="AU507" i="28"/>
  <c r="BB507" i="28" s="1"/>
  <c r="AT507" i="28"/>
  <c r="BA507" i="28" s="1"/>
  <c r="AY506" i="28"/>
  <c r="BF506" i="28" s="1"/>
  <c r="AX506" i="28"/>
  <c r="BE506" i="28" s="1"/>
  <c r="AW506" i="28"/>
  <c r="BD506" i="28" s="1"/>
  <c r="AV506" i="28"/>
  <c r="BC506" i="28" s="1"/>
  <c r="AU506" i="28"/>
  <c r="BB506" i="28" s="1"/>
  <c r="AT506" i="28"/>
  <c r="BA506" i="28" s="1"/>
  <c r="AY505" i="28"/>
  <c r="BF505" i="28" s="1"/>
  <c r="AX505" i="28"/>
  <c r="BE505" i="28" s="1"/>
  <c r="AW505" i="28"/>
  <c r="BD505" i="28" s="1"/>
  <c r="AV505" i="28"/>
  <c r="BC505" i="28" s="1"/>
  <c r="AU505" i="28"/>
  <c r="BB505" i="28" s="1"/>
  <c r="AT505" i="28"/>
  <c r="BA505" i="28" s="1"/>
  <c r="AX504" i="28"/>
  <c r="BE504" i="28" s="1"/>
  <c r="AW504" i="28"/>
  <c r="BD504" i="28" s="1"/>
  <c r="AV504" i="28"/>
  <c r="BC504" i="28" s="1"/>
  <c r="AU504" i="28"/>
  <c r="BB504" i="28" s="1"/>
  <c r="AT504" i="28"/>
  <c r="BA504" i="28" s="1"/>
  <c r="AX503" i="28"/>
  <c r="BE503" i="28" s="1"/>
  <c r="AW503" i="28"/>
  <c r="BD503" i="28" s="1"/>
  <c r="AV503" i="28"/>
  <c r="BC503" i="28" s="1"/>
  <c r="AU503" i="28"/>
  <c r="BB503" i="28" s="1"/>
  <c r="AT503" i="28"/>
  <c r="BA503" i="28" s="1"/>
  <c r="AY502" i="28"/>
  <c r="BF502" i="28" s="1"/>
  <c r="AX502" i="28"/>
  <c r="BE502" i="28" s="1"/>
  <c r="AW502" i="28"/>
  <c r="BD502" i="28" s="1"/>
  <c r="AV502" i="28"/>
  <c r="BC502" i="28" s="1"/>
  <c r="AU502" i="28"/>
  <c r="BB502" i="28" s="1"/>
  <c r="AT502" i="28"/>
  <c r="BA502" i="28" s="1"/>
  <c r="AY501" i="28"/>
  <c r="BF501" i="28" s="1"/>
  <c r="AX501" i="28"/>
  <c r="BE501" i="28" s="1"/>
  <c r="AW501" i="28"/>
  <c r="BD501" i="28" s="1"/>
  <c r="AV501" i="28"/>
  <c r="BC501" i="28" s="1"/>
  <c r="AU501" i="28"/>
  <c r="BB501" i="28" s="1"/>
  <c r="AT501" i="28"/>
  <c r="BA501" i="28" s="1"/>
  <c r="AY500" i="28"/>
  <c r="BF500" i="28" s="1"/>
  <c r="AX500" i="28"/>
  <c r="BE500" i="28" s="1"/>
  <c r="AW500" i="28"/>
  <c r="BD500" i="28" s="1"/>
  <c r="AV500" i="28"/>
  <c r="BC500" i="28" s="1"/>
  <c r="AU500" i="28"/>
  <c r="BB500" i="28" s="1"/>
  <c r="AT500" i="28"/>
  <c r="BA500" i="28" s="1"/>
  <c r="AY499" i="28"/>
  <c r="BF499" i="28" s="1"/>
  <c r="AX499" i="28"/>
  <c r="BE499" i="28" s="1"/>
  <c r="AW499" i="28"/>
  <c r="BD499" i="28" s="1"/>
  <c r="AV499" i="28"/>
  <c r="BC499" i="28" s="1"/>
  <c r="AU499" i="28"/>
  <c r="BB499" i="28" s="1"/>
  <c r="AT499" i="28"/>
  <c r="BA499" i="28" s="1"/>
  <c r="AY498" i="28"/>
  <c r="BF498" i="28" s="1"/>
  <c r="AX498" i="28"/>
  <c r="BE498" i="28" s="1"/>
  <c r="AW498" i="28"/>
  <c r="BD498" i="28" s="1"/>
  <c r="AV498" i="28"/>
  <c r="BC498" i="28" s="1"/>
  <c r="AU498" i="28"/>
  <c r="BB498" i="28" s="1"/>
  <c r="AT498" i="28"/>
  <c r="BA498" i="28" s="1"/>
  <c r="AY497" i="28"/>
  <c r="BF497" i="28" s="1"/>
  <c r="AX497" i="28"/>
  <c r="BE497" i="28" s="1"/>
  <c r="AW497" i="28"/>
  <c r="BD497" i="28" s="1"/>
  <c r="AV497" i="28"/>
  <c r="BC497" i="28" s="1"/>
  <c r="AU497" i="28"/>
  <c r="BB497" i="28" s="1"/>
  <c r="AT497" i="28"/>
  <c r="BA497" i="28" s="1"/>
  <c r="AX496" i="28"/>
  <c r="BE496" i="28" s="1"/>
  <c r="AW496" i="28"/>
  <c r="BD496" i="28" s="1"/>
  <c r="AV496" i="28"/>
  <c r="BC496" i="28" s="1"/>
  <c r="AU496" i="28"/>
  <c r="BB496" i="28" s="1"/>
  <c r="AT496" i="28"/>
  <c r="BA496" i="28" s="1"/>
  <c r="AX495" i="28"/>
  <c r="BE495" i="28" s="1"/>
  <c r="AW495" i="28"/>
  <c r="BD495" i="28" s="1"/>
  <c r="AV495" i="28"/>
  <c r="BC495" i="28" s="1"/>
  <c r="AU495" i="28"/>
  <c r="BB495" i="28" s="1"/>
  <c r="AT495" i="28"/>
  <c r="BA495" i="28" s="1"/>
  <c r="BF494" i="28"/>
  <c r="AX494" i="28"/>
  <c r="BE494" i="28" s="1"/>
  <c r="AW494" i="28"/>
  <c r="BD494" i="28" s="1"/>
  <c r="AV494" i="28"/>
  <c r="BC494" i="28" s="1"/>
  <c r="AU494" i="28"/>
  <c r="BB494" i="28" s="1"/>
  <c r="AT494" i="28"/>
  <c r="BA494" i="28" s="1"/>
  <c r="AY493" i="28"/>
  <c r="BF493" i="28" s="1"/>
  <c r="AX493" i="28"/>
  <c r="BE493" i="28" s="1"/>
  <c r="AW493" i="28"/>
  <c r="BD493" i="28" s="1"/>
  <c r="AV493" i="28"/>
  <c r="BC493" i="28" s="1"/>
  <c r="AU493" i="28"/>
  <c r="BB493" i="28" s="1"/>
  <c r="AT493" i="28"/>
  <c r="BA493" i="28" s="1"/>
  <c r="AY492" i="28"/>
  <c r="BF492" i="28" s="1"/>
  <c r="AX492" i="28"/>
  <c r="BE492" i="28" s="1"/>
  <c r="AW492" i="28"/>
  <c r="BD492" i="28" s="1"/>
  <c r="AV492" i="28"/>
  <c r="BC492" i="28" s="1"/>
  <c r="AU492" i="28"/>
  <c r="BB492" i="28" s="1"/>
  <c r="AT492" i="28"/>
  <c r="BA492" i="28" s="1"/>
  <c r="AY491" i="28"/>
  <c r="BF491" i="28" s="1"/>
  <c r="AX491" i="28"/>
  <c r="BE491" i="28" s="1"/>
  <c r="AW491" i="28"/>
  <c r="BD491" i="28" s="1"/>
  <c r="AV491" i="28"/>
  <c r="BC491" i="28" s="1"/>
  <c r="AU491" i="28"/>
  <c r="BB491" i="28" s="1"/>
  <c r="AT491" i="28"/>
  <c r="BA491" i="28" s="1"/>
  <c r="AY490" i="28"/>
  <c r="BF490" i="28" s="1"/>
  <c r="AX490" i="28"/>
  <c r="BE490" i="28" s="1"/>
  <c r="AW490" i="28"/>
  <c r="BD490" i="28" s="1"/>
  <c r="AV490" i="28"/>
  <c r="BC490" i="28" s="1"/>
  <c r="AU490" i="28"/>
  <c r="BB490" i="28" s="1"/>
  <c r="AT490" i="28"/>
  <c r="BA490" i="28" s="1"/>
  <c r="AY489" i="28"/>
  <c r="BF489" i="28" s="1"/>
  <c r="AX489" i="28"/>
  <c r="BE489" i="28" s="1"/>
  <c r="AW489" i="28"/>
  <c r="BD489" i="28" s="1"/>
  <c r="AV489" i="28"/>
  <c r="BC489" i="28" s="1"/>
  <c r="AU489" i="28"/>
  <c r="BB489" i="28" s="1"/>
  <c r="AT489" i="28"/>
  <c r="BA489" i="28" s="1"/>
  <c r="AX488" i="28"/>
  <c r="BE488" i="28" s="1"/>
  <c r="AW488" i="28"/>
  <c r="BD488" i="28" s="1"/>
  <c r="AV488" i="28"/>
  <c r="BC488" i="28" s="1"/>
  <c r="AU488" i="28"/>
  <c r="BB488" i="28" s="1"/>
  <c r="AT488" i="28"/>
  <c r="BA488" i="28" s="1"/>
  <c r="AX487" i="28"/>
  <c r="BE487" i="28" s="1"/>
  <c r="AW487" i="28"/>
  <c r="BD487" i="28" s="1"/>
  <c r="AV487" i="28"/>
  <c r="BC487" i="28" s="1"/>
  <c r="AU487" i="28"/>
  <c r="BB487" i="28" s="1"/>
  <c r="AT487" i="28"/>
  <c r="BA487" i="28" s="1"/>
  <c r="BF486" i="28"/>
  <c r="AX486" i="28"/>
  <c r="BE486" i="28" s="1"/>
  <c r="AW486" i="28"/>
  <c r="BD486" i="28" s="1"/>
  <c r="AV486" i="28"/>
  <c r="BC486" i="28" s="1"/>
  <c r="AU486" i="28"/>
  <c r="BB486" i="28" s="1"/>
  <c r="AT486" i="28"/>
  <c r="BA486" i="28" s="1"/>
  <c r="AY485" i="28"/>
  <c r="BF485" i="28" s="1"/>
  <c r="AX485" i="28"/>
  <c r="BE485" i="28" s="1"/>
  <c r="AW485" i="28"/>
  <c r="BD485" i="28" s="1"/>
  <c r="AV485" i="28"/>
  <c r="BC485" i="28" s="1"/>
  <c r="AU485" i="28"/>
  <c r="BB485" i="28" s="1"/>
  <c r="AT485" i="28"/>
  <c r="BA485" i="28" s="1"/>
  <c r="AY484" i="28"/>
  <c r="BF484" i="28" s="1"/>
  <c r="AX484" i="28"/>
  <c r="BE484" i="28" s="1"/>
  <c r="AW484" i="28"/>
  <c r="BD484" i="28" s="1"/>
  <c r="AV484" i="28"/>
  <c r="BC484" i="28" s="1"/>
  <c r="AU484" i="28"/>
  <c r="BB484" i="28" s="1"/>
  <c r="AT484" i="28"/>
  <c r="BA484" i="28" s="1"/>
  <c r="AY483" i="28"/>
  <c r="BF483" i="28" s="1"/>
  <c r="AX483" i="28"/>
  <c r="BE483" i="28" s="1"/>
  <c r="AW483" i="28"/>
  <c r="BD483" i="28" s="1"/>
  <c r="AV483" i="28"/>
  <c r="BC483" i="28" s="1"/>
  <c r="AU483" i="28"/>
  <c r="BB483" i="28" s="1"/>
  <c r="AT483" i="28"/>
  <c r="BA483" i="28" s="1"/>
  <c r="AY482" i="28"/>
  <c r="BF482" i="28" s="1"/>
  <c r="AX482" i="28"/>
  <c r="BE482" i="28" s="1"/>
  <c r="AW482" i="28"/>
  <c r="BD482" i="28" s="1"/>
  <c r="AV482" i="28"/>
  <c r="BC482" i="28" s="1"/>
  <c r="AU482" i="28"/>
  <c r="BB482" i="28" s="1"/>
  <c r="AT482" i="28"/>
  <c r="BA482" i="28" s="1"/>
  <c r="AY481" i="28"/>
  <c r="BF481" i="28" s="1"/>
  <c r="AX481" i="28"/>
  <c r="BE481" i="28" s="1"/>
  <c r="AW481" i="28"/>
  <c r="BD481" i="28" s="1"/>
  <c r="AV481" i="28"/>
  <c r="BC481" i="28" s="1"/>
  <c r="AU481" i="28"/>
  <c r="BB481" i="28" s="1"/>
  <c r="AT481" i="28"/>
  <c r="BA481" i="28" s="1"/>
  <c r="AX480" i="28"/>
  <c r="BE480" i="28" s="1"/>
  <c r="AW480" i="28"/>
  <c r="BD480" i="28" s="1"/>
  <c r="AV480" i="28"/>
  <c r="BC480" i="28" s="1"/>
  <c r="AU480" i="28"/>
  <c r="BB480" i="28" s="1"/>
  <c r="AT480" i="28"/>
  <c r="BA480" i="28" s="1"/>
  <c r="AX479" i="28"/>
  <c r="BE479" i="28" s="1"/>
  <c r="AW479" i="28"/>
  <c r="BD479" i="28" s="1"/>
  <c r="AV479" i="28"/>
  <c r="BC479" i="28" s="1"/>
  <c r="AU479" i="28"/>
  <c r="BB479" i="28" s="1"/>
  <c r="AT479" i="28"/>
  <c r="BA479" i="28" s="1"/>
  <c r="AY478" i="28"/>
  <c r="BF478" i="28" s="1"/>
  <c r="AX478" i="28"/>
  <c r="BE478" i="28" s="1"/>
  <c r="AW478" i="28"/>
  <c r="BD478" i="28" s="1"/>
  <c r="AV478" i="28"/>
  <c r="BC478" i="28" s="1"/>
  <c r="AU478" i="28"/>
  <c r="BB478" i="28" s="1"/>
  <c r="AT478" i="28"/>
  <c r="BA478" i="28" s="1"/>
  <c r="AY477" i="28"/>
  <c r="BF477" i="28" s="1"/>
  <c r="AX477" i="28"/>
  <c r="BE477" i="28" s="1"/>
  <c r="AW477" i="28"/>
  <c r="BD477" i="28" s="1"/>
  <c r="AV477" i="28"/>
  <c r="BC477" i="28" s="1"/>
  <c r="AU477" i="28"/>
  <c r="BB477" i="28" s="1"/>
  <c r="AT477" i="28"/>
  <c r="BA477" i="28" s="1"/>
  <c r="AY476" i="28"/>
  <c r="BF476" i="28" s="1"/>
  <c r="AX476" i="28"/>
  <c r="BE476" i="28" s="1"/>
  <c r="AW476" i="28"/>
  <c r="BD476" i="28" s="1"/>
  <c r="AV476" i="28"/>
  <c r="BC476" i="28" s="1"/>
  <c r="AU476" i="28"/>
  <c r="BB476" i="28" s="1"/>
  <c r="AT476" i="28"/>
  <c r="BA476" i="28" s="1"/>
  <c r="AY475" i="28"/>
  <c r="BF475" i="28" s="1"/>
  <c r="AX475" i="28"/>
  <c r="BE475" i="28" s="1"/>
  <c r="AW475" i="28"/>
  <c r="BD475" i="28" s="1"/>
  <c r="AV475" i="28"/>
  <c r="BC475" i="28" s="1"/>
  <c r="AU475" i="28"/>
  <c r="BB475" i="28" s="1"/>
  <c r="AT475" i="28"/>
  <c r="BA475" i="28" s="1"/>
  <c r="AY474" i="28"/>
  <c r="BF474" i="28" s="1"/>
  <c r="AX474" i="28"/>
  <c r="BE474" i="28" s="1"/>
  <c r="AW474" i="28"/>
  <c r="BD474" i="28" s="1"/>
  <c r="AV474" i="28"/>
  <c r="BC474" i="28" s="1"/>
  <c r="AU474" i="28"/>
  <c r="BB474" i="28" s="1"/>
  <c r="AT474" i="28"/>
  <c r="BA474" i="28" s="1"/>
  <c r="AY473" i="28"/>
  <c r="BF473" i="28" s="1"/>
  <c r="AX473" i="28"/>
  <c r="BE473" i="28" s="1"/>
  <c r="AW473" i="28"/>
  <c r="BD473" i="28" s="1"/>
  <c r="AV473" i="28"/>
  <c r="BC473" i="28" s="1"/>
  <c r="AU473" i="28"/>
  <c r="BB473" i="28" s="1"/>
  <c r="AT473" i="28"/>
  <c r="BA473" i="28" s="1"/>
  <c r="AX472" i="28"/>
  <c r="BE472" i="28" s="1"/>
  <c r="AW472" i="28"/>
  <c r="BD472" i="28" s="1"/>
  <c r="AV472" i="28"/>
  <c r="BC472" i="28" s="1"/>
  <c r="AU472" i="28"/>
  <c r="BB472" i="28" s="1"/>
  <c r="AT472" i="28"/>
  <c r="BA472" i="28" s="1"/>
  <c r="AX471" i="28"/>
  <c r="BE471" i="28" s="1"/>
  <c r="AW471" i="28"/>
  <c r="BD471" i="28" s="1"/>
  <c r="AV471" i="28"/>
  <c r="BC471" i="28" s="1"/>
  <c r="AU471" i="28"/>
  <c r="BB471" i="28" s="1"/>
  <c r="AT471" i="28"/>
  <c r="BA471" i="28" s="1"/>
  <c r="AY470" i="28"/>
  <c r="BF470" i="28" s="1"/>
  <c r="AX470" i="28"/>
  <c r="BE470" i="28" s="1"/>
  <c r="AW470" i="28"/>
  <c r="BD470" i="28" s="1"/>
  <c r="AV470" i="28"/>
  <c r="BC470" i="28" s="1"/>
  <c r="AU470" i="28"/>
  <c r="BB470" i="28" s="1"/>
  <c r="AT470" i="28"/>
  <c r="BA470" i="28" s="1"/>
  <c r="AY469" i="28"/>
  <c r="BF469" i="28" s="1"/>
  <c r="AX469" i="28"/>
  <c r="BE469" i="28" s="1"/>
  <c r="AW469" i="28"/>
  <c r="BD469" i="28" s="1"/>
  <c r="AV469" i="28"/>
  <c r="BC469" i="28" s="1"/>
  <c r="AU469" i="28"/>
  <c r="BB469" i="28" s="1"/>
  <c r="AT469" i="28"/>
  <c r="BA469" i="28" s="1"/>
  <c r="AY468" i="28"/>
  <c r="BF468" i="28" s="1"/>
  <c r="AX468" i="28"/>
  <c r="BE468" i="28" s="1"/>
  <c r="AW468" i="28"/>
  <c r="BD468" i="28" s="1"/>
  <c r="AV468" i="28"/>
  <c r="BC468" i="28" s="1"/>
  <c r="AU468" i="28"/>
  <c r="BB468" i="28" s="1"/>
  <c r="AT468" i="28"/>
  <c r="BA468" i="28" s="1"/>
  <c r="AY467" i="28"/>
  <c r="BF467" i="28" s="1"/>
  <c r="AX467" i="28"/>
  <c r="BE467" i="28" s="1"/>
  <c r="AW467" i="28"/>
  <c r="BD467" i="28" s="1"/>
  <c r="AV467" i="28"/>
  <c r="BC467" i="28" s="1"/>
  <c r="AU467" i="28"/>
  <c r="BB467" i="28" s="1"/>
  <c r="AT467" i="28"/>
  <c r="BA467" i="28" s="1"/>
  <c r="AY466" i="28"/>
  <c r="BF466" i="28" s="1"/>
  <c r="AX466" i="28"/>
  <c r="BE466" i="28" s="1"/>
  <c r="AW466" i="28"/>
  <c r="BD466" i="28" s="1"/>
  <c r="AV466" i="28"/>
  <c r="BC466" i="28" s="1"/>
  <c r="AU466" i="28"/>
  <c r="BB466" i="28" s="1"/>
  <c r="AT466" i="28"/>
  <c r="BA466" i="28" s="1"/>
  <c r="AY465" i="28"/>
  <c r="BF465" i="28" s="1"/>
  <c r="AX465" i="28"/>
  <c r="BE465" i="28" s="1"/>
  <c r="AW465" i="28"/>
  <c r="BD465" i="28" s="1"/>
  <c r="AV465" i="28"/>
  <c r="BC465" i="28" s="1"/>
  <c r="AU465" i="28"/>
  <c r="BB465" i="28" s="1"/>
  <c r="AT465" i="28"/>
  <c r="BA465" i="28" s="1"/>
  <c r="AX464" i="28"/>
  <c r="BE464" i="28" s="1"/>
  <c r="AW464" i="28"/>
  <c r="BD464" i="28" s="1"/>
  <c r="AV464" i="28"/>
  <c r="BC464" i="28" s="1"/>
  <c r="AU464" i="28"/>
  <c r="BB464" i="28" s="1"/>
  <c r="AT464" i="28"/>
  <c r="BA464" i="28" s="1"/>
  <c r="AX463" i="28"/>
  <c r="BE463" i="28" s="1"/>
  <c r="AW463" i="28"/>
  <c r="BD463" i="28" s="1"/>
  <c r="AV463" i="28"/>
  <c r="BC463" i="28" s="1"/>
  <c r="AU463" i="28"/>
  <c r="BB463" i="28" s="1"/>
  <c r="AT463" i="28"/>
  <c r="BA463" i="28" s="1"/>
  <c r="BF462" i="28"/>
  <c r="AX462" i="28"/>
  <c r="BE462" i="28" s="1"/>
  <c r="AW462" i="28"/>
  <c r="BD462" i="28" s="1"/>
  <c r="AV462" i="28"/>
  <c r="BC462" i="28" s="1"/>
  <c r="AU462" i="28"/>
  <c r="BB462" i="28" s="1"/>
  <c r="AT462" i="28"/>
  <c r="BA462" i="28" s="1"/>
  <c r="AY461" i="28"/>
  <c r="BF461" i="28" s="1"/>
  <c r="AX461" i="28"/>
  <c r="BE461" i="28" s="1"/>
  <c r="AW461" i="28"/>
  <c r="BD461" i="28" s="1"/>
  <c r="AV461" i="28"/>
  <c r="BC461" i="28" s="1"/>
  <c r="AU461" i="28"/>
  <c r="BB461" i="28" s="1"/>
  <c r="AT461" i="28"/>
  <c r="BA461" i="28" s="1"/>
  <c r="AY460" i="28"/>
  <c r="BF460" i="28" s="1"/>
  <c r="AX460" i="28"/>
  <c r="BE460" i="28" s="1"/>
  <c r="AW460" i="28"/>
  <c r="BD460" i="28" s="1"/>
  <c r="AV460" i="28"/>
  <c r="BC460" i="28" s="1"/>
  <c r="AU460" i="28"/>
  <c r="BB460" i="28" s="1"/>
  <c r="AT460" i="28"/>
  <c r="BA460" i="28" s="1"/>
  <c r="AY459" i="28"/>
  <c r="BF459" i="28" s="1"/>
  <c r="AX459" i="28"/>
  <c r="BE459" i="28" s="1"/>
  <c r="AW459" i="28"/>
  <c r="BD459" i="28" s="1"/>
  <c r="AV459" i="28"/>
  <c r="BC459" i="28" s="1"/>
  <c r="AU459" i="28"/>
  <c r="BB459" i="28" s="1"/>
  <c r="AT459" i="28"/>
  <c r="BA459" i="28" s="1"/>
  <c r="AY458" i="28"/>
  <c r="BF458" i="28" s="1"/>
  <c r="AX458" i="28"/>
  <c r="BE458" i="28" s="1"/>
  <c r="AW458" i="28"/>
  <c r="BD458" i="28" s="1"/>
  <c r="AV458" i="28"/>
  <c r="BC458" i="28" s="1"/>
  <c r="AU458" i="28"/>
  <c r="BB458" i="28" s="1"/>
  <c r="AT458" i="28"/>
  <c r="BA458" i="28" s="1"/>
  <c r="AY457" i="28"/>
  <c r="BF457" i="28" s="1"/>
  <c r="AX457" i="28"/>
  <c r="BE457" i="28" s="1"/>
  <c r="AW457" i="28"/>
  <c r="BD457" i="28" s="1"/>
  <c r="AV457" i="28"/>
  <c r="BC457" i="28" s="1"/>
  <c r="AU457" i="28"/>
  <c r="BB457" i="28" s="1"/>
  <c r="AT457" i="28"/>
  <c r="BA457" i="28" s="1"/>
  <c r="AX456" i="28"/>
  <c r="BE456" i="28" s="1"/>
  <c r="AW456" i="28"/>
  <c r="BD456" i="28" s="1"/>
  <c r="AV456" i="28"/>
  <c r="BC456" i="28" s="1"/>
  <c r="AU456" i="28"/>
  <c r="BB456" i="28" s="1"/>
  <c r="AT456" i="28"/>
  <c r="BA456" i="28" s="1"/>
  <c r="AX455" i="28"/>
  <c r="BE455" i="28" s="1"/>
  <c r="AW455" i="28"/>
  <c r="BD455" i="28" s="1"/>
  <c r="AV455" i="28"/>
  <c r="BC455" i="28" s="1"/>
  <c r="AU455" i="28"/>
  <c r="BB455" i="28" s="1"/>
  <c r="AT455" i="28"/>
  <c r="BA455" i="28" s="1"/>
  <c r="AX454" i="28"/>
  <c r="BE454" i="28" s="1"/>
  <c r="AW454" i="28"/>
  <c r="BD454" i="28" s="1"/>
  <c r="AV454" i="28"/>
  <c r="BC454" i="28" s="1"/>
  <c r="AU454" i="28"/>
  <c r="BB454" i="28" s="1"/>
  <c r="AT454" i="28"/>
  <c r="BA454" i="28" s="1"/>
  <c r="AY453" i="28"/>
  <c r="BF453" i="28" s="1"/>
  <c r="AX453" i="28"/>
  <c r="BE453" i="28" s="1"/>
  <c r="AW453" i="28"/>
  <c r="BD453" i="28" s="1"/>
  <c r="AV453" i="28"/>
  <c r="BC453" i="28" s="1"/>
  <c r="AU453" i="28"/>
  <c r="BB453" i="28" s="1"/>
  <c r="AT453" i="28"/>
  <c r="BA453" i="28" s="1"/>
  <c r="AY452" i="28"/>
  <c r="BF452" i="28" s="1"/>
  <c r="AX452" i="28"/>
  <c r="BE452" i="28" s="1"/>
  <c r="AW452" i="28"/>
  <c r="BD452" i="28" s="1"/>
  <c r="AV452" i="28"/>
  <c r="BC452" i="28" s="1"/>
  <c r="AU452" i="28"/>
  <c r="BB452" i="28" s="1"/>
  <c r="AT452" i="28"/>
  <c r="BA452" i="28" s="1"/>
  <c r="AY451" i="28"/>
  <c r="BF451" i="28" s="1"/>
  <c r="AX451" i="28"/>
  <c r="BE451" i="28" s="1"/>
  <c r="AW451" i="28"/>
  <c r="BD451" i="28" s="1"/>
  <c r="AV451" i="28"/>
  <c r="BC451" i="28" s="1"/>
  <c r="AU451" i="28"/>
  <c r="BB451" i="28" s="1"/>
  <c r="AT451" i="28"/>
  <c r="BA451" i="28" s="1"/>
  <c r="AY450" i="28"/>
  <c r="BF450" i="28" s="1"/>
  <c r="AX450" i="28"/>
  <c r="BE450" i="28" s="1"/>
  <c r="AW450" i="28"/>
  <c r="BD450" i="28" s="1"/>
  <c r="AV450" i="28"/>
  <c r="BC450" i="28" s="1"/>
  <c r="AU450" i="28"/>
  <c r="BB450" i="28" s="1"/>
  <c r="AT450" i="28"/>
  <c r="BA450" i="28" s="1"/>
  <c r="AY449" i="28"/>
  <c r="BF449" i="28" s="1"/>
  <c r="AX449" i="28"/>
  <c r="BE449" i="28" s="1"/>
  <c r="AW449" i="28"/>
  <c r="BD449" i="28" s="1"/>
  <c r="AV449" i="28"/>
  <c r="BC449" i="28" s="1"/>
  <c r="AU449" i="28"/>
  <c r="BB449" i="28" s="1"/>
  <c r="AT449" i="28"/>
  <c r="BA449" i="28" s="1"/>
  <c r="AX448" i="28"/>
  <c r="BE448" i="28" s="1"/>
  <c r="AW448" i="28"/>
  <c r="BD448" i="28" s="1"/>
  <c r="AV448" i="28"/>
  <c r="BC448" i="28" s="1"/>
  <c r="AU448" i="28"/>
  <c r="BB448" i="28" s="1"/>
  <c r="AT448" i="28"/>
  <c r="BA448" i="28" s="1"/>
  <c r="AX447" i="28"/>
  <c r="BE447" i="28" s="1"/>
  <c r="AW447" i="28"/>
  <c r="BD447" i="28" s="1"/>
  <c r="AV447" i="28"/>
  <c r="BC447" i="28" s="1"/>
  <c r="AU447" i="28"/>
  <c r="BB447" i="28" s="1"/>
  <c r="AT447" i="28"/>
  <c r="BA447" i="28" s="1"/>
  <c r="BF446" i="28"/>
  <c r="AX446" i="28"/>
  <c r="BE446" i="28" s="1"/>
  <c r="AW446" i="28"/>
  <c r="BD446" i="28" s="1"/>
  <c r="AV446" i="28"/>
  <c r="BC446" i="28" s="1"/>
  <c r="AU446" i="28"/>
  <c r="BB446" i="28" s="1"/>
  <c r="AT446" i="28"/>
  <c r="BA446" i="28" s="1"/>
  <c r="AY445" i="28"/>
  <c r="BF445" i="28" s="1"/>
  <c r="AX445" i="28"/>
  <c r="BE445" i="28" s="1"/>
  <c r="AW445" i="28"/>
  <c r="BD445" i="28" s="1"/>
  <c r="AV445" i="28"/>
  <c r="BC445" i="28" s="1"/>
  <c r="AU445" i="28"/>
  <c r="BB445" i="28" s="1"/>
  <c r="AT445" i="28"/>
  <c r="BA445" i="28" s="1"/>
  <c r="AY444" i="28"/>
  <c r="BF444" i="28" s="1"/>
  <c r="AX444" i="28"/>
  <c r="BE444" i="28" s="1"/>
  <c r="AW444" i="28"/>
  <c r="BD444" i="28" s="1"/>
  <c r="AV444" i="28"/>
  <c r="BC444" i="28" s="1"/>
  <c r="AU444" i="28"/>
  <c r="BB444" i="28" s="1"/>
  <c r="AT444" i="28"/>
  <c r="BA444" i="28" s="1"/>
  <c r="BB443" i="28"/>
  <c r="AY443" i="28"/>
  <c r="BF443" i="28" s="1"/>
  <c r="AX443" i="28"/>
  <c r="BE443" i="28" s="1"/>
  <c r="AW443" i="28"/>
  <c r="BD443" i="28" s="1"/>
  <c r="AV443" i="28"/>
  <c r="BC443" i="28" s="1"/>
  <c r="AU443" i="28"/>
  <c r="AT443" i="28"/>
  <c r="BA443" i="28" s="1"/>
  <c r="AY442" i="28"/>
  <c r="BF442" i="28" s="1"/>
  <c r="AX442" i="28"/>
  <c r="BE442" i="28" s="1"/>
  <c r="AW442" i="28"/>
  <c r="BD442" i="28" s="1"/>
  <c r="AV442" i="28"/>
  <c r="BC442" i="28" s="1"/>
  <c r="AU442" i="28"/>
  <c r="BB442" i="28" s="1"/>
  <c r="AT442" i="28"/>
  <c r="BA442" i="28" s="1"/>
  <c r="AY441" i="28"/>
  <c r="BF441" i="28" s="1"/>
  <c r="AX441" i="28"/>
  <c r="BE441" i="28" s="1"/>
  <c r="AW441" i="28"/>
  <c r="BD441" i="28" s="1"/>
  <c r="AV441" i="28"/>
  <c r="BC441" i="28" s="1"/>
  <c r="AU441" i="28"/>
  <c r="BB441" i="28" s="1"/>
  <c r="AT441" i="28"/>
  <c r="BA441" i="28" s="1"/>
  <c r="AX440" i="28"/>
  <c r="BE440" i="28" s="1"/>
  <c r="AW440" i="28"/>
  <c r="BD440" i="28" s="1"/>
  <c r="AV440" i="28"/>
  <c r="BC440" i="28" s="1"/>
  <c r="AU440" i="28"/>
  <c r="BB440" i="28" s="1"/>
  <c r="AT440" i="28"/>
  <c r="BA440" i="28" s="1"/>
  <c r="AX439" i="28"/>
  <c r="BE439" i="28" s="1"/>
  <c r="AW439" i="28"/>
  <c r="BD439" i="28" s="1"/>
  <c r="AV439" i="28"/>
  <c r="BC439" i="28" s="1"/>
  <c r="AU439" i="28"/>
  <c r="BB439" i="28" s="1"/>
  <c r="AT439" i="28"/>
  <c r="BA439" i="28" s="1"/>
  <c r="AX438" i="28"/>
  <c r="BE438" i="28" s="1"/>
  <c r="AW438" i="28"/>
  <c r="BD438" i="28" s="1"/>
  <c r="AV438" i="28"/>
  <c r="BC438" i="28" s="1"/>
  <c r="AU438" i="28"/>
  <c r="BB438" i="28" s="1"/>
  <c r="AT438" i="28"/>
  <c r="BA438" i="28" s="1"/>
  <c r="AY437" i="28"/>
  <c r="BF437" i="28" s="1"/>
  <c r="AX437" i="28"/>
  <c r="BE437" i="28" s="1"/>
  <c r="AW437" i="28"/>
  <c r="BD437" i="28" s="1"/>
  <c r="AV437" i="28"/>
  <c r="BC437" i="28" s="1"/>
  <c r="AU437" i="28"/>
  <c r="BB437" i="28" s="1"/>
  <c r="AT437" i="28"/>
  <c r="BA437" i="28" s="1"/>
  <c r="AY436" i="28"/>
  <c r="BF436" i="28" s="1"/>
  <c r="AX436" i="28"/>
  <c r="BE436" i="28" s="1"/>
  <c r="AW436" i="28"/>
  <c r="BD436" i="28" s="1"/>
  <c r="AV436" i="28"/>
  <c r="BC436" i="28" s="1"/>
  <c r="AU436" i="28"/>
  <c r="BB436" i="28" s="1"/>
  <c r="AT436" i="28"/>
  <c r="BA436" i="28" s="1"/>
  <c r="AY435" i="28"/>
  <c r="BF435" i="28" s="1"/>
  <c r="AX435" i="28"/>
  <c r="BE435" i="28" s="1"/>
  <c r="AW435" i="28"/>
  <c r="BD435" i="28" s="1"/>
  <c r="AV435" i="28"/>
  <c r="BC435" i="28" s="1"/>
  <c r="AU435" i="28"/>
  <c r="BB435" i="28" s="1"/>
  <c r="AT435" i="28"/>
  <c r="BA435" i="28" s="1"/>
  <c r="AY434" i="28"/>
  <c r="BF434" i="28" s="1"/>
  <c r="AX434" i="28"/>
  <c r="BE434" i="28" s="1"/>
  <c r="AW434" i="28"/>
  <c r="BD434" i="28" s="1"/>
  <c r="AV434" i="28"/>
  <c r="BC434" i="28" s="1"/>
  <c r="AU434" i="28"/>
  <c r="BB434" i="28" s="1"/>
  <c r="AT434" i="28"/>
  <c r="BA434" i="28" s="1"/>
  <c r="AY433" i="28"/>
  <c r="BF433" i="28" s="1"/>
  <c r="AX433" i="28"/>
  <c r="BE433" i="28" s="1"/>
  <c r="AW433" i="28"/>
  <c r="BD433" i="28" s="1"/>
  <c r="AV433" i="28"/>
  <c r="BC433" i="28" s="1"/>
  <c r="AU433" i="28"/>
  <c r="BB433" i="28" s="1"/>
  <c r="AT433" i="28"/>
  <c r="BA433" i="28" s="1"/>
  <c r="AX432" i="28"/>
  <c r="BE432" i="28" s="1"/>
  <c r="AW432" i="28"/>
  <c r="BD432" i="28" s="1"/>
  <c r="AV432" i="28"/>
  <c r="BC432" i="28" s="1"/>
  <c r="AU432" i="28"/>
  <c r="BB432" i="28" s="1"/>
  <c r="AT432" i="28"/>
  <c r="BA432" i="28" s="1"/>
  <c r="AX431" i="28"/>
  <c r="BE431" i="28" s="1"/>
  <c r="AW431" i="28"/>
  <c r="BD431" i="28" s="1"/>
  <c r="AV431" i="28"/>
  <c r="BC431" i="28" s="1"/>
  <c r="AU431" i="28"/>
  <c r="BB431" i="28" s="1"/>
  <c r="AT431" i="28"/>
  <c r="BA431" i="28" s="1"/>
  <c r="AX430" i="28"/>
  <c r="BE430" i="28" s="1"/>
  <c r="AW430" i="28"/>
  <c r="BD430" i="28" s="1"/>
  <c r="AV430" i="28"/>
  <c r="BC430" i="28" s="1"/>
  <c r="AU430" i="28"/>
  <c r="BB430" i="28" s="1"/>
  <c r="AT430" i="28"/>
  <c r="BA430" i="28" s="1"/>
  <c r="AY429" i="28"/>
  <c r="BF429" i="28" s="1"/>
  <c r="AX429" i="28"/>
  <c r="BE429" i="28" s="1"/>
  <c r="AW429" i="28"/>
  <c r="BD429" i="28" s="1"/>
  <c r="AV429" i="28"/>
  <c r="BC429" i="28" s="1"/>
  <c r="AU429" i="28"/>
  <c r="BB429" i="28" s="1"/>
  <c r="AT429" i="28"/>
  <c r="BA429" i="28" s="1"/>
  <c r="AY428" i="28"/>
  <c r="BF428" i="28" s="1"/>
  <c r="AX428" i="28"/>
  <c r="BE428" i="28" s="1"/>
  <c r="AW428" i="28"/>
  <c r="BD428" i="28" s="1"/>
  <c r="AV428" i="28"/>
  <c r="BC428" i="28" s="1"/>
  <c r="AU428" i="28"/>
  <c r="BB428" i="28" s="1"/>
  <c r="AT428" i="28"/>
  <c r="BA428" i="28" s="1"/>
  <c r="AY427" i="28"/>
  <c r="BF427" i="28" s="1"/>
  <c r="AX427" i="28"/>
  <c r="BE427" i="28" s="1"/>
  <c r="AW427" i="28"/>
  <c r="BD427" i="28" s="1"/>
  <c r="AV427" i="28"/>
  <c r="BC427" i="28" s="1"/>
  <c r="AU427" i="28"/>
  <c r="BB427" i="28" s="1"/>
  <c r="AT427" i="28"/>
  <c r="BA427" i="28" s="1"/>
  <c r="AY426" i="28"/>
  <c r="BF426" i="28" s="1"/>
  <c r="AX426" i="28"/>
  <c r="BE426" i="28" s="1"/>
  <c r="AW426" i="28"/>
  <c r="BD426" i="28" s="1"/>
  <c r="AV426" i="28"/>
  <c r="BC426" i="28" s="1"/>
  <c r="AU426" i="28"/>
  <c r="BB426" i="28" s="1"/>
  <c r="AT426" i="28"/>
  <c r="BA426" i="28" s="1"/>
  <c r="AY425" i="28"/>
  <c r="BF425" i="28" s="1"/>
  <c r="AX425" i="28"/>
  <c r="BE425" i="28" s="1"/>
  <c r="AW425" i="28"/>
  <c r="BD425" i="28" s="1"/>
  <c r="AV425" i="28"/>
  <c r="BC425" i="28" s="1"/>
  <c r="AU425" i="28"/>
  <c r="BB425" i="28" s="1"/>
  <c r="AT425" i="28"/>
  <c r="BA425" i="28" s="1"/>
  <c r="AX424" i="28"/>
  <c r="BE424" i="28" s="1"/>
  <c r="AW424" i="28"/>
  <c r="BD424" i="28" s="1"/>
  <c r="AV424" i="28"/>
  <c r="BC424" i="28" s="1"/>
  <c r="AU424" i="28"/>
  <c r="BB424" i="28" s="1"/>
  <c r="AT424" i="28"/>
  <c r="BA424" i="28" s="1"/>
  <c r="AX423" i="28"/>
  <c r="BE423" i="28" s="1"/>
  <c r="AW423" i="28"/>
  <c r="BD423" i="28" s="1"/>
  <c r="AV423" i="28"/>
  <c r="BC423" i="28" s="1"/>
  <c r="AU423" i="28"/>
  <c r="BB423" i="28" s="1"/>
  <c r="AT423" i="28"/>
  <c r="BA423" i="28" s="1"/>
  <c r="AX422" i="28"/>
  <c r="BE422" i="28" s="1"/>
  <c r="AW422" i="28"/>
  <c r="BD422" i="28" s="1"/>
  <c r="AV422" i="28"/>
  <c r="BC422" i="28" s="1"/>
  <c r="AU422" i="28"/>
  <c r="BB422" i="28" s="1"/>
  <c r="AT422" i="28"/>
  <c r="BA422" i="28" s="1"/>
  <c r="AY421" i="28"/>
  <c r="BF421" i="28" s="1"/>
  <c r="AX421" i="28"/>
  <c r="BE421" i="28" s="1"/>
  <c r="AW421" i="28"/>
  <c r="BD421" i="28" s="1"/>
  <c r="AV421" i="28"/>
  <c r="BC421" i="28" s="1"/>
  <c r="AU421" i="28"/>
  <c r="BB421" i="28" s="1"/>
  <c r="AT421" i="28"/>
  <c r="BA421" i="28" s="1"/>
  <c r="AY420" i="28"/>
  <c r="BF420" i="28" s="1"/>
  <c r="AX420" i="28"/>
  <c r="BE420" i="28" s="1"/>
  <c r="AW420" i="28"/>
  <c r="BD420" i="28" s="1"/>
  <c r="AV420" i="28"/>
  <c r="BC420" i="28" s="1"/>
  <c r="AU420" i="28"/>
  <c r="BB420" i="28" s="1"/>
  <c r="AT420" i="28"/>
  <c r="BA420" i="28" s="1"/>
  <c r="AY419" i="28"/>
  <c r="BF419" i="28" s="1"/>
  <c r="AX419" i="28"/>
  <c r="BE419" i="28" s="1"/>
  <c r="AW419" i="28"/>
  <c r="BD419" i="28" s="1"/>
  <c r="AV419" i="28"/>
  <c r="BC419" i="28" s="1"/>
  <c r="AU419" i="28"/>
  <c r="BB419" i="28" s="1"/>
  <c r="AT419" i="28"/>
  <c r="BA419" i="28" s="1"/>
  <c r="AY418" i="28"/>
  <c r="BF418" i="28" s="1"/>
  <c r="AX418" i="28"/>
  <c r="BE418" i="28" s="1"/>
  <c r="AW418" i="28"/>
  <c r="BD418" i="28" s="1"/>
  <c r="AV418" i="28"/>
  <c r="BC418" i="28" s="1"/>
  <c r="AU418" i="28"/>
  <c r="BB418" i="28" s="1"/>
  <c r="AT418" i="28"/>
  <c r="BA418" i="28" s="1"/>
  <c r="AY417" i="28"/>
  <c r="BF417" i="28" s="1"/>
  <c r="AX417" i="28"/>
  <c r="BE417" i="28" s="1"/>
  <c r="AW417" i="28"/>
  <c r="BD417" i="28" s="1"/>
  <c r="AV417" i="28"/>
  <c r="BC417" i="28" s="1"/>
  <c r="AU417" i="28"/>
  <c r="BB417" i="28" s="1"/>
  <c r="AT417" i="28"/>
  <c r="BA417" i="28" s="1"/>
  <c r="AX416" i="28"/>
  <c r="BE416" i="28" s="1"/>
  <c r="AW416" i="28"/>
  <c r="BD416" i="28" s="1"/>
  <c r="AV416" i="28"/>
  <c r="BC416" i="28" s="1"/>
  <c r="AU416" i="28"/>
  <c r="BB416" i="28" s="1"/>
  <c r="AT416" i="28"/>
  <c r="BA416" i="28" s="1"/>
  <c r="AX415" i="28"/>
  <c r="BE415" i="28" s="1"/>
  <c r="AW415" i="28"/>
  <c r="BD415" i="28" s="1"/>
  <c r="AV415" i="28"/>
  <c r="BC415" i="28" s="1"/>
  <c r="AU415" i="28"/>
  <c r="BB415" i="28" s="1"/>
  <c r="AT415" i="28"/>
  <c r="BA415" i="28" s="1"/>
  <c r="BF414" i="28"/>
  <c r="AX414" i="28"/>
  <c r="BE414" i="28" s="1"/>
  <c r="AW414" i="28"/>
  <c r="BD414" i="28" s="1"/>
  <c r="AV414" i="28"/>
  <c r="BC414" i="28" s="1"/>
  <c r="AU414" i="28"/>
  <c r="BB414" i="28" s="1"/>
  <c r="AT414" i="28"/>
  <c r="BA414" i="28" s="1"/>
  <c r="AY413" i="28"/>
  <c r="BF413" i="28" s="1"/>
  <c r="AX413" i="28"/>
  <c r="BE413" i="28" s="1"/>
  <c r="AW413" i="28"/>
  <c r="BD413" i="28" s="1"/>
  <c r="AV413" i="28"/>
  <c r="BC413" i="28" s="1"/>
  <c r="AU413" i="28"/>
  <c r="BB413" i="28" s="1"/>
  <c r="AT413" i="28"/>
  <c r="BA413" i="28" s="1"/>
  <c r="AY412" i="28"/>
  <c r="BF412" i="28" s="1"/>
  <c r="AX412" i="28"/>
  <c r="BE412" i="28" s="1"/>
  <c r="AW412" i="28"/>
  <c r="BD412" i="28" s="1"/>
  <c r="AV412" i="28"/>
  <c r="BC412" i="28" s="1"/>
  <c r="AU412" i="28"/>
  <c r="BB412" i="28" s="1"/>
  <c r="AT412" i="28"/>
  <c r="BA412" i="28" s="1"/>
  <c r="AY411" i="28"/>
  <c r="BF411" i="28" s="1"/>
  <c r="AX411" i="28"/>
  <c r="BE411" i="28" s="1"/>
  <c r="AW411" i="28"/>
  <c r="BD411" i="28" s="1"/>
  <c r="AV411" i="28"/>
  <c r="BC411" i="28" s="1"/>
  <c r="AU411" i="28"/>
  <c r="BB411" i="28" s="1"/>
  <c r="AT411" i="28"/>
  <c r="BA411" i="28" s="1"/>
  <c r="AY410" i="28"/>
  <c r="BF410" i="28" s="1"/>
  <c r="AX410" i="28"/>
  <c r="BE410" i="28" s="1"/>
  <c r="AW410" i="28"/>
  <c r="BD410" i="28" s="1"/>
  <c r="AV410" i="28"/>
  <c r="BC410" i="28" s="1"/>
  <c r="AU410" i="28"/>
  <c r="BB410" i="28" s="1"/>
  <c r="AT410" i="28"/>
  <c r="BA410" i="28" s="1"/>
  <c r="AY409" i="28"/>
  <c r="BF409" i="28" s="1"/>
  <c r="AX409" i="28"/>
  <c r="BE409" i="28" s="1"/>
  <c r="AW409" i="28"/>
  <c r="BD409" i="28" s="1"/>
  <c r="AV409" i="28"/>
  <c r="BC409" i="28" s="1"/>
  <c r="AU409" i="28"/>
  <c r="BB409" i="28" s="1"/>
  <c r="AT409" i="28"/>
  <c r="BA409" i="28" s="1"/>
  <c r="AX408" i="28"/>
  <c r="BE408" i="28" s="1"/>
  <c r="AW408" i="28"/>
  <c r="BD408" i="28" s="1"/>
  <c r="AV408" i="28"/>
  <c r="BC408" i="28" s="1"/>
  <c r="AU408" i="28"/>
  <c r="BB408" i="28" s="1"/>
  <c r="AT408" i="28"/>
  <c r="BA408" i="28" s="1"/>
  <c r="AX407" i="28"/>
  <c r="BE407" i="28" s="1"/>
  <c r="AW407" i="28"/>
  <c r="BD407" i="28" s="1"/>
  <c r="AV407" i="28"/>
  <c r="BC407" i="28" s="1"/>
  <c r="AU407" i="28"/>
  <c r="BB407" i="28" s="1"/>
  <c r="AT407" i="28"/>
  <c r="BA407" i="28" s="1"/>
  <c r="BF406" i="28"/>
  <c r="AX406" i="28"/>
  <c r="BE406" i="28" s="1"/>
  <c r="AW406" i="28"/>
  <c r="BD406" i="28" s="1"/>
  <c r="AV406" i="28"/>
  <c r="BC406" i="28" s="1"/>
  <c r="AU406" i="28"/>
  <c r="BB406" i="28" s="1"/>
  <c r="AT406" i="28"/>
  <c r="BA406" i="28" s="1"/>
  <c r="AY405" i="28"/>
  <c r="BF405" i="28" s="1"/>
  <c r="AX405" i="28"/>
  <c r="BE405" i="28" s="1"/>
  <c r="AW405" i="28"/>
  <c r="BD405" i="28" s="1"/>
  <c r="AV405" i="28"/>
  <c r="BC405" i="28" s="1"/>
  <c r="AU405" i="28"/>
  <c r="BB405" i="28" s="1"/>
  <c r="AT405" i="28"/>
  <c r="BA405" i="28" s="1"/>
  <c r="AY404" i="28"/>
  <c r="BF404" i="28" s="1"/>
  <c r="AX404" i="28"/>
  <c r="BE404" i="28" s="1"/>
  <c r="AW404" i="28"/>
  <c r="BD404" i="28" s="1"/>
  <c r="AV404" i="28"/>
  <c r="BC404" i="28" s="1"/>
  <c r="AU404" i="28"/>
  <c r="BB404" i="28" s="1"/>
  <c r="AT404" i="28"/>
  <c r="BA404" i="28" s="1"/>
  <c r="AY403" i="28"/>
  <c r="BF403" i="28" s="1"/>
  <c r="AX403" i="28"/>
  <c r="BE403" i="28" s="1"/>
  <c r="AW403" i="28"/>
  <c r="BD403" i="28" s="1"/>
  <c r="AV403" i="28"/>
  <c r="BC403" i="28" s="1"/>
  <c r="AU403" i="28"/>
  <c r="BB403" i="28" s="1"/>
  <c r="AT403" i="28"/>
  <c r="BA403" i="28" s="1"/>
  <c r="AY402" i="28"/>
  <c r="BF402" i="28" s="1"/>
  <c r="AX402" i="28"/>
  <c r="BE402" i="28" s="1"/>
  <c r="AW402" i="28"/>
  <c r="BD402" i="28" s="1"/>
  <c r="AV402" i="28"/>
  <c r="BC402" i="28" s="1"/>
  <c r="AU402" i="28"/>
  <c r="BB402" i="28" s="1"/>
  <c r="AT402" i="28"/>
  <c r="BA402" i="28" s="1"/>
  <c r="AY401" i="28"/>
  <c r="BF401" i="28" s="1"/>
  <c r="AX401" i="28"/>
  <c r="BE401" i="28" s="1"/>
  <c r="AW401" i="28"/>
  <c r="BD401" i="28" s="1"/>
  <c r="AV401" i="28"/>
  <c r="BC401" i="28" s="1"/>
  <c r="AU401" i="28"/>
  <c r="BB401" i="28" s="1"/>
  <c r="AT401" i="28"/>
  <c r="BA401" i="28" s="1"/>
  <c r="AX400" i="28"/>
  <c r="BE400" i="28" s="1"/>
  <c r="AW400" i="28"/>
  <c r="BD400" i="28" s="1"/>
  <c r="AV400" i="28"/>
  <c r="BC400" i="28" s="1"/>
  <c r="AU400" i="28"/>
  <c r="BB400" i="28" s="1"/>
  <c r="AT400" i="28"/>
  <c r="BA400" i="28" s="1"/>
  <c r="AX399" i="28"/>
  <c r="BE399" i="28" s="1"/>
  <c r="AW399" i="28"/>
  <c r="BD399" i="28" s="1"/>
  <c r="AV399" i="28"/>
  <c r="BC399" i="28" s="1"/>
  <c r="AU399" i="28"/>
  <c r="BB399" i="28" s="1"/>
  <c r="AT399" i="28"/>
  <c r="BA399" i="28" s="1"/>
  <c r="AX398" i="28"/>
  <c r="BE398" i="28" s="1"/>
  <c r="AW398" i="28"/>
  <c r="BD398" i="28" s="1"/>
  <c r="AV398" i="28"/>
  <c r="BC398" i="28" s="1"/>
  <c r="AU398" i="28"/>
  <c r="BB398" i="28" s="1"/>
  <c r="AT398" i="28"/>
  <c r="BA398" i="28" s="1"/>
  <c r="AY397" i="28"/>
  <c r="BF397" i="28" s="1"/>
  <c r="AX397" i="28"/>
  <c r="BE397" i="28" s="1"/>
  <c r="AW397" i="28"/>
  <c r="BD397" i="28" s="1"/>
  <c r="AV397" i="28"/>
  <c r="BC397" i="28" s="1"/>
  <c r="AU397" i="28"/>
  <c r="BB397" i="28" s="1"/>
  <c r="AT397" i="28"/>
  <c r="BA397" i="28" s="1"/>
  <c r="AY396" i="28"/>
  <c r="BF396" i="28" s="1"/>
  <c r="AX396" i="28"/>
  <c r="BE396" i="28" s="1"/>
  <c r="AW396" i="28"/>
  <c r="BD396" i="28" s="1"/>
  <c r="AV396" i="28"/>
  <c r="BC396" i="28" s="1"/>
  <c r="AU396" i="28"/>
  <c r="BB396" i="28" s="1"/>
  <c r="AT396" i="28"/>
  <c r="BA396" i="28" s="1"/>
  <c r="AY395" i="28"/>
  <c r="BF395" i="28" s="1"/>
  <c r="AX395" i="28"/>
  <c r="BE395" i="28" s="1"/>
  <c r="AW395" i="28"/>
  <c r="BD395" i="28" s="1"/>
  <c r="AV395" i="28"/>
  <c r="BC395" i="28" s="1"/>
  <c r="AU395" i="28"/>
  <c r="BB395" i="28" s="1"/>
  <c r="AT395" i="28"/>
  <c r="BA395" i="28" s="1"/>
  <c r="AY394" i="28"/>
  <c r="BF394" i="28" s="1"/>
  <c r="AX394" i="28"/>
  <c r="BE394" i="28" s="1"/>
  <c r="AW394" i="28"/>
  <c r="BD394" i="28" s="1"/>
  <c r="AV394" i="28"/>
  <c r="BC394" i="28" s="1"/>
  <c r="AU394" i="28"/>
  <c r="BB394" i="28" s="1"/>
  <c r="AT394" i="28"/>
  <c r="BA394" i="28" s="1"/>
  <c r="AY393" i="28"/>
  <c r="BF393" i="28" s="1"/>
  <c r="AX393" i="28"/>
  <c r="BE393" i="28" s="1"/>
  <c r="AW393" i="28"/>
  <c r="BD393" i="28" s="1"/>
  <c r="AV393" i="28"/>
  <c r="BC393" i="28" s="1"/>
  <c r="AU393" i="28"/>
  <c r="BB393" i="28" s="1"/>
  <c r="AT393" i="28"/>
  <c r="BA393" i="28" s="1"/>
  <c r="AX392" i="28"/>
  <c r="BE392" i="28" s="1"/>
  <c r="AW392" i="28"/>
  <c r="BD392" i="28" s="1"/>
  <c r="AV392" i="28"/>
  <c r="BC392" i="28" s="1"/>
  <c r="AU392" i="28"/>
  <c r="BB392" i="28" s="1"/>
  <c r="AT392" i="28"/>
  <c r="BA392" i="28" s="1"/>
  <c r="AX391" i="28"/>
  <c r="BE391" i="28" s="1"/>
  <c r="AW391" i="28"/>
  <c r="BD391" i="28" s="1"/>
  <c r="AV391" i="28"/>
  <c r="BC391" i="28" s="1"/>
  <c r="AU391" i="28"/>
  <c r="BB391" i="28" s="1"/>
  <c r="AT391" i="28"/>
  <c r="BA391" i="28" s="1"/>
  <c r="AY390" i="28"/>
  <c r="BF390" i="28" s="1"/>
  <c r="AX390" i="28"/>
  <c r="BE390" i="28" s="1"/>
  <c r="AW390" i="28"/>
  <c r="BD390" i="28" s="1"/>
  <c r="AV390" i="28"/>
  <c r="BC390" i="28" s="1"/>
  <c r="AU390" i="28"/>
  <c r="BB390" i="28" s="1"/>
  <c r="AT390" i="28"/>
  <c r="BA390" i="28" s="1"/>
  <c r="AY389" i="28"/>
  <c r="BF389" i="28" s="1"/>
  <c r="AX389" i="28"/>
  <c r="BE389" i="28" s="1"/>
  <c r="AW389" i="28"/>
  <c r="BD389" i="28" s="1"/>
  <c r="AV389" i="28"/>
  <c r="BC389" i="28" s="1"/>
  <c r="AU389" i="28"/>
  <c r="BB389" i="28" s="1"/>
  <c r="AT389" i="28"/>
  <c r="BA389" i="28" s="1"/>
  <c r="AY388" i="28"/>
  <c r="BF388" i="28" s="1"/>
  <c r="AX388" i="28"/>
  <c r="BE388" i="28" s="1"/>
  <c r="AW388" i="28"/>
  <c r="BD388" i="28" s="1"/>
  <c r="AV388" i="28"/>
  <c r="BC388" i="28" s="1"/>
  <c r="AU388" i="28"/>
  <c r="BB388" i="28" s="1"/>
  <c r="AT388" i="28"/>
  <c r="BA388" i="28" s="1"/>
  <c r="AY387" i="28"/>
  <c r="BF387" i="28" s="1"/>
  <c r="AX387" i="28"/>
  <c r="BE387" i="28" s="1"/>
  <c r="AW387" i="28"/>
  <c r="BD387" i="28" s="1"/>
  <c r="AV387" i="28"/>
  <c r="BC387" i="28" s="1"/>
  <c r="AU387" i="28"/>
  <c r="BB387" i="28" s="1"/>
  <c r="AT387" i="28"/>
  <c r="BA387" i="28" s="1"/>
  <c r="AY386" i="28"/>
  <c r="BF386" i="28" s="1"/>
  <c r="AX386" i="28"/>
  <c r="BE386" i="28" s="1"/>
  <c r="AW386" i="28"/>
  <c r="BD386" i="28" s="1"/>
  <c r="AV386" i="28"/>
  <c r="BC386" i="28" s="1"/>
  <c r="AU386" i="28"/>
  <c r="BB386" i="28" s="1"/>
  <c r="AT386" i="28"/>
  <c r="BA386" i="28" s="1"/>
  <c r="AY385" i="28"/>
  <c r="BF385" i="28" s="1"/>
  <c r="AX385" i="28"/>
  <c r="BE385" i="28" s="1"/>
  <c r="AW385" i="28"/>
  <c r="BD385" i="28" s="1"/>
  <c r="AV385" i="28"/>
  <c r="BC385" i="28" s="1"/>
  <c r="AU385" i="28"/>
  <c r="BB385" i="28" s="1"/>
  <c r="AT385" i="28"/>
  <c r="BA385" i="28" s="1"/>
  <c r="AX384" i="28"/>
  <c r="BE384" i="28" s="1"/>
  <c r="AW384" i="28"/>
  <c r="BD384" i="28" s="1"/>
  <c r="AV384" i="28"/>
  <c r="BC384" i="28" s="1"/>
  <c r="AU384" i="28"/>
  <c r="BB384" i="28" s="1"/>
  <c r="AT384" i="28"/>
  <c r="BA384" i="28" s="1"/>
  <c r="AX383" i="28"/>
  <c r="BE383" i="28" s="1"/>
  <c r="AW383" i="28"/>
  <c r="BD383" i="28" s="1"/>
  <c r="AV383" i="28"/>
  <c r="BC383" i="28" s="1"/>
  <c r="AU383" i="28"/>
  <c r="BB383" i="28" s="1"/>
  <c r="AT383" i="28"/>
  <c r="BA383" i="28" s="1"/>
  <c r="AY382" i="28"/>
  <c r="BF382" i="28" s="1"/>
  <c r="AX382" i="28"/>
  <c r="BE382" i="28" s="1"/>
  <c r="AW382" i="28"/>
  <c r="BD382" i="28" s="1"/>
  <c r="AV382" i="28"/>
  <c r="BC382" i="28" s="1"/>
  <c r="AU382" i="28"/>
  <c r="BB382" i="28" s="1"/>
  <c r="AT382" i="28"/>
  <c r="BA382" i="28" s="1"/>
  <c r="AY381" i="28"/>
  <c r="BF381" i="28" s="1"/>
  <c r="AX381" i="28"/>
  <c r="BE381" i="28" s="1"/>
  <c r="AW381" i="28"/>
  <c r="BD381" i="28" s="1"/>
  <c r="AV381" i="28"/>
  <c r="BC381" i="28" s="1"/>
  <c r="AU381" i="28"/>
  <c r="BB381" i="28" s="1"/>
  <c r="AT381" i="28"/>
  <c r="BA381" i="28" s="1"/>
  <c r="AY380" i="28"/>
  <c r="BF380" i="28" s="1"/>
  <c r="AX380" i="28"/>
  <c r="BE380" i="28" s="1"/>
  <c r="AW380" i="28"/>
  <c r="BD380" i="28" s="1"/>
  <c r="AV380" i="28"/>
  <c r="BC380" i="28" s="1"/>
  <c r="AU380" i="28"/>
  <c r="BB380" i="28" s="1"/>
  <c r="AT380" i="28"/>
  <c r="BA380" i="28" s="1"/>
  <c r="AY379" i="28"/>
  <c r="BF379" i="28" s="1"/>
  <c r="AX379" i="28"/>
  <c r="BE379" i="28" s="1"/>
  <c r="AW379" i="28"/>
  <c r="BD379" i="28" s="1"/>
  <c r="AV379" i="28"/>
  <c r="BC379" i="28" s="1"/>
  <c r="AU379" i="28"/>
  <c r="BB379" i="28" s="1"/>
  <c r="AT379" i="28"/>
  <c r="BA379" i="28" s="1"/>
  <c r="AY378" i="28"/>
  <c r="BF378" i="28" s="1"/>
  <c r="AX378" i="28"/>
  <c r="BE378" i="28" s="1"/>
  <c r="AW378" i="28"/>
  <c r="BD378" i="28" s="1"/>
  <c r="AV378" i="28"/>
  <c r="BC378" i="28" s="1"/>
  <c r="AU378" i="28"/>
  <c r="BB378" i="28" s="1"/>
  <c r="AT378" i="28"/>
  <c r="BA378" i="28" s="1"/>
  <c r="AY377" i="28"/>
  <c r="BF377" i="28" s="1"/>
  <c r="AX377" i="28"/>
  <c r="BE377" i="28" s="1"/>
  <c r="AW377" i="28"/>
  <c r="BD377" i="28" s="1"/>
  <c r="AV377" i="28"/>
  <c r="BC377" i="28" s="1"/>
  <c r="AU377" i="28"/>
  <c r="BB377" i="28" s="1"/>
  <c r="AT377" i="28"/>
  <c r="BA377" i="28" s="1"/>
  <c r="AX376" i="28"/>
  <c r="BE376" i="28" s="1"/>
  <c r="AW376" i="28"/>
  <c r="BD376" i="28" s="1"/>
  <c r="AV376" i="28"/>
  <c r="BC376" i="28" s="1"/>
  <c r="AU376" i="28"/>
  <c r="BB376" i="28" s="1"/>
  <c r="AT376" i="28"/>
  <c r="BA376" i="28" s="1"/>
  <c r="AX375" i="28"/>
  <c r="BE375" i="28" s="1"/>
  <c r="AW375" i="28"/>
  <c r="BD375" i="28" s="1"/>
  <c r="AV375" i="28"/>
  <c r="BC375" i="28" s="1"/>
  <c r="AU375" i="28"/>
  <c r="BB375" i="28" s="1"/>
  <c r="AT375" i="28"/>
  <c r="BA375" i="28" s="1"/>
  <c r="AX374" i="28"/>
  <c r="BE374" i="28" s="1"/>
  <c r="AW374" i="28"/>
  <c r="BD374" i="28" s="1"/>
  <c r="AV374" i="28"/>
  <c r="BC374" i="28" s="1"/>
  <c r="AU374" i="28"/>
  <c r="BB374" i="28" s="1"/>
  <c r="AT374" i="28"/>
  <c r="BA374" i="28" s="1"/>
  <c r="AY373" i="28"/>
  <c r="BF373" i="28" s="1"/>
  <c r="AX373" i="28"/>
  <c r="BE373" i="28" s="1"/>
  <c r="AW373" i="28"/>
  <c r="BD373" i="28" s="1"/>
  <c r="AV373" i="28"/>
  <c r="BC373" i="28" s="1"/>
  <c r="AU373" i="28"/>
  <c r="BB373" i="28" s="1"/>
  <c r="AT373" i="28"/>
  <c r="BA373" i="28" s="1"/>
  <c r="AY372" i="28"/>
  <c r="BF372" i="28" s="1"/>
  <c r="AX372" i="28"/>
  <c r="BE372" i="28" s="1"/>
  <c r="AW372" i="28"/>
  <c r="BD372" i="28" s="1"/>
  <c r="AV372" i="28"/>
  <c r="BC372" i="28" s="1"/>
  <c r="AU372" i="28"/>
  <c r="BB372" i="28" s="1"/>
  <c r="AT372" i="28"/>
  <c r="BA372" i="28" s="1"/>
  <c r="AY371" i="28"/>
  <c r="BF371" i="28" s="1"/>
  <c r="AX371" i="28"/>
  <c r="BE371" i="28" s="1"/>
  <c r="AW371" i="28"/>
  <c r="BD371" i="28" s="1"/>
  <c r="AV371" i="28"/>
  <c r="BC371" i="28" s="1"/>
  <c r="AU371" i="28"/>
  <c r="BB371" i="28" s="1"/>
  <c r="AT371" i="28"/>
  <c r="BA371" i="28" s="1"/>
  <c r="AY370" i="28"/>
  <c r="BF370" i="28" s="1"/>
  <c r="AX370" i="28"/>
  <c r="BE370" i="28" s="1"/>
  <c r="AW370" i="28"/>
  <c r="BD370" i="28" s="1"/>
  <c r="AV370" i="28"/>
  <c r="BC370" i="28" s="1"/>
  <c r="AU370" i="28"/>
  <c r="BB370" i="28" s="1"/>
  <c r="AT370" i="28"/>
  <c r="BA370" i="28" s="1"/>
  <c r="AY369" i="28"/>
  <c r="BF369" i="28" s="1"/>
  <c r="AX369" i="28"/>
  <c r="BE369" i="28" s="1"/>
  <c r="AW369" i="28"/>
  <c r="BD369" i="28" s="1"/>
  <c r="AV369" i="28"/>
  <c r="BC369" i="28" s="1"/>
  <c r="AU369" i="28"/>
  <c r="BB369" i="28" s="1"/>
  <c r="AT369" i="28"/>
  <c r="BA369" i="28" s="1"/>
  <c r="AX368" i="28"/>
  <c r="BE368" i="28" s="1"/>
  <c r="AW368" i="28"/>
  <c r="BD368" i="28" s="1"/>
  <c r="AV368" i="28"/>
  <c r="BC368" i="28" s="1"/>
  <c r="AU368" i="28"/>
  <c r="BB368" i="28" s="1"/>
  <c r="AT368" i="28"/>
  <c r="BA368" i="28" s="1"/>
  <c r="AX367" i="28"/>
  <c r="BE367" i="28" s="1"/>
  <c r="AW367" i="28"/>
  <c r="BD367" i="28" s="1"/>
  <c r="AV367" i="28"/>
  <c r="BC367" i="28" s="1"/>
  <c r="AU367" i="28"/>
  <c r="BB367" i="28" s="1"/>
  <c r="AT367" i="28"/>
  <c r="BA367" i="28" s="1"/>
  <c r="AX366" i="28"/>
  <c r="BE366" i="28" s="1"/>
  <c r="AW366" i="28"/>
  <c r="BD366" i="28" s="1"/>
  <c r="AV366" i="28"/>
  <c r="BC366" i="28" s="1"/>
  <c r="AU366" i="28"/>
  <c r="BB366" i="28" s="1"/>
  <c r="AT366" i="28"/>
  <c r="BA366" i="28" s="1"/>
  <c r="AY365" i="28"/>
  <c r="BF365" i="28" s="1"/>
  <c r="AX365" i="28"/>
  <c r="BE365" i="28" s="1"/>
  <c r="AW365" i="28"/>
  <c r="BD365" i="28" s="1"/>
  <c r="AV365" i="28"/>
  <c r="BC365" i="28" s="1"/>
  <c r="AU365" i="28"/>
  <c r="BB365" i="28" s="1"/>
  <c r="AT365" i="28"/>
  <c r="BA365" i="28" s="1"/>
  <c r="AY364" i="28"/>
  <c r="BF364" i="28" s="1"/>
  <c r="AX364" i="28"/>
  <c r="BE364" i="28" s="1"/>
  <c r="AW364" i="28"/>
  <c r="BD364" i="28" s="1"/>
  <c r="AV364" i="28"/>
  <c r="BC364" i="28" s="1"/>
  <c r="AU364" i="28"/>
  <c r="BB364" i="28" s="1"/>
  <c r="AT364" i="28"/>
  <c r="BA364" i="28" s="1"/>
  <c r="AY363" i="28"/>
  <c r="BF363" i="28" s="1"/>
  <c r="AX363" i="28"/>
  <c r="BE363" i="28" s="1"/>
  <c r="AW363" i="28"/>
  <c r="BD363" i="28" s="1"/>
  <c r="AV363" i="28"/>
  <c r="BC363" i="28" s="1"/>
  <c r="AU363" i="28"/>
  <c r="BB363" i="28" s="1"/>
  <c r="AT363" i="28"/>
  <c r="BA363" i="28" s="1"/>
  <c r="AY362" i="28"/>
  <c r="BF362" i="28" s="1"/>
  <c r="AX362" i="28"/>
  <c r="BE362" i="28" s="1"/>
  <c r="AW362" i="28"/>
  <c r="BD362" i="28" s="1"/>
  <c r="AV362" i="28"/>
  <c r="BC362" i="28" s="1"/>
  <c r="AU362" i="28"/>
  <c r="BB362" i="28" s="1"/>
  <c r="AT362" i="28"/>
  <c r="BA362" i="28" s="1"/>
  <c r="AY361" i="28"/>
  <c r="BF361" i="28" s="1"/>
  <c r="AX361" i="28"/>
  <c r="BE361" i="28" s="1"/>
  <c r="AW361" i="28"/>
  <c r="BD361" i="28" s="1"/>
  <c r="AV361" i="28"/>
  <c r="BC361" i="28" s="1"/>
  <c r="AU361" i="28"/>
  <c r="BB361" i="28" s="1"/>
  <c r="AT361" i="28"/>
  <c r="BA361" i="28" s="1"/>
  <c r="AX360" i="28"/>
  <c r="BE360" i="28" s="1"/>
  <c r="AW360" i="28"/>
  <c r="BD360" i="28" s="1"/>
  <c r="AV360" i="28"/>
  <c r="BC360" i="28" s="1"/>
  <c r="AU360" i="28"/>
  <c r="BB360" i="28" s="1"/>
  <c r="AT360" i="28"/>
  <c r="BA360" i="28" s="1"/>
  <c r="AX359" i="28"/>
  <c r="BE359" i="28" s="1"/>
  <c r="AW359" i="28"/>
  <c r="BD359" i="28" s="1"/>
  <c r="AV359" i="28"/>
  <c r="BC359" i="28" s="1"/>
  <c r="AU359" i="28"/>
  <c r="BB359" i="28" s="1"/>
  <c r="AT359" i="28"/>
  <c r="BA359" i="28" s="1"/>
  <c r="AX358" i="28"/>
  <c r="BE358" i="28" s="1"/>
  <c r="AW358" i="28"/>
  <c r="BD358" i="28" s="1"/>
  <c r="AV358" i="28"/>
  <c r="BC358" i="28" s="1"/>
  <c r="AU358" i="28"/>
  <c r="BB358" i="28" s="1"/>
  <c r="AT358" i="28"/>
  <c r="BA358" i="28" s="1"/>
  <c r="AY357" i="28"/>
  <c r="BF357" i="28" s="1"/>
  <c r="AX357" i="28"/>
  <c r="BE357" i="28" s="1"/>
  <c r="AW357" i="28"/>
  <c r="BD357" i="28" s="1"/>
  <c r="AV357" i="28"/>
  <c r="BC357" i="28" s="1"/>
  <c r="AU357" i="28"/>
  <c r="BB357" i="28" s="1"/>
  <c r="AT357" i="28"/>
  <c r="BA357" i="28" s="1"/>
  <c r="AY356" i="28"/>
  <c r="BF356" i="28" s="1"/>
  <c r="AX356" i="28"/>
  <c r="BE356" i="28" s="1"/>
  <c r="AW356" i="28"/>
  <c r="BD356" i="28" s="1"/>
  <c r="AV356" i="28"/>
  <c r="BC356" i="28" s="1"/>
  <c r="AU356" i="28"/>
  <c r="BB356" i="28" s="1"/>
  <c r="AT356" i="28"/>
  <c r="BA356" i="28" s="1"/>
  <c r="AY355" i="28"/>
  <c r="BF355" i="28" s="1"/>
  <c r="AX355" i="28"/>
  <c r="BE355" i="28" s="1"/>
  <c r="AW355" i="28"/>
  <c r="BD355" i="28" s="1"/>
  <c r="AV355" i="28"/>
  <c r="BC355" i="28" s="1"/>
  <c r="AU355" i="28"/>
  <c r="BB355" i="28" s="1"/>
  <c r="AT355" i="28"/>
  <c r="BA355" i="28" s="1"/>
  <c r="AY354" i="28"/>
  <c r="BF354" i="28" s="1"/>
  <c r="AX354" i="28"/>
  <c r="BE354" i="28" s="1"/>
  <c r="AW354" i="28"/>
  <c r="BD354" i="28" s="1"/>
  <c r="AV354" i="28"/>
  <c r="BC354" i="28" s="1"/>
  <c r="AU354" i="28"/>
  <c r="BB354" i="28" s="1"/>
  <c r="AT354" i="28"/>
  <c r="BA354" i="28" s="1"/>
  <c r="AY353" i="28"/>
  <c r="BF353" i="28" s="1"/>
  <c r="AX353" i="28"/>
  <c r="BE353" i="28" s="1"/>
  <c r="AW353" i="28"/>
  <c r="BD353" i="28" s="1"/>
  <c r="AV353" i="28"/>
  <c r="BC353" i="28" s="1"/>
  <c r="AU353" i="28"/>
  <c r="BB353" i="28" s="1"/>
  <c r="AT353" i="28"/>
  <c r="BA353" i="28" s="1"/>
  <c r="AX352" i="28"/>
  <c r="BE352" i="28" s="1"/>
  <c r="AW352" i="28"/>
  <c r="BD352" i="28" s="1"/>
  <c r="AV352" i="28"/>
  <c r="BC352" i="28" s="1"/>
  <c r="AU352" i="28"/>
  <c r="BB352" i="28" s="1"/>
  <c r="AT352" i="28"/>
  <c r="BA352" i="28" s="1"/>
  <c r="AY351" i="28"/>
  <c r="BF351" i="28" s="1"/>
  <c r="AX351" i="28"/>
  <c r="BE351" i="28" s="1"/>
  <c r="AW351" i="28"/>
  <c r="BD351" i="28" s="1"/>
  <c r="AV351" i="28"/>
  <c r="BC351" i="28" s="1"/>
  <c r="AU351" i="28"/>
  <c r="BB351" i="28" s="1"/>
  <c r="AT351" i="28"/>
  <c r="BA351" i="28" s="1"/>
  <c r="BF350" i="28"/>
  <c r="AX350" i="28"/>
  <c r="BE350" i="28" s="1"/>
  <c r="AW350" i="28"/>
  <c r="BD350" i="28" s="1"/>
  <c r="AV350" i="28"/>
  <c r="BC350" i="28" s="1"/>
  <c r="AU350" i="28"/>
  <c r="BB350" i="28" s="1"/>
  <c r="AT350" i="28"/>
  <c r="BA350" i="28" s="1"/>
  <c r="AY349" i="28"/>
  <c r="BF349" i="28" s="1"/>
  <c r="AX349" i="28"/>
  <c r="BE349" i="28" s="1"/>
  <c r="AW349" i="28"/>
  <c r="BD349" i="28" s="1"/>
  <c r="AV349" i="28"/>
  <c r="BC349" i="28" s="1"/>
  <c r="AU349" i="28"/>
  <c r="BB349" i="28" s="1"/>
  <c r="AT349" i="28"/>
  <c r="BA349" i="28" s="1"/>
  <c r="AY348" i="28"/>
  <c r="BF348" i="28" s="1"/>
  <c r="AX348" i="28"/>
  <c r="BE348" i="28" s="1"/>
  <c r="AW348" i="28"/>
  <c r="BD348" i="28" s="1"/>
  <c r="AV348" i="28"/>
  <c r="BC348" i="28" s="1"/>
  <c r="AU348" i="28"/>
  <c r="BB348" i="28" s="1"/>
  <c r="AT348" i="28"/>
  <c r="BA348" i="28" s="1"/>
  <c r="AY347" i="28"/>
  <c r="BF347" i="28" s="1"/>
  <c r="AX347" i="28"/>
  <c r="BE347" i="28" s="1"/>
  <c r="AW347" i="28"/>
  <c r="BD347" i="28" s="1"/>
  <c r="AV347" i="28"/>
  <c r="BC347" i="28" s="1"/>
  <c r="AU347" i="28"/>
  <c r="BB347" i="28" s="1"/>
  <c r="AT347" i="28"/>
  <c r="BA347" i="28" s="1"/>
  <c r="AY346" i="28"/>
  <c r="BF346" i="28" s="1"/>
  <c r="AX346" i="28"/>
  <c r="BE346" i="28" s="1"/>
  <c r="AW346" i="28"/>
  <c r="BD346" i="28" s="1"/>
  <c r="AV346" i="28"/>
  <c r="BC346" i="28" s="1"/>
  <c r="AU346" i="28"/>
  <c r="BB346" i="28" s="1"/>
  <c r="AT346" i="28"/>
  <c r="BA346" i="28" s="1"/>
  <c r="AY345" i="28"/>
  <c r="BF345" i="28" s="1"/>
  <c r="AX345" i="28"/>
  <c r="BE345" i="28" s="1"/>
  <c r="AW345" i="28"/>
  <c r="BD345" i="28" s="1"/>
  <c r="AV345" i="28"/>
  <c r="BC345" i="28" s="1"/>
  <c r="AU345" i="28"/>
  <c r="BB345" i="28" s="1"/>
  <c r="AT345" i="28"/>
  <c r="BA345" i="28" s="1"/>
  <c r="AX344" i="28"/>
  <c r="BE344" i="28" s="1"/>
  <c r="AW344" i="28"/>
  <c r="BD344" i="28" s="1"/>
  <c r="AV344" i="28"/>
  <c r="BC344" i="28" s="1"/>
  <c r="AU344" i="28"/>
  <c r="BB344" i="28" s="1"/>
  <c r="AT344" i="28"/>
  <c r="BA344" i="28" s="1"/>
  <c r="AX343" i="28"/>
  <c r="BE343" i="28" s="1"/>
  <c r="AW343" i="28"/>
  <c r="BD343" i="28" s="1"/>
  <c r="AV343" i="28"/>
  <c r="BC343" i="28" s="1"/>
  <c r="AU343" i="28"/>
  <c r="BB343" i="28" s="1"/>
  <c r="AT343" i="28"/>
  <c r="BA343" i="28" s="1"/>
  <c r="AY342" i="28"/>
  <c r="BF342" i="28" s="1"/>
  <c r="AX342" i="28"/>
  <c r="BE342" i="28" s="1"/>
  <c r="AW342" i="28"/>
  <c r="BD342" i="28" s="1"/>
  <c r="AV342" i="28"/>
  <c r="BC342" i="28" s="1"/>
  <c r="AU342" i="28"/>
  <c r="BB342" i="28" s="1"/>
  <c r="AT342" i="28"/>
  <c r="BA342" i="28" s="1"/>
  <c r="AY341" i="28"/>
  <c r="BF341" i="28" s="1"/>
  <c r="AX341" i="28"/>
  <c r="BE341" i="28" s="1"/>
  <c r="AW341" i="28"/>
  <c r="BD341" i="28" s="1"/>
  <c r="AV341" i="28"/>
  <c r="BC341" i="28" s="1"/>
  <c r="AU341" i="28"/>
  <c r="BB341" i="28" s="1"/>
  <c r="AT341" i="28"/>
  <c r="BA341" i="28" s="1"/>
  <c r="AY340" i="28"/>
  <c r="BF340" i="28" s="1"/>
  <c r="AX340" i="28"/>
  <c r="BE340" i="28" s="1"/>
  <c r="AW340" i="28"/>
  <c r="BD340" i="28" s="1"/>
  <c r="AV340" i="28"/>
  <c r="BC340" i="28" s="1"/>
  <c r="AU340" i="28"/>
  <c r="BB340" i="28" s="1"/>
  <c r="AT340" i="28"/>
  <c r="BA340" i="28" s="1"/>
  <c r="AY339" i="28"/>
  <c r="BF339" i="28" s="1"/>
  <c r="AX339" i="28"/>
  <c r="BE339" i="28" s="1"/>
  <c r="AW339" i="28"/>
  <c r="BD339" i="28" s="1"/>
  <c r="AV339" i="28"/>
  <c r="BC339" i="28" s="1"/>
  <c r="AU339" i="28"/>
  <c r="BB339" i="28" s="1"/>
  <c r="AT339" i="28"/>
  <c r="BA339" i="28" s="1"/>
  <c r="AY338" i="28"/>
  <c r="BF338" i="28" s="1"/>
  <c r="AX338" i="28"/>
  <c r="BE338" i="28" s="1"/>
  <c r="AW338" i="28"/>
  <c r="BD338" i="28" s="1"/>
  <c r="AV338" i="28"/>
  <c r="BC338" i="28" s="1"/>
  <c r="AU338" i="28"/>
  <c r="BB338" i="28" s="1"/>
  <c r="AT338" i="28"/>
  <c r="BA338" i="28" s="1"/>
  <c r="AY337" i="28"/>
  <c r="BF337" i="28" s="1"/>
  <c r="AX337" i="28"/>
  <c r="BE337" i="28" s="1"/>
  <c r="AW337" i="28"/>
  <c r="BD337" i="28" s="1"/>
  <c r="AV337" i="28"/>
  <c r="BC337" i="28" s="1"/>
  <c r="AU337" i="28"/>
  <c r="BB337" i="28" s="1"/>
  <c r="AT337" i="28"/>
  <c r="BA337" i="28" s="1"/>
  <c r="AX336" i="28"/>
  <c r="BE336" i="28" s="1"/>
  <c r="AW336" i="28"/>
  <c r="BD336" i="28" s="1"/>
  <c r="AV336" i="28"/>
  <c r="BC336" i="28" s="1"/>
  <c r="AU336" i="28"/>
  <c r="BB336" i="28" s="1"/>
  <c r="AT336" i="28"/>
  <c r="BA336" i="28" s="1"/>
  <c r="AX335" i="28"/>
  <c r="BE335" i="28" s="1"/>
  <c r="AW335" i="28"/>
  <c r="BD335" i="28" s="1"/>
  <c r="AV335" i="28"/>
  <c r="BC335" i="28" s="1"/>
  <c r="AU335" i="28"/>
  <c r="BB335" i="28" s="1"/>
  <c r="AT335" i="28"/>
  <c r="BA335" i="28" s="1"/>
  <c r="AY334" i="28"/>
  <c r="BF334" i="28" s="1"/>
  <c r="AX334" i="28"/>
  <c r="BE334" i="28" s="1"/>
  <c r="AW334" i="28"/>
  <c r="BD334" i="28" s="1"/>
  <c r="AV334" i="28"/>
  <c r="BC334" i="28" s="1"/>
  <c r="AU334" i="28"/>
  <c r="BB334" i="28" s="1"/>
  <c r="AT334" i="28"/>
  <c r="BA334" i="28" s="1"/>
  <c r="AY333" i="28"/>
  <c r="BF333" i="28" s="1"/>
  <c r="AX333" i="28"/>
  <c r="BE333" i="28" s="1"/>
  <c r="AW333" i="28"/>
  <c r="BD333" i="28" s="1"/>
  <c r="AV333" i="28"/>
  <c r="BC333" i="28" s="1"/>
  <c r="AU333" i="28"/>
  <c r="BB333" i="28" s="1"/>
  <c r="AT333" i="28"/>
  <c r="BA333" i="28" s="1"/>
  <c r="AY332" i="28"/>
  <c r="BF332" i="28" s="1"/>
  <c r="AX332" i="28"/>
  <c r="BE332" i="28" s="1"/>
  <c r="AW332" i="28"/>
  <c r="BD332" i="28" s="1"/>
  <c r="AV332" i="28"/>
  <c r="BC332" i="28" s="1"/>
  <c r="AU332" i="28"/>
  <c r="BB332" i="28" s="1"/>
  <c r="AT332" i="28"/>
  <c r="BA332" i="28" s="1"/>
  <c r="AY331" i="28"/>
  <c r="BF331" i="28" s="1"/>
  <c r="AX331" i="28"/>
  <c r="BE331" i="28" s="1"/>
  <c r="AW331" i="28"/>
  <c r="BD331" i="28" s="1"/>
  <c r="AV331" i="28"/>
  <c r="BC331" i="28" s="1"/>
  <c r="AU331" i="28"/>
  <c r="BB331" i="28" s="1"/>
  <c r="AT331" i="28"/>
  <c r="BA331" i="28" s="1"/>
  <c r="AY330" i="28"/>
  <c r="BF330" i="28" s="1"/>
  <c r="AX330" i="28"/>
  <c r="BE330" i="28" s="1"/>
  <c r="AW330" i="28"/>
  <c r="BD330" i="28" s="1"/>
  <c r="AV330" i="28"/>
  <c r="BC330" i="28" s="1"/>
  <c r="AU330" i="28"/>
  <c r="BB330" i="28" s="1"/>
  <c r="AT330" i="28"/>
  <c r="BA330" i="28" s="1"/>
  <c r="AY329" i="28"/>
  <c r="BF329" i="28" s="1"/>
  <c r="AX329" i="28"/>
  <c r="BE329" i="28" s="1"/>
  <c r="AW329" i="28"/>
  <c r="BD329" i="28" s="1"/>
  <c r="AV329" i="28"/>
  <c r="BC329" i="28" s="1"/>
  <c r="AU329" i="28"/>
  <c r="BB329" i="28" s="1"/>
  <c r="AT329" i="28"/>
  <c r="BA329" i="28" s="1"/>
  <c r="AX328" i="28"/>
  <c r="BE328" i="28" s="1"/>
  <c r="AW328" i="28"/>
  <c r="BD328" i="28" s="1"/>
  <c r="AV328" i="28"/>
  <c r="BC328" i="28" s="1"/>
  <c r="AU328" i="28"/>
  <c r="BB328" i="28" s="1"/>
  <c r="AT328" i="28"/>
  <c r="BA328" i="28" s="1"/>
  <c r="AX327" i="28"/>
  <c r="BE327" i="28" s="1"/>
  <c r="AW327" i="28"/>
  <c r="BD327" i="28" s="1"/>
  <c r="AV327" i="28"/>
  <c r="BC327" i="28" s="1"/>
  <c r="AU327" i="28"/>
  <c r="BB327" i="28" s="1"/>
  <c r="AT327" i="28"/>
  <c r="BA327" i="28" s="1"/>
  <c r="AY326" i="28"/>
  <c r="BF326" i="28" s="1"/>
  <c r="AX326" i="28"/>
  <c r="BE326" i="28" s="1"/>
  <c r="AW326" i="28"/>
  <c r="BD326" i="28" s="1"/>
  <c r="AV326" i="28"/>
  <c r="BC326" i="28" s="1"/>
  <c r="AU326" i="28"/>
  <c r="BB326" i="28" s="1"/>
  <c r="AT326" i="28"/>
  <c r="BA326" i="28" s="1"/>
  <c r="AY325" i="28"/>
  <c r="BF325" i="28" s="1"/>
  <c r="AX325" i="28"/>
  <c r="BE325" i="28" s="1"/>
  <c r="AW325" i="28"/>
  <c r="BD325" i="28" s="1"/>
  <c r="AV325" i="28"/>
  <c r="BC325" i="28" s="1"/>
  <c r="AU325" i="28"/>
  <c r="BB325" i="28" s="1"/>
  <c r="AT325" i="28"/>
  <c r="BA325" i="28" s="1"/>
  <c r="AY324" i="28"/>
  <c r="BF324" i="28" s="1"/>
  <c r="AX324" i="28"/>
  <c r="BE324" i="28" s="1"/>
  <c r="AW324" i="28"/>
  <c r="BD324" i="28" s="1"/>
  <c r="AV324" i="28"/>
  <c r="BC324" i="28" s="1"/>
  <c r="AU324" i="28"/>
  <c r="BB324" i="28" s="1"/>
  <c r="AT324" i="28"/>
  <c r="BA324" i="28" s="1"/>
  <c r="AY323" i="28"/>
  <c r="BF323" i="28" s="1"/>
  <c r="AX323" i="28"/>
  <c r="BE323" i="28" s="1"/>
  <c r="AW323" i="28"/>
  <c r="BD323" i="28" s="1"/>
  <c r="AV323" i="28"/>
  <c r="BC323" i="28" s="1"/>
  <c r="AU323" i="28"/>
  <c r="BB323" i="28" s="1"/>
  <c r="AT323" i="28"/>
  <c r="BA323" i="28" s="1"/>
  <c r="AY322" i="28"/>
  <c r="BF322" i="28" s="1"/>
  <c r="AX322" i="28"/>
  <c r="BE322" i="28" s="1"/>
  <c r="AW322" i="28"/>
  <c r="BD322" i="28" s="1"/>
  <c r="AV322" i="28"/>
  <c r="BC322" i="28" s="1"/>
  <c r="AU322" i="28"/>
  <c r="BB322" i="28" s="1"/>
  <c r="AT322" i="28"/>
  <c r="BA322" i="28" s="1"/>
  <c r="AY321" i="28"/>
  <c r="BF321" i="28" s="1"/>
  <c r="AX321" i="28"/>
  <c r="BE321" i="28" s="1"/>
  <c r="AW321" i="28"/>
  <c r="BD321" i="28" s="1"/>
  <c r="AV321" i="28"/>
  <c r="BC321" i="28" s="1"/>
  <c r="AU321" i="28"/>
  <c r="BB321" i="28" s="1"/>
  <c r="AT321" i="28"/>
  <c r="BA321" i="28" s="1"/>
  <c r="AX320" i="28"/>
  <c r="BE320" i="28" s="1"/>
  <c r="AW320" i="28"/>
  <c r="BD320" i="28" s="1"/>
  <c r="AV320" i="28"/>
  <c r="BC320" i="28" s="1"/>
  <c r="AU320" i="28"/>
  <c r="BB320" i="28" s="1"/>
  <c r="AT320" i="28"/>
  <c r="BA320" i="28" s="1"/>
  <c r="AX319" i="28"/>
  <c r="BE319" i="28" s="1"/>
  <c r="AW319" i="28"/>
  <c r="BD319" i="28" s="1"/>
  <c r="AV319" i="28"/>
  <c r="BC319" i="28" s="1"/>
  <c r="AU319" i="28"/>
  <c r="BB319" i="28" s="1"/>
  <c r="AT319" i="28"/>
  <c r="BA319" i="28" s="1"/>
  <c r="AY318" i="28"/>
  <c r="BF318" i="28" s="1"/>
  <c r="AX318" i="28"/>
  <c r="BE318" i="28" s="1"/>
  <c r="AW318" i="28"/>
  <c r="BD318" i="28" s="1"/>
  <c r="AV318" i="28"/>
  <c r="BC318" i="28" s="1"/>
  <c r="AU318" i="28"/>
  <c r="BB318" i="28" s="1"/>
  <c r="AT318" i="28"/>
  <c r="BA318" i="28" s="1"/>
  <c r="AY317" i="28"/>
  <c r="BF317" i="28" s="1"/>
  <c r="AX317" i="28"/>
  <c r="BE317" i="28" s="1"/>
  <c r="AW317" i="28"/>
  <c r="BD317" i="28" s="1"/>
  <c r="AV317" i="28"/>
  <c r="BC317" i="28" s="1"/>
  <c r="AU317" i="28"/>
  <c r="BB317" i="28" s="1"/>
  <c r="AT317" i="28"/>
  <c r="BA317" i="28" s="1"/>
  <c r="AY316" i="28"/>
  <c r="BF316" i="28" s="1"/>
  <c r="AX316" i="28"/>
  <c r="BE316" i="28" s="1"/>
  <c r="AW316" i="28"/>
  <c r="BD316" i="28" s="1"/>
  <c r="AV316" i="28"/>
  <c r="BC316" i="28" s="1"/>
  <c r="AU316" i="28"/>
  <c r="BB316" i="28" s="1"/>
  <c r="AT316" i="28"/>
  <c r="BA316" i="28" s="1"/>
  <c r="AY315" i="28"/>
  <c r="BF315" i="28" s="1"/>
  <c r="AX315" i="28"/>
  <c r="BE315" i="28" s="1"/>
  <c r="AW315" i="28"/>
  <c r="BD315" i="28" s="1"/>
  <c r="AV315" i="28"/>
  <c r="BC315" i="28" s="1"/>
  <c r="AU315" i="28"/>
  <c r="BB315" i="28" s="1"/>
  <c r="AT315" i="28"/>
  <c r="BA315" i="28" s="1"/>
  <c r="AY314" i="28"/>
  <c r="BF314" i="28" s="1"/>
  <c r="AX314" i="28"/>
  <c r="BE314" i="28" s="1"/>
  <c r="AW314" i="28"/>
  <c r="BD314" i="28" s="1"/>
  <c r="AV314" i="28"/>
  <c r="BC314" i="28" s="1"/>
  <c r="AU314" i="28"/>
  <c r="BB314" i="28" s="1"/>
  <c r="AT314" i="28"/>
  <c r="BA314" i="28" s="1"/>
  <c r="AY313" i="28"/>
  <c r="BF313" i="28" s="1"/>
  <c r="AX313" i="28"/>
  <c r="BE313" i="28" s="1"/>
  <c r="AW313" i="28"/>
  <c r="BD313" i="28" s="1"/>
  <c r="AV313" i="28"/>
  <c r="BC313" i="28" s="1"/>
  <c r="AU313" i="28"/>
  <c r="BB313" i="28" s="1"/>
  <c r="AT313" i="28"/>
  <c r="BA313" i="28" s="1"/>
  <c r="AX312" i="28"/>
  <c r="BE312" i="28" s="1"/>
  <c r="AW312" i="28"/>
  <c r="BD312" i="28" s="1"/>
  <c r="AV312" i="28"/>
  <c r="BC312" i="28" s="1"/>
  <c r="AU312" i="28"/>
  <c r="BB312" i="28" s="1"/>
  <c r="AT312" i="28"/>
  <c r="BA312" i="28" s="1"/>
  <c r="AX311" i="28"/>
  <c r="BE311" i="28" s="1"/>
  <c r="AW311" i="28"/>
  <c r="BD311" i="28" s="1"/>
  <c r="AV311" i="28"/>
  <c r="BC311" i="28" s="1"/>
  <c r="AU311" i="28"/>
  <c r="BB311" i="28" s="1"/>
  <c r="AT311" i="28"/>
  <c r="BA311" i="28" s="1"/>
  <c r="AY310" i="28"/>
  <c r="BF310" i="28" s="1"/>
  <c r="AX310" i="28"/>
  <c r="BE310" i="28" s="1"/>
  <c r="AW310" i="28"/>
  <c r="BD310" i="28" s="1"/>
  <c r="AV310" i="28"/>
  <c r="BC310" i="28" s="1"/>
  <c r="AU310" i="28"/>
  <c r="BB310" i="28" s="1"/>
  <c r="AT310" i="28"/>
  <c r="BA310" i="28" s="1"/>
  <c r="AY309" i="28"/>
  <c r="BF309" i="28" s="1"/>
  <c r="AX309" i="28"/>
  <c r="BE309" i="28" s="1"/>
  <c r="AW309" i="28"/>
  <c r="BD309" i="28" s="1"/>
  <c r="AV309" i="28"/>
  <c r="BC309" i="28" s="1"/>
  <c r="AU309" i="28"/>
  <c r="BB309" i="28" s="1"/>
  <c r="AT309" i="28"/>
  <c r="BA309" i="28" s="1"/>
  <c r="AY308" i="28"/>
  <c r="BF308" i="28" s="1"/>
  <c r="AX308" i="28"/>
  <c r="BE308" i="28" s="1"/>
  <c r="AW308" i="28"/>
  <c r="BD308" i="28" s="1"/>
  <c r="AV308" i="28"/>
  <c r="BC308" i="28" s="1"/>
  <c r="AU308" i="28"/>
  <c r="BB308" i="28" s="1"/>
  <c r="AT308" i="28"/>
  <c r="BA308" i="28" s="1"/>
  <c r="AY307" i="28"/>
  <c r="BF307" i="28" s="1"/>
  <c r="AX307" i="28"/>
  <c r="BE307" i="28" s="1"/>
  <c r="AW307" i="28"/>
  <c r="BD307" i="28" s="1"/>
  <c r="AV307" i="28"/>
  <c r="BC307" i="28" s="1"/>
  <c r="AU307" i="28"/>
  <c r="BB307" i="28" s="1"/>
  <c r="AT307" i="28"/>
  <c r="BA307" i="28" s="1"/>
  <c r="AY306" i="28"/>
  <c r="BF306" i="28" s="1"/>
  <c r="AX306" i="28"/>
  <c r="BE306" i="28" s="1"/>
  <c r="AW306" i="28"/>
  <c r="BD306" i="28" s="1"/>
  <c r="AV306" i="28"/>
  <c r="BC306" i="28" s="1"/>
  <c r="AU306" i="28"/>
  <c r="BB306" i="28" s="1"/>
  <c r="AT306" i="28"/>
  <c r="BA306" i="28" s="1"/>
  <c r="AY305" i="28"/>
  <c r="BF305" i="28" s="1"/>
  <c r="AX305" i="28"/>
  <c r="BE305" i="28" s="1"/>
  <c r="AW305" i="28"/>
  <c r="BD305" i="28" s="1"/>
  <c r="AV305" i="28"/>
  <c r="BC305" i="28" s="1"/>
  <c r="AU305" i="28"/>
  <c r="BB305" i="28" s="1"/>
  <c r="AT305" i="28"/>
  <c r="BA305" i="28" s="1"/>
  <c r="AX304" i="28"/>
  <c r="BE304" i="28" s="1"/>
  <c r="AW304" i="28"/>
  <c r="BD304" i="28" s="1"/>
  <c r="AV304" i="28"/>
  <c r="BC304" i="28" s="1"/>
  <c r="AU304" i="28"/>
  <c r="BB304" i="28" s="1"/>
  <c r="AT304" i="28"/>
  <c r="BA304" i="28" s="1"/>
  <c r="AY303" i="28"/>
  <c r="BF303" i="28" s="1"/>
  <c r="AX303" i="28"/>
  <c r="BE303" i="28" s="1"/>
  <c r="AW303" i="28"/>
  <c r="BD303" i="28" s="1"/>
  <c r="AV303" i="28"/>
  <c r="BC303" i="28" s="1"/>
  <c r="AU303" i="28"/>
  <c r="BB303" i="28" s="1"/>
  <c r="AT303" i="28"/>
  <c r="BA303" i="28" s="1"/>
  <c r="AY302" i="28"/>
  <c r="BF302" i="28" s="1"/>
  <c r="AX302" i="28"/>
  <c r="BE302" i="28" s="1"/>
  <c r="AW302" i="28"/>
  <c r="BD302" i="28" s="1"/>
  <c r="AV302" i="28"/>
  <c r="BC302" i="28" s="1"/>
  <c r="AU302" i="28"/>
  <c r="BB302" i="28" s="1"/>
  <c r="AT302" i="28"/>
  <c r="BA302" i="28" s="1"/>
  <c r="AY301" i="28"/>
  <c r="BF301" i="28" s="1"/>
  <c r="AX301" i="28"/>
  <c r="BE301" i="28" s="1"/>
  <c r="AW301" i="28"/>
  <c r="BD301" i="28" s="1"/>
  <c r="AV301" i="28"/>
  <c r="BC301" i="28" s="1"/>
  <c r="AU301" i="28"/>
  <c r="BB301" i="28" s="1"/>
  <c r="AT301" i="28"/>
  <c r="BA301" i="28" s="1"/>
  <c r="AY300" i="28"/>
  <c r="BF300" i="28" s="1"/>
  <c r="AX300" i="28"/>
  <c r="BE300" i="28" s="1"/>
  <c r="AW300" i="28"/>
  <c r="BD300" i="28" s="1"/>
  <c r="AV300" i="28"/>
  <c r="BC300" i="28" s="1"/>
  <c r="AU300" i="28"/>
  <c r="BB300" i="28" s="1"/>
  <c r="AT300" i="28"/>
  <c r="BA300" i="28" s="1"/>
  <c r="AY299" i="28"/>
  <c r="BF299" i="28" s="1"/>
  <c r="AX299" i="28"/>
  <c r="BE299" i="28" s="1"/>
  <c r="AW299" i="28"/>
  <c r="BD299" i="28" s="1"/>
  <c r="AV299" i="28"/>
  <c r="BC299" i="28" s="1"/>
  <c r="AU299" i="28"/>
  <c r="BB299" i="28" s="1"/>
  <c r="AT299" i="28"/>
  <c r="BA299" i="28" s="1"/>
  <c r="AY298" i="28"/>
  <c r="BF298" i="28" s="1"/>
  <c r="AX298" i="28"/>
  <c r="BE298" i="28" s="1"/>
  <c r="AW298" i="28"/>
  <c r="BD298" i="28" s="1"/>
  <c r="AV298" i="28"/>
  <c r="BC298" i="28" s="1"/>
  <c r="AU298" i="28"/>
  <c r="BB298" i="28" s="1"/>
  <c r="AT298" i="28"/>
  <c r="BA298" i="28" s="1"/>
  <c r="AY297" i="28"/>
  <c r="BF297" i="28" s="1"/>
  <c r="AX297" i="28"/>
  <c r="BE297" i="28" s="1"/>
  <c r="AW297" i="28"/>
  <c r="BD297" i="28" s="1"/>
  <c r="AV297" i="28"/>
  <c r="BC297" i="28" s="1"/>
  <c r="AU297" i="28"/>
  <c r="BB297" i="28" s="1"/>
  <c r="AT297" i="28"/>
  <c r="BA297" i="28" s="1"/>
  <c r="AX296" i="28"/>
  <c r="BE296" i="28" s="1"/>
  <c r="AW296" i="28"/>
  <c r="BD296" i="28" s="1"/>
  <c r="AV296" i="28"/>
  <c r="BC296" i="28" s="1"/>
  <c r="AU296" i="28"/>
  <c r="BB296" i="28" s="1"/>
  <c r="AT296" i="28"/>
  <c r="BA296" i="28" s="1"/>
  <c r="AY295" i="28"/>
  <c r="BF295" i="28" s="1"/>
  <c r="AX295" i="28"/>
  <c r="BE295" i="28" s="1"/>
  <c r="AW295" i="28"/>
  <c r="BD295" i="28" s="1"/>
  <c r="AV295" i="28"/>
  <c r="BC295" i="28" s="1"/>
  <c r="AU295" i="28"/>
  <c r="BB295" i="28" s="1"/>
  <c r="AT295" i="28"/>
  <c r="BA295" i="28" s="1"/>
  <c r="AY294" i="28"/>
  <c r="BF294" i="28" s="1"/>
  <c r="AX294" i="28"/>
  <c r="BE294" i="28" s="1"/>
  <c r="AW294" i="28"/>
  <c r="BD294" i="28" s="1"/>
  <c r="AV294" i="28"/>
  <c r="BC294" i="28" s="1"/>
  <c r="AU294" i="28"/>
  <c r="BB294" i="28" s="1"/>
  <c r="AT294" i="28"/>
  <c r="BA294" i="28" s="1"/>
  <c r="AY293" i="28"/>
  <c r="BF293" i="28" s="1"/>
  <c r="AX293" i="28"/>
  <c r="BE293" i="28" s="1"/>
  <c r="AW293" i="28"/>
  <c r="BD293" i="28" s="1"/>
  <c r="AV293" i="28"/>
  <c r="BC293" i="28" s="1"/>
  <c r="AU293" i="28"/>
  <c r="BB293" i="28" s="1"/>
  <c r="AT293" i="28"/>
  <c r="BA293" i="28" s="1"/>
  <c r="AY292" i="28"/>
  <c r="BF292" i="28" s="1"/>
  <c r="AX292" i="28"/>
  <c r="BE292" i="28" s="1"/>
  <c r="AW292" i="28"/>
  <c r="BD292" i="28" s="1"/>
  <c r="AV292" i="28"/>
  <c r="BC292" i="28" s="1"/>
  <c r="AU292" i="28"/>
  <c r="BB292" i="28" s="1"/>
  <c r="AT292" i="28"/>
  <c r="BA292" i="28" s="1"/>
  <c r="AY291" i="28"/>
  <c r="BF291" i="28" s="1"/>
  <c r="AX291" i="28"/>
  <c r="BE291" i="28" s="1"/>
  <c r="AW291" i="28"/>
  <c r="BD291" i="28" s="1"/>
  <c r="AV291" i="28"/>
  <c r="BC291" i="28" s="1"/>
  <c r="AU291" i="28"/>
  <c r="BB291" i="28" s="1"/>
  <c r="AT291" i="28"/>
  <c r="BA291" i="28" s="1"/>
  <c r="AY290" i="28"/>
  <c r="BF290" i="28" s="1"/>
  <c r="AX290" i="28"/>
  <c r="BE290" i="28" s="1"/>
  <c r="AW290" i="28"/>
  <c r="BD290" i="28" s="1"/>
  <c r="AV290" i="28"/>
  <c r="BC290" i="28" s="1"/>
  <c r="AU290" i="28"/>
  <c r="BB290" i="28" s="1"/>
  <c r="AT290" i="28"/>
  <c r="BA290" i="28" s="1"/>
  <c r="AY289" i="28"/>
  <c r="BF289" i="28" s="1"/>
  <c r="AX289" i="28"/>
  <c r="BE289" i="28" s="1"/>
  <c r="AW289" i="28"/>
  <c r="BD289" i="28" s="1"/>
  <c r="AV289" i="28"/>
  <c r="BC289" i="28" s="1"/>
  <c r="AU289" i="28"/>
  <c r="BB289" i="28" s="1"/>
  <c r="AT289" i="28"/>
  <c r="BA289" i="28" s="1"/>
  <c r="AX288" i="28"/>
  <c r="BE288" i="28" s="1"/>
  <c r="AW288" i="28"/>
  <c r="BD288" i="28" s="1"/>
  <c r="AV288" i="28"/>
  <c r="BC288" i="28" s="1"/>
  <c r="AU288" i="28"/>
  <c r="BB288" i="28" s="1"/>
  <c r="AT288" i="28"/>
  <c r="BA288" i="28" s="1"/>
  <c r="AX287" i="28"/>
  <c r="BE287" i="28" s="1"/>
  <c r="AW287" i="28"/>
  <c r="BD287" i="28" s="1"/>
  <c r="AV287" i="28"/>
  <c r="BC287" i="28" s="1"/>
  <c r="AU287" i="28"/>
  <c r="BB287" i="28" s="1"/>
  <c r="AT287" i="28"/>
  <c r="BA287" i="28" s="1"/>
  <c r="AY286" i="28"/>
  <c r="BF286" i="28" s="1"/>
  <c r="AX286" i="28"/>
  <c r="BE286" i="28" s="1"/>
  <c r="AW286" i="28"/>
  <c r="BD286" i="28" s="1"/>
  <c r="AV286" i="28"/>
  <c r="BC286" i="28" s="1"/>
  <c r="AU286" i="28"/>
  <c r="BB286" i="28" s="1"/>
  <c r="AT286" i="28"/>
  <c r="BA286" i="28" s="1"/>
  <c r="AY285" i="28"/>
  <c r="BF285" i="28" s="1"/>
  <c r="AX285" i="28"/>
  <c r="BE285" i="28" s="1"/>
  <c r="AW285" i="28"/>
  <c r="BD285" i="28" s="1"/>
  <c r="AV285" i="28"/>
  <c r="BC285" i="28" s="1"/>
  <c r="AU285" i="28"/>
  <c r="BB285" i="28" s="1"/>
  <c r="AT285" i="28"/>
  <c r="BA285" i="28" s="1"/>
  <c r="AY284" i="28"/>
  <c r="BF284" i="28" s="1"/>
  <c r="AX284" i="28"/>
  <c r="BE284" i="28" s="1"/>
  <c r="AW284" i="28"/>
  <c r="BD284" i="28" s="1"/>
  <c r="AV284" i="28"/>
  <c r="BC284" i="28" s="1"/>
  <c r="AU284" i="28"/>
  <c r="BB284" i="28" s="1"/>
  <c r="AT284" i="28"/>
  <c r="BA284" i="28" s="1"/>
  <c r="AY283" i="28"/>
  <c r="BF283" i="28" s="1"/>
  <c r="AX283" i="28"/>
  <c r="BE283" i="28" s="1"/>
  <c r="AW283" i="28"/>
  <c r="BD283" i="28" s="1"/>
  <c r="AV283" i="28"/>
  <c r="BC283" i="28" s="1"/>
  <c r="AU283" i="28"/>
  <c r="BB283" i="28" s="1"/>
  <c r="AT283" i="28"/>
  <c r="BA283" i="28" s="1"/>
  <c r="AY282" i="28"/>
  <c r="BF282" i="28" s="1"/>
  <c r="AX282" i="28"/>
  <c r="BE282" i="28" s="1"/>
  <c r="AW282" i="28"/>
  <c r="BD282" i="28" s="1"/>
  <c r="AV282" i="28"/>
  <c r="BC282" i="28" s="1"/>
  <c r="AU282" i="28"/>
  <c r="BB282" i="28" s="1"/>
  <c r="AT282" i="28"/>
  <c r="BA282" i="28" s="1"/>
  <c r="AY281" i="28"/>
  <c r="BF281" i="28" s="1"/>
  <c r="AX281" i="28"/>
  <c r="BE281" i="28" s="1"/>
  <c r="AW281" i="28"/>
  <c r="BD281" i="28" s="1"/>
  <c r="AV281" i="28"/>
  <c r="BC281" i="28" s="1"/>
  <c r="AU281" i="28"/>
  <c r="BB281" i="28" s="1"/>
  <c r="AT281" i="28"/>
  <c r="BA281" i="28" s="1"/>
  <c r="AX280" i="28"/>
  <c r="BE280" i="28" s="1"/>
  <c r="AW280" i="28"/>
  <c r="BD280" i="28" s="1"/>
  <c r="AV280" i="28"/>
  <c r="BC280" i="28" s="1"/>
  <c r="AU280" i="28"/>
  <c r="BB280" i="28" s="1"/>
  <c r="AT280" i="28"/>
  <c r="BA280" i="28" s="1"/>
  <c r="AX279" i="28"/>
  <c r="BE279" i="28" s="1"/>
  <c r="AW279" i="28"/>
  <c r="BD279" i="28" s="1"/>
  <c r="AV279" i="28"/>
  <c r="BC279" i="28" s="1"/>
  <c r="AU279" i="28"/>
  <c r="BB279" i="28" s="1"/>
  <c r="AT279" i="28"/>
  <c r="BA279" i="28" s="1"/>
  <c r="AY278" i="28"/>
  <c r="BF278" i="28" s="1"/>
  <c r="AX278" i="28"/>
  <c r="BE278" i="28" s="1"/>
  <c r="AW278" i="28"/>
  <c r="BD278" i="28" s="1"/>
  <c r="AV278" i="28"/>
  <c r="BC278" i="28" s="1"/>
  <c r="AU278" i="28"/>
  <c r="BB278" i="28" s="1"/>
  <c r="AT278" i="28"/>
  <c r="BA278" i="28" s="1"/>
  <c r="AY277" i="28"/>
  <c r="BF277" i="28" s="1"/>
  <c r="AX277" i="28"/>
  <c r="BE277" i="28" s="1"/>
  <c r="AW277" i="28"/>
  <c r="BD277" i="28" s="1"/>
  <c r="AV277" i="28"/>
  <c r="BC277" i="28" s="1"/>
  <c r="AU277" i="28"/>
  <c r="BB277" i="28" s="1"/>
  <c r="AT277" i="28"/>
  <c r="BA277" i="28" s="1"/>
  <c r="AY276" i="28"/>
  <c r="BF276" i="28" s="1"/>
  <c r="AX276" i="28"/>
  <c r="BE276" i="28" s="1"/>
  <c r="AW276" i="28"/>
  <c r="BD276" i="28" s="1"/>
  <c r="AV276" i="28"/>
  <c r="BC276" i="28" s="1"/>
  <c r="AU276" i="28"/>
  <c r="BB276" i="28" s="1"/>
  <c r="AT276" i="28"/>
  <c r="BA276" i="28" s="1"/>
  <c r="AY275" i="28"/>
  <c r="BF275" i="28" s="1"/>
  <c r="AX275" i="28"/>
  <c r="BE275" i="28" s="1"/>
  <c r="AW275" i="28"/>
  <c r="BD275" i="28" s="1"/>
  <c r="AV275" i="28"/>
  <c r="BC275" i="28" s="1"/>
  <c r="AU275" i="28"/>
  <c r="BB275" i="28" s="1"/>
  <c r="AT275" i="28"/>
  <c r="BA275" i="28" s="1"/>
  <c r="AY274" i="28"/>
  <c r="BF274" i="28" s="1"/>
  <c r="AX274" i="28"/>
  <c r="BE274" i="28" s="1"/>
  <c r="AW274" i="28"/>
  <c r="BD274" i="28" s="1"/>
  <c r="AV274" i="28"/>
  <c r="BC274" i="28" s="1"/>
  <c r="AU274" i="28"/>
  <c r="BB274" i="28" s="1"/>
  <c r="AT274" i="28"/>
  <c r="BA274" i="28" s="1"/>
  <c r="AY273" i="28"/>
  <c r="BF273" i="28" s="1"/>
  <c r="AX273" i="28"/>
  <c r="BE273" i="28" s="1"/>
  <c r="AW273" i="28"/>
  <c r="BD273" i="28" s="1"/>
  <c r="AV273" i="28"/>
  <c r="BC273" i="28" s="1"/>
  <c r="AU273" i="28"/>
  <c r="BB273" i="28" s="1"/>
  <c r="AT273" i="28"/>
  <c r="BA273" i="28" s="1"/>
  <c r="AX272" i="28"/>
  <c r="BE272" i="28" s="1"/>
  <c r="AW272" i="28"/>
  <c r="BD272" i="28" s="1"/>
  <c r="AV272" i="28"/>
  <c r="BC272" i="28" s="1"/>
  <c r="AU272" i="28"/>
  <c r="BB272" i="28" s="1"/>
  <c r="AT272" i="28"/>
  <c r="BA272" i="28" s="1"/>
  <c r="AX271" i="28"/>
  <c r="BE271" i="28" s="1"/>
  <c r="AW271" i="28"/>
  <c r="BD271" i="28" s="1"/>
  <c r="AV271" i="28"/>
  <c r="BC271" i="28" s="1"/>
  <c r="AU271" i="28"/>
  <c r="BB271" i="28" s="1"/>
  <c r="AT271" i="28"/>
  <c r="BA271" i="28" s="1"/>
  <c r="AY270" i="28"/>
  <c r="BF270" i="28" s="1"/>
  <c r="AX270" i="28"/>
  <c r="BE270" i="28" s="1"/>
  <c r="AW270" i="28"/>
  <c r="BD270" i="28" s="1"/>
  <c r="AV270" i="28"/>
  <c r="BC270" i="28" s="1"/>
  <c r="AU270" i="28"/>
  <c r="BB270" i="28" s="1"/>
  <c r="AT270" i="28"/>
  <c r="BA270" i="28" s="1"/>
  <c r="AY269" i="28"/>
  <c r="BF269" i="28" s="1"/>
  <c r="AX269" i="28"/>
  <c r="BE269" i="28" s="1"/>
  <c r="AW269" i="28"/>
  <c r="BD269" i="28" s="1"/>
  <c r="AV269" i="28"/>
  <c r="BC269" i="28" s="1"/>
  <c r="AU269" i="28"/>
  <c r="BB269" i="28" s="1"/>
  <c r="AT269" i="28"/>
  <c r="BA269" i="28" s="1"/>
  <c r="AY268" i="28"/>
  <c r="BF268" i="28" s="1"/>
  <c r="AX268" i="28"/>
  <c r="BE268" i="28" s="1"/>
  <c r="AW268" i="28"/>
  <c r="BD268" i="28" s="1"/>
  <c r="AV268" i="28"/>
  <c r="BC268" i="28" s="1"/>
  <c r="AU268" i="28"/>
  <c r="BB268" i="28" s="1"/>
  <c r="AT268" i="28"/>
  <c r="BA268" i="28" s="1"/>
  <c r="AY267" i="28"/>
  <c r="BF267" i="28" s="1"/>
  <c r="AX267" i="28"/>
  <c r="BE267" i="28" s="1"/>
  <c r="AW267" i="28"/>
  <c r="BD267" i="28" s="1"/>
  <c r="AV267" i="28"/>
  <c r="BC267" i="28" s="1"/>
  <c r="AU267" i="28"/>
  <c r="BB267" i="28" s="1"/>
  <c r="AT267" i="28"/>
  <c r="BA267" i="28" s="1"/>
  <c r="AY266" i="28"/>
  <c r="BF266" i="28" s="1"/>
  <c r="AX266" i="28"/>
  <c r="BE266" i="28" s="1"/>
  <c r="AW266" i="28"/>
  <c r="BD266" i="28" s="1"/>
  <c r="AV266" i="28"/>
  <c r="BC266" i="28" s="1"/>
  <c r="AU266" i="28"/>
  <c r="BB266" i="28" s="1"/>
  <c r="AT266" i="28"/>
  <c r="BA266" i="28" s="1"/>
  <c r="AY265" i="28"/>
  <c r="BF265" i="28" s="1"/>
  <c r="AX265" i="28"/>
  <c r="BE265" i="28" s="1"/>
  <c r="AW265" i="28"/>
  <c r="BD265" i="28" s="1"/>
  <c r="AV265" i="28"/>
  <c r="BC265" i="28" s="1"/>
  <c r="AU265" i="28"/>
  <c r="BB265" i="28" s="1"/>
  <c r="AT265" i="28"/>
  <c r="BA265" i="28" s="1"/>
  <c r="AX264" i="28"/>
  <c r="BE264" i="28" s="1"/>
  <c r="AW264" i="28"/>
  <c r="BD264" i="28" s="1"/>
  <c r="AV264" i="28"/>
  <c r="BC264" i="28" s="1"/>
  <c r="AU264" i="28"/>
  <c r="BB264" i="28" s="1"/>
  <c r="AT264" i="28"/>
  <c r="BA264" i="28" s="1"/>
  <c r="AY263" i="28"/>
  <c r="BF263" i="28" s="1"/>
  <c r="AX263" i="28"/>
  <c r="BE263" i="28" s="1"/>
  <c r="AW263" i="28"/>
  <c r="BD263" i="28" s="1"/>
  <c r="AV263" i="28"/>
  <c r="BC263" i="28" s="1"/>
  <c r="AU263" i="28"/>
  <c r="BB263" i="28" s="1"/>
  <c r="AT263" i="28"/>
  <c r="BA263" i="28" s="1"/>
  <c r="AY262" i="28"/>
  <c r="BF262" i="28" s="1"/>
  <c r="AX262" i="28"/>
  <c r="BE262" i="28" s="1"/>
  <c r="AW262" i="28"/>
  <c r="BD262" i="28" s="1"/>
  <c r="AV262" i="28"/>
  <c r="BC262" i="28" s="1"/>
  <c r="AU262" i="28"/>
  <c r="BB262" i="28" s="1"/>
  <c r="AT262" i="28"/>
  <c r="BA262" i="28" s="1"/>
  <c r="AY261" i="28"/>
  <c r="BF261" i="28" s="1"/>
  <c r="AX261" i="28"/>
  <c r="BE261" i="28" s="1"/>
  <c r="AW261" i="28"/>
  <c r="BD261" i="28" s="1"/>
  <c r="AV261" i="28"/>
  <c r="BC261" i="28" s="1"/>
  <c r="AU261" i="28"/>
  <c r="BB261" i="28" s="1"/>
  <c r="AT261" i="28"/>
  <c r="BA261" i="28" s="1"/>
  <c r="AY260" i="28"/>
  <c r="BF260" i="28" s="1"/>
  <c r="AX260" i="28"/>
  <c r="BE260" i="28" s="1"/>
  <c r="AW260" i="28"/>
  <c r="BD260" i="28" s="1"/>
  <c r="AV260" i="28"/>
  <c r="BC260" i="28" s="1"/>
  <c r="AU260" i="28"/>
  <c r="BB260" i="28" s="1"/>
  <c r="AT260" i="28"/>
  <c r="BA260" i="28" s="1"/>
  <c r="AY259" i="28"/>
  <c r="BF259" i="28" s="1"/>
  <c r="AX259" i="28"/>
  <c r="BE259" i="28" s="1"/>
  <c r="AW259" i="28"/>
  <c r="BD259" i="28" s="1"/>
  <c r="AV259" i="28"/>
  <c r="BC259" i="28" s="1"/>
  <c r="AU259" i="28"/>
  <c r="BB259" i="28" s="1"/>
  <c r="AT259" i="28"/>
  <c r="BA259" i="28" s="1"/>
  <c r="AY258" i="28"/>
  <c r="BF258" i="28" s="1"/>
  <c r="AX258" i="28"/>
  <c r="BE258" i="28" s="1"/>
  <c r="AW258" i="28"/>
  <c r="BD258" i="28" s="1"/>
  <c r="AV258" i="28"/>
  <c r="BC258" i="28" s="1"/>
  <c r="AU258" i="28"/>
  <c r="BB258" i="28" s="1"/>
  <c r="AT258" i="28"/>
  <c r="BA258" i="28" s="1"/>
  <c r="AY257" i="28"/>
  <c r="BF257" i="28" s="1"/>
  <c r="AX257" i="28"/>
  <c r="BE257" i="28" s="1"/>
  <c r="AW257" i="28"/>
  <c r="BD257" i="28" s="1"/>
  <c r="AV257" i="28"/>
  <c r="BC257" i="28" s="1"/>
  <c r="AU257" i="28"/>
  <c r="BB257" i="28" s="1"/>
  <c r="AT257" i="28"/>
  <c r="BA257" i="28" s="1"/>
  <c r="AX256" i="28"/>
  <c r="BE256" i="28" s="1"/>
  <c r="AW256" i="28"/>
  <c r="BD256" i="28" s="1"/>
  <c r="AV256" i="28"/>
  <c r="BC256" i="28" s="1"/>
  <c r="AU256" i="28"/>
  <c r="BB256" i="28" s="1"/>
  <c r="AT256" i="28"/>
  <c r="BA256" i="28" s="1"/>
  <c r="AX255" i="28"/>
  <c r="BE255" i="28" s="1"/>
  <c r="AW255" i="28"/>
  <c r="BD255" i="28" s="1"/>
  <c r="AV255" i="28"/>
  <c r="BC255" i="28" s="1"/>
  <c r="AU255" i="28"/>
  <c r="BB255" i="28" s="1"/>
  <c r="AT255" i="28"/>
  <c r="BA255" i="28" s="1"/>
  <c r="AY254" i="28"/>
  <c r="BF254" i="28" s="1"/>
  <c r="AX254" i="28"/>
  <c r="BE254" i="28" s="1"/>
  <c r="AW254" i="28"/>
  <c r="BD254" i="28" s="1"/>
  <c r="AV254" i="28"/>
  <c r="BC254" i="28" s="1"/>
  <c r="AU254" i="28"/>
  <c r="BB254" i="28" s="1"/>
  <c r="AT254" i="28"/>
  <c r="BA254" i="28" s="1"/>
  <c r="AY253" i="28"/>
  <c r="BF253" i="28" s="1"/>
  <c r="AX253" i="28"/>
  <c r="BE253" i="28" s="1"/>
  <c r="AW253" i="28"/>
  <c r="BD253" i="28" s="1"/>
  <c r="AV253" i="28"/>
  <c r="BC253" i="28" s="1"/>
  <c r="AU253" i="28"/>
  <c r="BB253" i="28" s="1"/>
  <c r="AT253" i="28"/>
  <c r="BA253" i="28" s="1"/>
  <c r="AY252" i="28"/>
  <c r="BF252" i="28" s="1"/>
  <c r="AX252" i="28"/>
  <c r="BE252" i="28" s="1"/>
  <c r="AW252" i="28"/>
  <c r="BD252" i="28" s="1"/>
  <c r="AV252" i="28"/>
  <c r="BC252" i="28" s="1"/>
  <c r="AU252" i="28"/>
  <c r="BB252" i="28" s="1"/>
  <c r="AT252" i="28"/>
  <c r="BA252" i="28" s="1"/>
  <c r="AY251" i="28"/>
  <c r="BF251" i="28" s="1"/>
  <c r="AX251" i="28"/>
  <c r="BE251" i="28" s="1"/>
  <c r="AW251" i="28"/>
  <c r="BD251" i="28" s="1"/>
  <c r="AV251" i="28"/>
  <c r="BC251" i="28" s="1"/>
  <c r="AU251" i="28"/>
  <c r="BB251" i="28" s="1"/>
  <c r="AT251" i="28"/>
  <c r="BA251" i="28" s="1"/>
  <c r="AY250" i="28"/>
  <c r="BF250" i="28" s="1"/>
  <c r="AX250" i="28"/>
  <c r="BE250" i="28" s="1"/>
  <c r="AW250" i="28"/>
  <c r="BD250" i="28" s="1"/>
  <c r="AV250" i="28"/>
  <c r="BC250" i="28" s="1"/>
  <c r="AU250" i="28"/>
  <c r="BB250" i="28" s="1"/>
  <c r="AT250" i="28"/>
  <c r="BA250" i="28" s="1"/>
  <c r="AY249" i="28"/>
  <c r="BF249" i="28" s="1"/>
  <c r="AX249" i="28"/>
  <c r="BE249" i="28" s="1"/>
  <c r="AW249" i="28"/>
  <c r="BD249" i="28" s="1"/>
  <c r="AV249" i="28"/>
  <c r="BC249" i="28" s="1"/>
  <c r="AU249" i="28"/>
  <c r="BB249" i="28" s="1"/>
  <c r="AT249" i="28"/>
  <c r="BA249" i="28" s="1"/>
  <c r="AX248" i="28"/>
  <c r="BE248" i="28" s="1"/>
  <c r="AW248" i="28"/>
  <c r="BD248" i="28" s="1"/>
  <c r="AV248" i="28"/>
  <c r="BC248" i="28" s="1"/>
  <c r="AU248" i="28"/>
  <c r="BB248" i="28" s="1"/>
  <c r="AT248" i="28"/>
  <c r="BA248" i="28" s="1"/>
  <c r="AY247" i="28"/>
  <c r="BF247" i="28" s="1"/>
  <c r="AX247" i="28"/>
  <c r="BE247" i="28" s="1"/>
  <c r="AW247" i="28"/>
  <c r="BD247" i="28" s="1"/>
  <c r="AV247" i="28"/>
  <c r="BC247" i="28" s="1"/>
  <c r="AU247" i="28"/>
  <c r="BB247" i="28" s="1"/>
  <c r="AT247" i="28"/>
  <c r="BA247" i="28" s="1"/>
  <c r="AY246" i="28"/>
  <c r="BF246" i="28" s="1"/>
  <c r="AX246" i="28"/>
  <c r="BE246" i="28" s="1"/>
  <c r="AW246" i="28"/>
  <c r="BD246" i="28" s="1"/>
  <c r="AV246" i="28"/>
  <c r="BC246" i="28" s="1"/>
  <c r="AU246" i="28"/>
  <c r="BB246" i="28" s="1"/>
  <c r="AT246" i="28"/>
  <c r="BA246" i="28" s="1"/>
  <c r="AY245" i="28"/>
  <c r="BF245" i="28" s="1"/>
  <c r="AX245" i="28"/>
  <c r="BE245" i="28" s="1"/>
  <c r="AW245" i="28"/>
  <c r="BD245" i="28" s="1"/>
  <c r="AV245" i="28"/>
  <c r="BC245" i="28" s="1"/>
  <c r="AU245" i="28"/>
  <c r="BB245" i="28" s="1"/>
  <c r="AT245" i="28"/>
  <c r="BA245" i="28" s="1"/>
  <c r="AY244" i="28"/>
  <c r="BF244" i="28" s="1"/>
  <c r="AX244" i="28"/>
  <c r="BE244" i="28" s="1"/>
  <c r="AW244" i="28"/>
  <c r="BD244" i="28" s="1"/>
  <c r="AV244" i="28"/>
  <c r="BC244" i="28" s="1"/>
  <c r="AU244" i="28"/>
  <c r="BB244" i="28" s="1"/>
  <c r="AT244" i="28"/>
  <c r="BA244" i="28" s="1"/>
  <c r="AY243" i="28"/>
  <c r="BF243" i="28" s="1"/>
  <c r="AX243" i="28"/>
  <c r="BE243" i="28" s="1"/>
  <c r="AW243" i="28"/>
  <c r="BD243" i="28" s="1"/>
  <c r="AV243" i="28"/>
  <c r="BC243" i="28" s="1"/>
  <c r="AU243" i="28"/>
  <c r="BB243" i="28" s="1"/>
  <c r="AT243" i="28"/>
  <c r="BA243" i="28" s="1"/>
  <c r="AY242" i="28"/>
  <c r="BF242" i="28" s="1"/>
  <c r="AX242" i="28"/>
  <c r="BE242" i="28" s="1"/>
  <c r="AW242" i="28"/>
  <c r="BD242" i="28" s="1"/>
  <c r="AV242" i="28"/>
  <c r="BC242" i="28" s="1"/>
  <c r="AU242" i="28"/>
  <c r="BB242" i="28" s="1"/>
  <c r="AT242" i="28"/>
  <c r="BA242" i="28" s="1"/>
  <c r="AY241" i="28"/>
  <c r="BF241" i="28" s="1"/>
  <c r="AX241" i="28"/>
  <c r="BE241" i="28" s="1"/>
  <c r="AW241" i="28"/>
  <c r="BD241" i="28" s="1"/>
  <c r="AV241" i="28"/>
  <c r="BC241" i="28" s="1"/>
  <c r="AU241" i="28"/>
  <c r="BB241" i="28" s="1"/>
  <c r="AT241" i="28"/>
  <c r="BA241" i="28" s="1"/>
  <c r="AX240" i="28"/>
  <c r="BE240" i="28" s="1"/>
  <c r="AW240" i="28"/>
  <c r="BD240" i="28" s="1"/>
  <c r="AV240" i="28"/>
  <c r="BC240" i="28" s="1"/>
  <c r="AU240" i="28"/>
  <c r="BB240" i="28" s="1"/>
  <c r="AT240" i="28"/>
  <c r="BA240" i="28" s="1"/>
  <c r="AX239" i="28"/>
  <c r="BE239" i="28" s="1"/>
  <c r="AW239" i="28"/>
  <c r="BD239" i="28" s="1"/>
  <c r="AV239" i="28"/>
  <c r="BC239" i="28" s="1"/>
  <c r="AU239" i="28"/>
  <c r="BB239" i="28" s="1"/>
  <c r="AT239" i="28"/>
  <c r="BA239" i="28" s="1"/>
  <c r="AY238" i="28"/>
  <c r="BF238" i="28" s="1"/>
  <c r="AX238" i="28"/>
  <c r="BE238" i="28" s="1"/>
  <c r="AW238" i="28"/>
  <c r="BD238" i="28" s="1"/>
  <c r="AV238" i="28"/>
  <c r="BC238" i="28" s="1"/>
  <c r="AU238" i="28"/>
  <c r="BB238" i="28" s="1"/>
  <c r="AT238" i="28"/>
  <c r="BA238" i="28" s="1"/>
  <c r="AY237" i="28"/>
  <c r="BF237" i="28" s="1"/>
  <c r="AX237" i="28"/>
  <c r="BE237" i="28" s="1"/>
  <c r="AW237" i="28"/>
  <c r="BD237" i="28" s="1"/>
  <c r="AV237" i="28"/>
  <c r="BC237" i="28" s="1"/>
  <c r="AU237" i="28"/>
  <c r="BB237" i="28" s="1"/>
  <c r="AT237" i="28"/>
  <c r="BA237" i="28" s="1"/>
  <c r="AY236" i="28"/>
  <c r="BF236" i="28" s="1"/>
  <c r="AX236" i="28"/>
  <c r="BE236" i="28" s="1"/>
  <c r="AW236" i="28"/>
  <c r="BD236" i="28" s="1"/>
  <c r="AV236" i="28"/>
  <c r="BC236" i="28" s="1"/>
  <c r="AU236" i="28"/>
  <c r="BB236" i="28" s="1"/>
  <c r="AT236" i="28"/>
  <c r="BA236" i="28" s="1"/>
  <c r="AY235" i="28"/>
  <c r="BF235" i="28" s="1"/>
  <c r="AX235" i="28"/>
  <c r="BE235" i="28" s="1"/>
  <c r="AW235" i="28"/>
  <c r="BD235" i="28" s="1"/>
  <c r="AV235" i="28"/>
  <c r="BC235" i="28" s="1"/>
  <c r="AU235" i="28"/>
  <c r="BB235" i="28" s="1"/>
  <c r="AT235" i="28"/>
  <c r="BA235" i="28" s="1"/>
  <c r="AY234" i="28"/>
  <c r="BF234" i="28" s="1"/>
  <c r="AX234" i="28"/>
  <c r="BE234" i="28" s="1"/>
  <c r="AW234" i="28"/>
  <c r="BD234" i="28" s="1"/>
  <c r="AV234" i="28"/>
  <c r="BC234" i="28" s="1"/>
  <c r="AU234" i="28"/>
  <c r="BB234" i="28" s="1"/>
  <c r="AT234" i="28"/>
  <c r="BA234" i="28" s="1"/>
  <c r="AY233" i="28"/>
  <c r="BF233" i="28" s="1"/>
  <c r="AX233" i="28"/>
  <c r="BE233" i="28" s="1"/>
  <c r="AW233" i="28"/>
  <c r="BD233" i="28" s="1"/>
  <c r="AV233" i="28"/>
  <c r="BC233" i="28" s="1"/>
  <c r="AU233" i="28"/>
  <c r="BB233" i="28" s="1"/>
  <c r="AT233" i="28"/>
  <c r="BA233" i="28" s="1"/>
  <c r="AX232" i="28"/>
  <c r="BE232" i="28" s="1"/>
  <c r="AW232" i="28"/>
  <c r="BD232" i="28" s="1"/>
  <c r="AV232" i="28"/>
  <c r="BC232" i="28" s="1"/>
  <c r="AU232" i="28"/>
  <c r="BB232" i="28" s="1"/>
  <c r="AT232" i="28"/>
  <c r="BA232" i="28" s="1"/>
  <c r="AX231" i="28"/>
  <c r="BE231" i="28" s="1"/>
  <c r="AW231" i="28"/>
  <c r="BD231" i="28" s="1"/>
  <c r="AV231" i="28"/>
  <c r="BC231" i="28" s="1"/>
  <c r="AU231" i="28"/>
  <c r="BB231" i="28" s="1"/>
  <c r="AT231" i="28"/>
  <c r="BA231" i="28" s="1"/>
  <c r="AY230" i="28"/>
  <c r="BF230" i="28" s="1"/>
  <c r="AX230" i="28"/>
  <c r="BE230" i="28" s="1"/>
  <c r="AW230" i="28"/>
  <c r="BD230" i="28" s="1"/>
  <c r="AV230" i="28"/>
  <c r="BC230" i="28" s="1"/>
  <c r="AU230" i="28"/>
  <c r="BB230" i="28" s="1"/>
  <c r="AT230" i="28"/>
  <c r="BA230" i="28" s="1"/>
  <c r="AY229" i="28"/>
  <c r="BF229" i="28" s="1"/>
  <c r="AX229" i="28"/>
  <c r="BE229" i="28" s="1"/>
  <c r="AW229" i="28"/>
  <c r="BD229" i="28" s="1"/>
  <c r="AV229" i="28"/>
  <c r="BC229" i="28" s="1"/>
  <c r="AU229" i="28"/>
  <c r="BB229" i="28" s="1"/>
  <c r="AT229" i="28"/>
  <c r="BA229" i="28" s="1"/>
  <c r="AY228" i="28"/>
  <c r="BF228" i="28" s="1"/>
  <c r="AX228" i="28"/>
  <c r="BE228" i="28" s="1"/>
  <c r="AW228" i="28"/>
  <c r="BD228" i="28" s="1"/>
  <c r="AV228" i="28"/>
  <c r="BC228" i="28" s="1"/>
  <c r="AU228" i="28"/>
  <c r="BB228" i="28" s="1"/>
  <c r="AT228" i="28"/>
  <c r="BA228" i="28" s="1"/>
  <c r="AY227" i="28"/>
  <c r="BF227" i="28" s="1"/>
  <c r="AX227" i="28"/>
  <c r="BE227" i="28" s="1"/>
  <c r="AW227" i="28"/>
  <c r="BD227" i="28" s="1"/>
  <c r="AV227" i="28"/>
  <c r="BC227" i="28" s="1"/>
  <c r="AU227" i="28"/>
  <c r="BB227" i="28" s="1"/>
  <c r="AT227" i="28"/>
  <c r="BA227" i="28" s="1"/>
  <c r="AY226" i="28"/>
  <c r="BF226" i="28" s="1"/>
  <c r="AX226" i="28"/>
  <c r="BE226" i="28" s="1"/>
  <c r="AW226" i="28"/>
  <c r="BD226" i="28" s="1"/>
  <c r="AV226" i="28"/>
  <c r="BC226" i="28" s="1"/>
  <c r="AU226" i="28"/>
  <c r="BB226" i="28" s="1"/>
  <c r="AT226" i="28"/>
  <c r="BA226" i="28" s="1"/>
  <c r="AY225" i="28"/>
  <c r="BF225" i="28" s="1"/>
  <c r="AX225" i="28"/>
  <c r="BE225" i="28" s="1"/>
  <c r="AW225" i="28"/>
  <c r="BD225" i="28" s="1"/>
  <c r="AV225" i="28"/>
  <c r="BC225" i="28" s="1"/>
  <c r="AU225" i="28"/>
  <c r="BB225" i="28" s="1"/>
  <c r="AT225" i="28"/>
  <c r="BA225" i="28" s="1"/>
  <c r="AX224" i="28"/>
  <c r="BE224" i="28" s="1"/>
  <c r="AW224" i="28"/>
  <c r="BD224" i="28" s="1"/>
  <c r="AV224" i="28"/>
  <c r="BC224" i="28" s="1"/>
  <c r="AU224" i="28"/>
  <c r="BB224" i="28" s="1"/>
  <c r="AT224" i="28"/>
  <c r="BA224" i="28" s="1"/>
  <c r="AX223" i="28"/>
  <c r="BE223" i="28" s="1"/>
  <c r="AW223" i="28"/>
  <c r="BD223" i="28" s="1"/>
  <c r="AV223" i="28"/>
  <c r="BC223" i="28" s="1"/>
  <c r="AU223" i="28"/>
  <c r="BB223" i="28" s="1"/>
  <c r="AT223" i="28"/>
  <c r="BA223" i="28" s="1"/>
  <c r="AY222" i="28"/>
  <c r="BF222" i="28" s="1"/>
  <c r="AX222" i="28"/>
  <c r="BE222" i="28" s="1"/>
  <c r="AW222" i="28"/>
  <c r="BD222" i="28" s="1"/>
  <c r="AV222" i="28"/>
  <c r="BC222" i="28" s="1"/>
  <c r="AU222" i="28"/>
  <c r="BB222" i="28" s="1"/>
  <c r="AT222" i="28"/>
  <c r="BA222" i="28" s="1"/>
  <c r="AY221" i="28"/>
  <c r="BF221" i="28" s="1"/>
  <c r="AX221" i="28"/>
  <c r="BE221" i="28" s="1"/>
  <c r="AW221" i="28"/>
  <c r="BD221" i="28" s="1"/>
  <c r="AV221" i="28"/>
  <c r="BC221" i="28" s="1"/>
  <c r="AU221" i="28"/>
  <c r="BB221" i="28" s="1"/>
  <c r="AT221" i="28"/>
  <c r="BA221" i="28" s="1"/>
  <c r="AY220" i="28"/>
  <c r="BF220" i="28" s="1"/>
  <c r="AX220" i="28"/>
  <c r="BE220" i="28" s="1"/>
  <c r="AW220" i="28"/>
  <c r="BD220" i="28" s="1"/>
  <c r="AV220" i="28"/>
  <c r="BC220" i="28" s="1"/>
  <c r="AU220" i="28"/>
  <c r="BB220" i="28" s="1"/>
  <c r="AT220" i="28"/>
  <c r="BA220" i="28" s="1"/>
  <c r="AY219" i="28"/>
  <c r="BF219" i="28" s="1"/>
  <c r="AX219" i="28"/>
  <c r="BE219" i="28" s="1"/>
  <c r="AW219" i="28"/>
  <c r="BD219" i="28" s="1"/>
  <c r="AV219" i="28"/>
  <c r="BC219" i="28" s="1"/>
  <c r="AU219" i="28"/>
  <c r="BB219" i="28" s="1"/>
  <c r="AT219" i="28"/>
  <c r="BA219" i="28" s="1"/>
  <c r="AY218" i="28"/>
  <c r="BF218" i="28" s="1"/>
  <c r="AX218" i="28"/>
  <c r="BE218" i="28" s="1"/>
  <c r="AW218" i="28"/>
  <c r="BD218" i="28" s="1"/>
  <c r="AV218" i="28"/>
  <c r="BC218" i="28" s="1"/>
  <c r="AU218" i="28"/>
  <c r="BB218" i="28" s="1"/>
  <c r="AT218" i="28"/>
  <c r="BA218" i="28" s="1"/>
  <c r="AY217" i="28"/>
  <c r="BF217" i="28" s="1"/>
  <c r="AX217" i="28"/>
  <c r="BE217" i="28" s="1"/>
  <c r="AW217" i="28"/>
  <c r="BD217" i="28" s="1"/>
  <c r="AV217" i="28"/>
  <c r="BC217" i="28" s="1"/>
  <c r="AU217" i="28"/>
  <c r="BB217" i="28" s="1"/>
  <c r="AT217" i="28"/>
  <c r="BA217" i="28" s="1"/>
  <c r="AX216" i="28"/>
  <c r="BE216" i="28" s="1"/>
  <c r="AW216" i="28"/>
  <c r="BD216" i="28" s="1"/>
  <c r="AV216" i="28"/>
  <c r="BC216" i="28" s="1"/>
  <c r="AU216" i="28"/>
  <c r="BB216" i="28" s="1"/>
  <c r="AT216" i="28"/>
  <c r="BA216" i="28" s="1"/>
  <c r="AX215" i="28"/>
  <c r="BE215" i="28" s="1"/>
  <c r="AW215" i="28"/>
  <c r="BD215" i="28" s="1"/>
  <c r="AV215" i="28"/>
  <c r="BC215" i="28" s="1"/>
  <c r="AU215" i="28"/>
  <c r="BB215" i="28" s="1"/>
  <c r="AT215" i="28"/>
  <c r="BA215" i="28" s="1"/>
  <c r="AY214" i="28"/>
  <c r="BF214" i="28" s="1"/>
  <c r="AX214" i="28"/>
  <c r="BE214" i="28" s="1"/>
  <c r="AW214" i="28"/>
  <c r="BD214" i="28" s="1"/>
  <c r="AV214" i="28"/>
  <c r="BC214" i="28" s="1"/>
  <c r="AU214" i="28"/>
  <c r="BB214" i="28" s="1"/>
  <c r="AT214" i="28"/>
  <c r="BA214" i="28" s="1"/>
  <c r="AY213" i="28"/>
  <c r="BF213" i="28" s="1"/>
  <c r="AX213" i="28"/>
  <c r="BE213" i="28" s="1"/>
  <c r="AW213" i="28"/>
  <c r="BD213" i="28" s="1"/>
  <c r="AV213" i="28"/>
  <c r="BC213" i="28" s="1"/>
  <c r="AU213" i="28"/>
  <c r="BB213" i="28" s="1"/>
  <c r="AT213" i="28"/>
  <c r="BA213" i="28" s="1"/>
  <c r="AY212" i="28"/>
  <c r="BF212" i="28" s="1"/>
  <c r="AX212" i="28"/>
  <c r="BE212" i="28" s="1"/>
  <c r="AW212" i="28"/>
  <c r="BD212" i="28" s="1"/>
  <c r="AV212" i="28"/>
  <c r="BC212" i="28" s="1"/>
  <c r="AU212" i="28"/>
  <c r="BB212" i="28" s="1"/>
  <c r="AT212" i="28"/>
  <c r="BA212" i="28" s="1"/>
  <c r="AY211" i="28"/>
  <c r="BF211" i="28" s="1"/>
  <c r="AX211" i="28"/>
  <c r="BE211" i="28" s="1"/>
  <c r="AW211" i="28"/>
  <c r="BD211" i="28" s="1"/>
  <c r="AV211" i="28"/>
  <c r="BC211" i="28" s="1"/>
  <c r="AU211" i="28"/>
  <c r="BB211" i="28" s="1"/>
  <c r="AT211" i="28"/>
  <c r="BA211" i="28" s="1"/>
  <c r="AY210" i="28"/>
  <c r="BF210" i="28" s="1"/>
  <c r="AX210" i="28"/>
  <c r="BE210" i="28" s="1"/>
  <c r="AW210" i="28"/>
  <c r="BD210" i="28" s="1"/>
  <c r="AV210" i="28"/>
  <c r="BC210" i="28" s="1"/>
  <c r="AU210" i="28"/>
  <c r="BB210" i="28" s="1"/>
  <c r="AT210" i="28"/>
  <c r="BA210" i="28" s="1"/>
  <c r="AY209" i="28"/>
  <c r="BF209" i="28" s="1"/>
  <c r="AX209" i="28"/>
  <c r="BE209" i="28" s="1"/>
  <c r="AW209" i="28"/>
  <c r="BD209" i="28" s="1"/>
  <c r="AV209" i="28"/>
  <c r="BC209" i="28" s="1"/>
  <c r="AU209" i="28"/>
  <c r="BB209" i="28" s="1"/>
  <c r="AT209" i="28"/>
  <c r="BA209" i="28" s="1"/>
  <c r="AX208" i="28"/>
  <c r="BE208" i="28" s="1"/>
  <c r="AW208" i="28"/>
  <c r="BD208" i="28" s="1"/>
  <c r="AV208" i="28"/>
  <c r="BC208" i="28" s="1"/>
  <c r="AU208" i="28"/>
  <c r="BB208" i="28" s="1"/>
  <c r="AT208" i="28"/>
  <c r="BA208" i="28" s="1"/>
  <c r="AX207" i="28"/>
  <c r="BE207" i="28" s="1"/>
  <c r="AW207" i="28"/>
  <c r="BD207" i="28" s="1"/>
  <c r="AV207" i="28"/>
  <c r="BC207" i="28" s="1"/>
  <c r="AU207" i="28"/>
  <c r="BB207" i="28" s="1"/>
  <c r="AT207" i="28"/>
  <c r="BA207" i="28" s="1"/>
  <c r="AY206" i="28"/>
  <c r="BF206" i="28" s="1"/>
  <c r="AX206" i="28"/>
  <c r="BE206" i="28" s="1"/>
  <c r="AW206" i="28"/>
  <c r="BD206" i="28" s="1"/>
  <c r="AV206" i="28"/>
  <c r="BC206" i="28" s="1"/>
  <c r="AU206" i="28"/>
  <c r="BB206" i="28" s="1"/>
  <c r="AT206" i="28"/>
  <c r="BA206" i="28" s="1"/>
  <c r="AY205" i="28"/>
  <c r="BF205" i="28" s="1"/>
  <c r="AX205" i="28"/>
  <c r="BE205" i="28" s="1"/>
  <c r="AW205" i="28"/>
  <c r="BD205" i="28" s="1"/>
  <c r="AV205" i="28"/>
  <c r="BC205" i="28" s="1"/>
  <c r="AU205" i="28"/>
  <c r="BB205" i="28" s="1"/>
  <c r="AT205" i="28"/>
  <c r="BA205" i="28" s="1"/>
  <c r="AY204" i="28"/>
  <c r="BF204" i="28" s="1"/>
  <c r="AX204" i="28"/>
  <c r="BE204" i="28" s="1"/>
  <c r="AW204" i="28"/>
  <c r="BD204" i="28" s="1"/>
  <c r="AV204" i="28"/>
  <c r="BC204" i="28" s="1"/>
  <c r="AU204" i="28"/>
  <c r="BB204" i="28" s="1"/>
  <c r="AT204" i="28"/>
  <c r="BA204" i="28" s="1"/>
  <c r="AY203" i="28"/>
  <c r="BF203" i="28" s="1"/>
  <c r="AX203" i="28"/>
  <c r="BE203" i="28" s="1"/>
  <c r="AW203" i="28"/>
  <c r="BD203" i="28" s="1"/>
  <c r="AV203" i="28"/>
  <c r="BC203" i="28" s="1"/>
  <c r="AU203" i="28"/>
  <c r="BB203" i="28" s="1"/>
  <c r="AT203" i="28"/>
  <c r="BA203" i="28" s="1"/>
  <c r="AY202" i="28"/>
  <c r="BF202" i="28" s="1"/>
  <c r="AX202" i="28"/>
  <c r="BE202" i="28" s="1"/>
  <c r="AW202" i="28"/>
  <c r="BD202" i="28" s="1"/>
  <c r="AV202" i="28"/>
  <c r="BC202" i="28" s="1"/>
  <c r="AU202" i="28"/>
  <c r="BB202" i="28" s="1"/>
  <c r="AT202" i="28"/>
  <c r="BA202" i="28" s="1"/>
  <c r="AY201" i="28"/>
  <c r="BF201" i="28" s="1"/>
  <c r="AX201" i="28"/>
  <c r="BE201" i="28" s="1"/>
  <c r="AW201" i="28"/>
  <c r="BD201" i="28" s="1"/>
  <c r="AV201" i="28"/>
  <c r="BC201" i="28" s="1"/>
  <c r="AU201" i="28"/>
  <c r="BB201" i="28" s="1"/>
  <c r="AT201" i="28"/>
  <c r="BA201" i="28" s="1"/>
  <c r="AX200" i="28"/>
  <c r="BE200" i="28" s="1"/>
  <c r="AW200" i="28"/>
  <c r="BD200" i="28" s="1"/>
  <c r="AV200" i="28"/>
  <c r="BC200" i="28" s="1"/>
  <c r="AU200" i="28"/>
  <c r="BB200" i="28" s="1"/>
  <c r="AT200" i="28"/>
  <c r="BA200" i="28" s="1"/>
  <c r="AX199" i="28"/>
  <c r="BE199" i="28" s="1"/>
  <c r="AW199" i="28"/>
  <c r="BD199" i="28" s="1"/>
  <c r="AV199" i="28"/>
  <c r="BC199" i="28" s="1"/>
  <c r="AU199" i="28"/>
  <c r="BB199" i="28" s="1"/>
  <c r="AT199" i="28"/>
  <c r="BA199" i="28" s="1"/>
  <c r="AY198" i="28"/>
  <c r="BF198" i="28" s="1"/>
  <c r="AX198" i="28"/>
  <c r="BE198" i="28" s="1"/>
  <c r="AW198" i="28"/>
  <c r="BD198" i="28" s="1"/>
  <c r="AV198" i="28"/>
  <c r="BC198" i="28" s="1"/>
  <c r="AU198" i="28"/>
  <c r="BB198" i="28" s="1"/>
  <c r="AT198" i="28"/>
  <c r="BA198" i="28" s="1"/>
  <c r="AY197" i="28"/>
  <c r="BF197" i="28" s="1"/>
  <c r="AX197" i="28"/>
  <c r="BE197" i="28" s="1"/>
  <c r="AW197" i="28"/>
  <c r="BD197" i="28" s="1"/>
  <c r="AV197" i="28"/>
  <c r="BC197" i="28" s="1"/>
  <c r="AU197" i="28"/>
  <c r="BB197" i="28" s="1"/>
  <c r="AT197" i="28"/>
  <c r="BA197" i="28" s="1"/>
  <c r="AY196" i="28"/>
  <c r="BF196" i="28" s="1"/>
  <c r="AX196" i="28"/>
  <c r="BE196" i="28" s="1"/>
  <c r="AW196" i="28"/>
  <c r="BD196" i="28" s="1"/>
  <c r="AV196" i="28"/>
  <c r="BC196" i="28" s="1"/>
  <c r="AU196" i="28"/>
  <c r="BB196" i="28" s="1"/>
  <c r="AT196" i="28"/>
  <c r="BA196" i="28" s="1"/>
  <c r="AY195" i="28"/>
  <c r="BF195" i="28" s="1"/>
  <c r="AX195" i="28"/>
  <c r="BE195" i="28" s="1"/>
  <c r="AW195" i="28"/>
  <c r="BD195" i="28" s="1"/>
  <c r="AV195" i="28"/>
  <c r="BC195" i="28" s="1"/>
  <c r="AU195" i="28"/>
  <c r="BB195" i="28" s="1"/>
  <c r="AT195" i="28"/>
  <c r="BA195" i="28" s="1"/>
  <c r="AY194" i="28"/>
  <c r="BF194" i="28" s="1"/>
  <c r="AX194" i="28"/>
  <c r="BE194" i="28" s="1"/>
  <c r="AW194" i="28"/>
  <c r="BD194" i="28" s="1"/>
  <c r="AV194" i="28"/>
  <c r="BC194" i="28" s="1"/>
  <c r="AU194" i="28"/>
  <c r="BB194" i="28" s="1"/>
  <c r="AT194" i="28"/>
  <c r="BA194" i="28" s="1"/>
  <c r="AY193" i="28"/>
  <c r="BF193" i="28" s="1"/>
  <c r="AX193" i="28"/>
  <c r="BE193" i="28" s="1"/>
  <c r="AW193" i="28"/>
  <c r="BD193" i="28" s="1"/>
  <c r="AV193" i="28"/>
  <c r="BC193" i="28" s="1"/>
  <c r="AU193" i="28"/>
  <c r="BB193" i="28" s="1"/>
  <c r="AT193" i="28"/>
  <c r="BA193" i="28" s="1"/>
  <c r="AX192" i="28"/>
  <c r="BE192" i="28" s="1"/>
  <c r="AW192" i="28"/>
  <c r="BD192" i="28" s="1"/>
  <c r="AV192" i="28"/>
  <c r="BC192" i="28" s="1"/>
  <c r="AU192" i="28"/>
  <c r="BB192" i="28" s="1"/>
  <c r="AT192" i="28"/>
  <c r="BA192" i="28" s="1"/>
  <c r="AY191" i="28"/>
  <c r="BF191" i="28" s="1"/>
  <c r="AX191" i="28"/>
  <c r="BE191" i="28" s="1"/>
  <c r="AW191" i="28"/>
  <c r="BD191" i="28" s="1"/>
  <c r="AV191" i="28"/>
  <c r="BC191" i="28" s="1"/>
  <c r="AU191" i="28"/>
  <c r="BB191" i="28" s="1"/>
  <c r="AT191" i="28"/>
  <c r="BA191" i="28" s="1"/>
  <c r="AY190" i="28"/>
  <c r="BF190" i="28" s="1"/>
  <c r="AX190" i="28"/>
  <c r="BE190" i="28" s="1"/>
  <c r="AW190" i="28"/>
  <c r="BD190" i="28" s="1"/>
  <c r="AV190" i="28"/>
  <c r="BC190" i="28" s="1"/>
  <c r="AU190" i="28"/>
  <c r="BB190" i="28" s="1"/>
  <c r="AT190" i="28"/>
  <c r="BA190" i="28" s="1"/>
  <c r="AY189" i="28"/>
  <c r="BF189" i="28" s="1"/>
  <c r="AX189" i="28"/>
  <c r="BE189" i="28" s="1"/>
  <c r="AW189" i="28"/>
  <c r="BD189" i="28" s="1"/>
  <c r="AV189" i="28"/>
  <c r="BC189" i="28" s="1"/>
  <c r="AU189" i="28"/>
  <c r="BB189" i="28" s="1"/>
  <c r="AT189" i="28"/>
  <c r="BA189" i="28" s="1"/>
  <c r="AY188" i="28"/>
  <c r="BF188" i="28" s="1"/>
  <c r="AX188" i="28"/>
  <c r="BE188" i="28" s="1"/>
  <c r="AW188" i="28"/>
  <c r="BD188" i="28" s="1"/>
  <c r="AV188" i="28"/>
  <c r="BC188" i="28" s="1"/>
  <c r="AU188" i="28"/>
  <c r="BB188" i="28" s="1"/>
  <c r="AT188" i="28"/>
  <c r="BA188" i="28" s="1"/>
  <c r="AY187" i="28"/>
  <c r="BF187" i="28" s="1"/>
  <c r="AX187" i="28"/>
  <c r="BE187" i="28" s="1"/>
  <c r="AW187" i="28"/>
  <c r="BD187" i="28" s="1"/>
  <c r="AV187" i="28"/>
  <c r="BC187" i="28" s="1"/>
  <c r="AU187" i="28"/>
  <c r="BB187" i="28" s="1"/>
  <c r="AT187" i="28"/>
  <c r="BA187" i="28" s="1"/>
  <c r="AY186" i="28"/>
  <c r="BF186" i="28" s="1"/>
  <c r="AX186" i="28"/>
  <c r="BE186" i="28" s="1"/>
  <c r="AW186" i="28"/>
  <c r="BD186" i="28" s="1"/>
  <c r="AV186" i="28"/>
  <c r="BC186" i="28" s="1"/>
  <c r="AU186" i="28"/>
  <c r="BB186" i="28" s="1"/>
  <c r="AT186" i="28"/>
  <c r="BA186" i="28" s="1"/>
  <c r="AY185" i="28"/>
  <c r="BF185" i="28" s="1"/>
  <c r="AX185" i="28"/>
  <c r="BE185" i="28" s="1"/>
  <c r="AW185" i="28"/>
  <c r="BD185" i="28" s="1"/>
  <c r="AV185" i="28"/>
  <c r="BC185" i="28" s="1"/>
  <c r="AU185" i="28"/>
  <c r="BB185" i="28" s="1"/>
  <c r="AT185" i="28"/>
  <c r="BA185" i="28" s="1"/>
  <c r="AX184" i="28"/>
  <c r="BE184" i="28" s="1"/>
  <c r="AW184" i="28"/>
  <c r="BD184" i="28" s="1"/>
  <c r="AV184" i="28"/>
  <c r="BC184" i="28" s="1"/>
  <c r="AU184" i="28"/>
  <c r="BB184" i="28" s="1"/>
  <c r="AT184" i="28"/>
  <c r="BA184" i="28" s="1"/>
  <c r="AX183" i="28"/>
  <c r="BE183" i="28" s="1"/>
  <c r="AW183" i="28"/>
  <c r="BD183" i="28" s="1"/>
  <c r="AV183" i="28"/>
  <c r="BC183" i="28" s="1"/>
  <c r="AU183" i="28"/>
  <c r="BB183" i="28" s="1"/>
  <c r="AT183" i="28"/>
  <c r="BA183" i="28" s="1"/>
  <c r="AY182" i="28"/>
  <c r="BF182" i="28" s="1"/>
  <c r="AX182" i="28"/>
  <c r="BE182" i="28" s="1"/>
  <c r="AW182" i="28"/>
  <c r="BD182" i="28" s="1"/>
  <c r="AV182" i="28"/>
  <c r="BC182" i="28" s="1"/>
  <c r="AU182" i="28"/>
  <c r="BB182" i="28" s="1"/>
  <c r="AT182" i="28"/>
  <c r="BA182" i="28" s="1"/>
  <c r="AY181" i="28"/>
  <c r="BF181" i="28" s="1"/>
  <c r="AX181" i="28"/>
  <c r="BE181" i="28" s="1"/>
  <c r="AW181" i="28"/>
  <c r="BD181" i="28" s="1"/>
  <c r="AV181" i="28"/>
  <c r="BC181" i="28" s="1"/>
  <c r="AU181" i="28"/>
  <c r="BB181" i="28" s="1"/>
  <c r="AT181" i="28"/>
  <c r="BA181" i="28" s="1"/>
  <c r="AY180" i="28"/>
  <c r="BF180" i="28" s="1"/>
  <c r="AX180" i="28"/>
  <c r="BE180" i="28" s="1"/>
  <c r="AW180" i="28"/>
  <c r="BD180" i="28" s="1"/>
  <c r="AV180" i="28"/>
  <c r="BC180" i="28" s="1"/>
  <c r="AU180" i="28"/>
  <c r="BB180" i="28" s="1"/>
  <c r="AT180" i="28"/>
  <c r="BA180" i="28" s="1"/>
  <c r="AY179" i="28"/>
  <c r="BF179" i="28" s="1"/>
  <c r="AX179" i="28"/>
  <c r="BE179" i="28" s="1"/>
  <c r="AW179" i="28"/>
  <c r="BD179" i="28" s="1"/>
  <c r="AV179" i="28"/>
  <c r="BC179" i="28" s="1"/>
  <c r="AU179" i="28"/>
  <c r="BB179" i="28" s="1"/>
  <c r="AT179" i="28"/>
  <c r="BA179" i="28" s="1"/>
  <c r="AY178" i="28"/>
  <c r="BF178" i="28" s="1"/>
  <c r="AX178" i="28"/>
  <c r="BE178" i="28" s="1"/>
  <c r="AW178" i="28"/>
  <c r="BD178" i="28" s="1"/>
  <c r="AV178" i="28"/>
  <c r="BC178" i="28" s="1"/>
  <c r="AU178" i="28"/>
  <c r="BB178" i="28" s="1"/>
  <c r="AT178" i="28"/>
  <c r="BA178" i="28" s="1"/>
  <c r="AY177" i="28"/>
  <c r="BF177" i="28" s="1"/>
  <c r="AX177" i="28"/>
  <c r="BE177" i="28" s="1"/>
  <c r="AW177" i="28"/>
  <c r="BD177" i="28" s="1"/>
  <c r="AV177" i="28"/>
  <c r="BC177" i="28" s="1"/>
  <c r="AU177" i="28"/>
  <c r="BB177" i="28" s="1"/>
  <c r="AT177" i="28"/>
  <c r="BA177" i="28" s="1"/>
  <c r="AX176" i="28"/>
  <c r="BE176" i="28" s="1"/>
  <c r="AW176" i="28"/>
  <c r="BD176" i="28" s="1"/>
  <c r="AV176" i="28"/>
  <c r="BC176" i="28" s="1"/>
  <c r="AU176" i="28"/>
  <c r="BB176" i="28" s="1"/>
  <c r="AT176" i="28"/>
  <c r="BA176" i="28" s="1"/>
  <c r="AX175" i="28"/>
  <c r="BE175" i="28" s="1"/>
  <c r="AW175" i="28"/>
  <c r="BD175" i="28" s="1"/>
  <c r="AV175" i="28"/>
  <c r="BC175" i="28" s="1"/>
  <c r="AU175" i="28"/>
  <c r="BB175" i="28" s="1"/>
  <c r="AT175" i="28"/>
  <c r="BA175" i="28" s="1"/>
  <c r="AY174" i="28"/>
  <c r="BF174" i="28" s="1"/>
  <c r="AX174" i="28"/>
  <c r="BE174" i="28" s="1"/>
  <c r="AW174" i="28"/>
  <c r="BD174" i="28" s="1"/>
  <c r="AV174" i="28"/>
  <c r="BC174" i="28" s="1"/>
  <c r="AU174" i="28"/>
  <c r="BB174" i="28" s="1"/>
  <c r="AT174" i="28"/>
  <c r="BA174" i="28" s="1"/>
  <c r="AY173" i="28"/>
  <c r="BF173" i="28" s="1"/>
  <c r="AX173" i="28"/>
  <c r="BE173" i="28" s="1"/>
  <c r="AW173" i="28"/>
  <c r="BD173" i="28" s="1"/>
  <c r="AV173" i="28"/>
  <c r="BC173" i="28" s="1"/>
  <c r="AU173" i="28"/>
  <c r="BB173" i="28" s="1"/>
  <c r="AT173" i="28"/>
  <c r="BA173" i="28" s="1"/>
  <c r="AY172" i="28"/>
  <c r="BF172" i="28" s="1"/>
  <c r="AX172" i="28"/>
  <c r="BE172" i="28" s="1"/>
  <c r="AW172" i="28"/>
  <c r="BD172" i="28" s="1"/>
  <c r="AV172" i="28"/>
  <c r="BC172" i="28" s="1"/>
  <c r="AU172" i="28"/>
  <c r="BB172" i="28" s="1"/>
  <c r="AT172" i="28"/>
  <c r="BA172" i="28" s="1"/>
  <c r="AY171" i="28"/>
  <c r="BF171" i="28" s="1"/>
  <c r="AX171" i="28"/>
  <c r="BE171" i="28" s="1"/>
  <c r="AW171" i="28"/>
  <c r="BD171" i="28" s="1"/>
  <c r="AV171" i="28"/>
  <c r="BC171" i="28" s="1"/>
  <c r="AU171" i="28"/>
  <c r="BB171" i="28" s="1"/>
  <c r="AT171" i="28"/>
  <c r="BA171" i="28" s="1"/>
  <c r="AY170" i="28"/>
  <c r="BF170" i="28" s="1"/>
  <c r="AX170" i="28"/>
  <c r="BE170" i="28" s="1"/>
  <c r="AW170" i="28"/>
  <c r="BD170" i="28" s="1"/>
  <c r="AV170" i="28"/>
  <c r="BC170" i="28" s="1"/>
  <c r="AU170" i="28"/>
  <c r="BB170" i="28" s="1"/>
  <c r="AT170" i="28"/>
  <c r="BA170" i="28" s="1"/>
  <c r="AY169" i="28"/>
  <c r="BF169" i="28" s="1"/>
  <c r="AX169" i="28"/>
  <c r="BE169" i="28" s="1"/>
  <c r="AW169" i="28"/>
  <c r="BD169" i="28" s="1"/>
  <c r="AV169" i="28"/>
  <c r="BC169" i="28" s="1"/>
  <c r="AU169" i="28"/>
  <c r="BB169" i="28" s="1"/>
  <c r="AT169" i="28"/>
  <c r="BA169" i="28" s="1"/>
  <c r="AX168" i="28"/>
  <c r="BE168" i="28" s="1"/>
  <c r="AW168" i="28"/>
  <c r="BD168" i="28" s="1"/>
  <c r="AV168" i="28"/>
  <c r="BC168" i="28" s="1"/>
  <c r="AU168" i="28"/>
  <c r="BB168" i="28" s="1"/>
  <c r="AT168" i="28"/>
  <c r="BA168" i="28" s="1"/>
  <c r="AX167" i="28"/>
  <c r="BE167" i="28" s="1"/>
  <c r="AW167" i="28"/>
  <c r="BD167" i="28" s="1"/>
  <c r="AV167" i="28"/>
  <c r="BC167" i="28" s="1"/>
  <c r="AU167" i="28"/>
  <c r="BB167" i="28" s="1"/>
  <c r="AT167" i="28"/>
  <c r="BA167" i="28" s="1"/>
  <c r="AY166" i="28"/>
  <c r="BF166" i="28" s="1"/>
  <c r="AX166" i="28"/>
  <c r="BE166" i="28" s="1"/>
  <c r="AW166" i="28"/>
  <c r="BD166" i="28" s="1"/>
  <c r="AV166" i="28"/>
  <c r="BC166" i="28" s="1"/>
  <c r="AU166" i="28"/>
  <c r="BB166" i="28" s="1"/>
  <c r="AT166" i="28"/>
  <c r="BA166" i="28" s="1"/>
  <c r="AY165" i="28"/>
  <c r="BF165" i="28" s="1"/>
  <c r="AX165" i="28"/>
  <c r="BE165" i="28" s="1"/>
  <c r="AW165" i="28"/>
  <c r="BD165" i="28" s="1"/>
  <c r="AV165" i="28"/>
  <c r="BC165" i="28" s="1"/>
  <c r="AU165" i="28"/>
  <c r="BB165" i="28" s="1"/>
  <c r="AT165" i="28"/>
  <c r="BA165" i="28" s="1"/>
  <c r="AY164" i="28"/>
  <c r="BF164" i="28" s="1"/>
  <c r="AX164" i="28"/>
  <c r="BE164" i="28" s="1"/>
  <c r="AW164" i="28"/>
  <c r="BD164" i="28" s="1"/>
  <c r="AV164" i="28"/>
  <c r="BC164" i="28" s="1"/>
  <c r="AU164" i="28"/>
  <c r="BB164" i="28" s="1"/>
  <c r="AT164" i="28"/>
  <c r="BA164" i="28" s="1"/>
  <c r="AY163" i="28"/>
  <c r="BF163" i="28" s="1"/>
  <c r="AX163" i="28"/>
  <c r="BE163" i="28" s="1"/>
  <c r="AW163" i="28"/>
  <c r="BD163" i="28" s="1"/>
  <c r="AV163" i="28"/>
  <c r="BC163" i="28" s="1"/>
  <c r="AU163" i="28"/>
  <c r="BB163" i="28" s="1"/>
  <c r="AT163" i="28"/>
  <c r="BA163" i="28" s="1"/>
  <c r="AY162" i="28"/>
  <c r="BF162" i="28" s="1"/>
  <c r="AX162" i="28"/>
  <c r="BE162" i="28" s="1"/>
  <c r="AW162" i="28"/>
  <c r="BD162" i="28" s="1"/>
  <c r="AV162" i="28"/>
  <c r="BC162" i="28" s="1"/>
  <c r="AU162" i="28"/>
  <c r="BB162" i="28" s="1"/>
  <c r="AT162" i="28"/>
  <c r="BA162" i="28" s="1"/>
  <c r="AY161" i="28"/>
  <c r="BF161" i="28" s="1"/>
  <c r="AX161" i="28"/>
  <c r="BE161" i="28" s="1"/>
  <c r="AW161" i="28"/>
  <c r="BD161" i="28" s="1"/>
  <c r="AV161" i="28"/>
  <c r="BC161" i="28" s="1"/>
  <c r="AU161" i="28"/>
  <c r="BB161" i="28" s="1"/>
  <c r="AT161" i="28"/>
  <c r="BA161" i="28" s="1"/>
  <c r="AX160" i="28"/>
  <c r="BE160" i="28" s="1"/>
  <c r="AW160" i="28"/>
  <c r="BD160" i="28" s="1"/>
  <c r="AV160" i="28"/>
  <c r="BC160" i="28" s="1"/>
  <c r="AU160" i="28"/>
  <c r="BB160" i="28" s="1"/>
  <c r="AT160" i="28"/>
  <c r="BA160" i="28" s="1"/>
  <c r="AY159" i="28"/>
  <c r="BF159" i="28" s="1"/>
  <c r="AX159" i="28"/>
  <c r="BE159" i="28" s="1"/>
  <c r="AW159" i="28"/>
  <c r="BD159" i="28" s="1"/>
  <c r="AV159" i="28"/>
  <c r="BC159" i="28" s="1"/>
  <c r="AU159" i="28"/>
  <c r="BB159" i="28" s="1"/>
  <c r="AT159" i="28"/>
  <c r="BA159" i="28" s="1"/>
  <c r="AY158" i="28"/>
  <c r="BF158" i="28" s="1"/>
  <c r="AX158" i="28"/>
  <c r="BE158" i="28" s="1"/>
  <c r="AW158" i="28"/>
  <c r="BD158" i="28" s="1"/>
  <c r="AV158" i="28"/>
  <c r="BC158" i="28" s="1"/>
  <c r="AU158" i="28"/>
  <c r="BB158" i="28" s="1"/>
  <c r="AT158" i="28"/>
  <c r="BA158" i="28" s="1"/>
  <c r="AY157" i="28"/>
  <c r="BF157" i="28" s="1"/>
  <c r="AX157" i="28"/>
  <c r="BE157" i="28" s="1"/>
  <c r="AW157" i="28"/>
  <c r="BD157" i="28" s="1"/>
  <c r="AV157" i="28"/>
  <c r="BC157" i="28" s="1"/>
  <c r="AU157" i="28"/>
  <c r="BB157" i="28" s="1"/>
  <c r="AT157" i="28"/>
  <c r="BA157" i="28" s="1"/>
  <c r="AY156" i="28"/>
  <c r="BF156" i="28" s="1"/>
  <c r="AX156" i="28"/>
  <c r="BE156" i="28" s="1"/>
  <c r="AW156" i="28"/>
  <c r="BD156" i="28" s="1"/>
  <c r="AV156" i="28"/>
  <c r="BC156" i="28" s="1"/>
  <c r="AU156" i="28"/>
  <c r="BB156" i="28" s="1"/>
  <c r="AT156" i="28"/>
  <c r="BA156" i="28" s="1"/>
  <c r="AY155" i="28"/>
  <c r="BF155" i="28" s="1"/>
  <c r="AX155" i="28"/>
  <c r="BE155" i="28" s="1"/>
  <c r="AW155" i="28"/>
  <c r="BD155" i="28" s="1"/>
  <c r="AV155" i="28"/>
  <c r="BC155" i="28" s="1"/>
  <c r="AU155" i="28"/>
  <c r="BB155" i="28" s="1"/>
  <c r="AT155" i="28"/>
  <c r="BA155" i="28" s="1"/>
  <c r="AY154" i="28"/>
  <c r="BF154" i="28" s="1"/>
  <c r="AX154" i="28"/>
  <c r="BE154" i="28" s="1"/>
  <c r="AW154" i="28"/>
  <c r="BD154" i="28" s="1"/>
  <c r="AV154" i="28"/>
  <c r="BC154" i="28" s="1"/>
  <c r="AU154" i="28"/>
  <c r="BB154" i="28" s="1"/>
  <c r="AT154" i="28"/>
  <c r="BA154" i="28" s="1"/>
  <c r="AY153" i="28"/>
  <c r="BF153" i="28" s="1"/>
  <c r="AX153" i="28"/>
  <c r="BE153" i="28" s="1"/>
  <c r="AW153" i="28"/>
  <c r="BD153" i="28" s="1"/>
  <c r="AV153" i="28"/>
  <c r="BC153" i="28" s="1"/>
  <c r="AU153" i="28"/>
  <c r="BB153" i="28" s="1"/>
  <c r="AT153" i="28"/>
  <c r="BA153" i="28" s="1"/>
  <c r="AX152" i="28"/>
  <c r="BE152" i="28" s="1"/>
  <c r="AW152" i="28"/>
  <c r="BD152" i="28" s="1"/>
  <c r="AV152" i="28"/>
  <c r="BC152" i="28" s="1"/>
  <c r="AU152" i="28"/>
  <c r="BB152" i="28" s="1"/>
  <c r="AT152" i="28"/>
  <c r="BA152" i="28" s="1"/>
  <c r="AX151" i="28"/>
  <c r="BE151" i="28" s="1"/>
  <c r="AW151" i="28"/>
  <c r="BD151" i="28" s="1"/>
  <c r="AV151" i="28"/>
  <c r="BC151" i="28" s="1"/>
  <c r="AU151" i="28"/>
  <c r="BB151" i="28" s="1"/>
  <c r="AT151" i="28"/>
  <c r="BA151" i="28" s="1"/>
  <c r="AY150" i="28"/>
  <c r="BF150" i="28" s="1"/>
  <c r="AX150" i="28"/>
  <c r="BE150" i="28" s="1"/>
  <c r="AW150" i="28"/>
  <c r="BD150" i="28" s="1"/>
  <c r="AV150" i="28"/>
  <c r="BC150" i="28" s="1"/>
  <c r="AU150" i="28"/>
  <c r="BB150" i="28" s="1"/>
  <c r="AT150" i="28"/>
  <c r="BA150" i="28" s="1"/>
  <c r="AY149" i="28"/>
  <c r="BF149" i="28" s="1"/>
  <c r="AX149" i="28"/>
  <c r="BE149" i="28" s="1"/>
  <c r="AW149" i="28"/>
  <c r="BD149" i="28" s="1"/>
  <c r="AV149" i="28"/>
  <c r="BC149" i="28" s="1"/>
  <c r="AU149" i="28"/>
  <c r="BB149" i="28" s="1"/>
  <c r="AT149" i="28"/>
  <c r="BA149" i="28" s="1"/>
  <c r="AY148" i="28"/>
  <c r="BF148" i="28" s="1"/>
  <c r="AX148" i="28"/>
  <c r="BE148" i="28" s="1"/>
  <c r="AW148" i="28"/>
  <c r="BD148" i="28" s="1"/>
  <c r="AV148" i="28"/>
  <c r="BC148" i="28" s="1"/>
  <c r="AU148" i="28"/>
  <c r="BB148" i="28" s="1"/>
  <c r="AT148" i="28"/>
  <c r="BA148" i="28" s="1"/>
  <c r="AY147" i="28"/>
  <c r="BF147" i="28" s="1"/>
  <c r="AX147" i="28"/>
  <c r="BE147" i="28" s="1"/>
  <c r="AW147" i="28"/>
  <c r="BD147" i="28" s="1"/>
  <c r="AV147" i="28"/>
  <c r="BC147" i="28" s="1"/>
  <c r="AU147" i="28"/>
  <c r="BB147" i="28" s="1"/>
  <c r="AT147" i="28"/>
  <c r="BA147" i="28" s="1"/>
  <c r="AY146" i="28"/>
  <c r="BF146" i="28" s="1"/>
  <c r="AX146" i="28"/>
  <c r="BE146" i="28" s="1"/>
  <c r="AW146" i="28"/>
  <c r="BD146" i="28" s="1"/>
  <c r="AV146" i="28"/>
  <c r="BC146" i="28" s="1"/>
  <c r="AU146" i="28"/>
  <c r="BB146" i="28" s="1"/>
  <c r="AT146" i="28"/>
  <c r="BA146" i="28" s="1"/>
  <c r="AY145" i="28"/>
  <c r="BF145" i="28" s="1"/>
  <c r="AX145" i="28"/>
  <c r="BE145" i="28" s="1"/>
  <c r="AW145" i="28"/>
  <c r="BD145" i="28" s="1"/>
  <c r="AV145" i="28"/>
  <c r="BC145" i="28" s="1"/>
  <c r="AU145" i="28"/>
  <c r="BB145" i="28" s="1"/>
  <c r="AT145" i="28"/>
  <c r="BA145" i="28" s="1"/>
  <c r="AX144" i="28"/>
  <c r="BE144" i="28" s="1"/>
  <c r="AW144" i="28"/>
  <c r="BD144" i="28" s="1"/>
  <c r="AV144" i="28"/>
  <c r="BC144" i="28" s="1"/>
  <c r="AU144" i="28"/>
  <c r="BB144" i="28" s="1"/>
  <c r="AT144" i="28"/>
  <c r="BA144" i="28" s="1"/>
  <c r="AX143" i="28"/>
  <c r="BE143" i="28" s="1"/>
  <c r="AW143" i="28"/>
  <c r="BD143" i="28" s="1"/>
  <c r="AV143" i="28"/>
  <c r="BC143" i="28" s="1"/>
  <c r="AU143" i="28"/>
  <c r="BB143" i="28" s="1"/>
  <c r="AT143" i="28"/>
  <c r="BA143" i="28" s="1"/>
  <c r="AY142" i="28"/>
  <c r="BF142" i="28" s="1"/>
  <c r="AX142" i="28"/>
  <c r="BE142" i="28" s="1"/>
  <c r="AW142" i="28"/>
  <c r="BD142" i="28" s="1"/>
  <c r="AV142" i="28"/>
  <c r="BC142" i="28" s="1"/>
  <c r="AU142" i="28"/>
  <c r="BB142" i="28" s="1"/>
  <c r="AT142" i="28"/>
  <c r="BA142" i="28" s="1"/>
  <c r="AY141" i="28"/>
  <c r="BF141" i="28" s="1"/>
  <c r="AX141" i="28"/>
  <c r="BE141" i="28" s="1"/>
  <c r="AW141" i="28"/>
  <c r="BD141" i="28" s="1"/>
  <c r="AV141" i="28"/>
  <c r="BC141" i="28" s="1"/>
  <c r="AU141" i="28"/>
  <c r="BB141" i="28" s="1"/>
  <c r="AT141" i="28"/>
  <c r="BA141" i="28" s="1"/>
  <c r="AY140" i="28"/>
  <c r="BF140" i="28" s="1"/>
  <c r="AX140" i="28"/>
  <c r="BE140" i="28" s="1"/>
  <c r="AW140" i="28"/>
  <c r="BD140" i="28" s="1"/>
  <c r="AV140" i="28"/>
  <c r="BC140" i="28" s="1"/>
  <c r="AU140" i="28"/>
  <c r="BB140" i="28" s="1"/>
  <c r="AT140" i="28"/>
  <c r="BA140" i="28" s="1"/>
  <c r="AY139" i="28"/>
  <c r="BF139" i="28" s="1"/>
  <c r="AX139" i="28"/>
  <c r="BE139" i="28" s="1"/>
  <c r="AW139" i="28"/>
  <c r="BD139" i="28" s="1"/>
  <c r="AV139" i="28"/>
  <c r="BC139" i="28" s="1"/>
  <c r="AU139" i="28"/>
  <c r="BB139" i="28" s="1"/>
  <c r="AT139" i="28"/>
  <c r="BA139" i="28" s="1"/>
  <c r="AY138" i="28"/>
  <c r="BF138" i="28" s="1"/>
  <c r="AX138" i="28"/>
  <c r="BE138" i="28" s="1"/>
  <c r="AW138" i="28"/>
  <c r="BD138" i="28" s="1"/>
  <c r="AV138" i="28"/>
  <c r="BC138" i="28" s="1"/>
  <c r="AU138" i="28"/>
  <c r="BB138" i="28" s="1"/>
  <c r="AT138" i="28"/>
  <c r="BA138" i="28" s="1"/>
  <c r="AY137" i="28"/>
  <c r="BF137" i="28" s="1"/>
  <c r="AX137" i="28"/>
  <c r="BE137" i="28" s="1"/>
  <c r="AW137" i="28"/>
  <c r="BD137" i="28" s="1"/>
  <c r="AV137" i="28"/>
  <c r="BC137" i="28" s="1"/>
  <c r="AU137" i="28"/>
  <c r="BB137" i="28" s="1"/>
  <c r="AT137" i="28"/>
  <c r="BA137" i="28" s="1"/>
  <c r="AX136" i="28"/>
  <c r="BE136" i="28" s="1"/>
  <c r="AW136" i="28"/>
  <c r="BD136" i="28" s="1"/>
  <c r="AV136" i="28"/>
  <c r="BC136" i="28" s="1"/>
  <c r="AU136" i="28"/>
  <c r="BB136" i="28" s="1"/>
  <c r="AT136" i="28"/>
  <c r="BA136" i="28" s="1"/>
  <c r="AX135" i="28"/>
  <c r="BE135" i="28" s="1"/>
  <c r="AW135" i="28"/>
  <c r="BD135" i="28" s="1"/>
  <c r="AV135" i="28"/>
  <c r="BC135" i="28" s="1"/>
  <c r="AU135" i="28"/>
  <c r="BB135" i="28" s="1"/>
  <c r="AT135" i="28"/>
  <c r="BA135" i="28" s="1"/>
  <c r="AY134" i="28"/>
  <c r="BF134" i="28" s="1"/>
  <c r="AX134" i="28"/>
  <c r="BE134" i="28" s="1"/>
  <c r="AW134" i="28"/>
  <c r="BD134" i="28" s="1"/>
  <c r="AV134" i="28"/>
  <c r="BC134" i="28" s="1"/>
  <c r="AU134" i="28"/>
  <c r="BB134" i="28" s="1"/>
  <c r="AT134" i="28"/>
  <c r="BA134" i="28" s="1"/>
  <c r="AY133" i="28"/>
  <c r="BF133" i="28" s="1"/>
  <c r="AX133" i="28"/>
  <c r="BE133" i="28" s="1"/>
  <c r="AW133" i="28"/>
  <c r="BD133" i="28" s="1"/>
  <c r="AV133" i="28"/>
  <c r="BC133" i="28" s="1"/>
  <c r="AU133" i="28"/>
  <c r="BB133" i="28" s="1"/>
  <c r="AT133" i="28"/>
  <c r="BA133" i="28" s="1"/>
  <c r="AY132" i="28"/>
  <c r="BF132" i="28" s="1"/>
  <c r="AX132" i="28"/>
  <c r="BE132" i="28" s="1"/>
  <c r="AW132" i="28"/>
  <c r="BD132" i="28" s="1"/>
  <c r="AV132" i="28"/>
  <c r="BC132" i="28" s="1"/>
  <c r="AU132" i="28"/>
  <c r="BB132" i="28" s="1"/>
  <c r="AT132" i="28"/>
  <c r="BA132" i="28" s="1"/>
  <c r="AY131" i="28"/>
  <c r="BF131" i="28" s="1"/>
  <c r="AX131" i="28"/>
  <c r="BE131" i="28" s="1"/>
  <c r="AW131" i="28"/>
  <c r="BD131" i="28" s="1"/>
  <c r="AV131" i="28"/>
  <c r="BC131" i="28" s="1"/>
  <c r="AU131" i="28"/>
  <c r="BB131" i="28" s="1"/>
  <c r="AT131" i="28"/>
  <c r="BA131" i="28" s="1"/>
  <c r="AY130" i="28"/>
  <c r="BF130" i="28" s="1"/>
  <c r="AX130" i="28"/>
  <c r="BE130" i="28" s="1"/>
  <c r="AW130" i="28"/>
  <c r="BD130" i="28" s="1"/>
  <c r="AV130" i="28"/>
  <c r="BC130" i="28" s="1"/>
  <c r="AU130" i="28"/>
  <c r="BB130" i="28" s="1"/>
  <c r="AT130" i="28"/>
  <c r="BA130" i="28" s="1"/>
  <c r="AY129" i="28"/>
  <c r="BF129" i="28" s="1"/>
  <c r="AX129" i="28"/>
  <c r="BE129" i="28" s="1"/>
  <c r="AW129" i="28"/>
  <c r="BD129" i="28" s="1"/>
  <c r="AV129" i="28"/>
  <c r="BC129" i="28" s="1"/>
  <c r="AU129" i="28"/>
  <c r="BB129" i="28" s="1"/>
  <c r="AT129" i="28"/>
  <c r="BA129" i="28" s="1"/>
  <c r="AX128" i="28"/>
  <c r="BE128" i="28" s="1"/>
  <c r="AW128" i="28"/>
  <c r="BD128" i="28" s="1"/>
  <c r="AV128" i="28"/>
  <c r="BC128" i="28" s="1"/>
  <c r="AU128" i="28"/>
  <c r="BB128" i="28" s="1"/>
  <c r="AT128" i="28"/>
  <c r="BA128" i="28" s="1"/>
  <c r="AX127" i="28"/>
  <c r="BE127" i="28" s="1"/>
  <c r="AW127" i="28"/>
  <c r="BD127" i="28" s="1"/>
  <c r="AV127" i="28"/>
  <c r="BC127" i="28" s="1"/>
  <c r="AU127" i="28"/>
  <c r="BB127" i="28" s="1"/>
  <c r="AT127" i="28"/>
  <c r="BA127" i="28" s="1"/>
  <c r="AY126" i="28"/>
  <c r="BF126" i="28" s="1"/>
  <c r="AX126" i="28"/>
  <c r="BE126" i="28" s="1"/>
  <c r="AW126" i="28"/>
  <c r="BD126" i="28" s="1"/>
  <c r="AV126" i="28"/>
  <c r="BC126" i="28" s="1"/>
  <c r="AU126" i="28"/>
  <c r="BB126" i="28" s="1"/>
  <c r="AT126" i="28"/>
  <c r="BA126" i="28" s="1"/>
  <c r="AY125" i="28"/>
  <c r="BF125" i="28" s="1"/>
  <c r="AX125" i="28"/>
  <c r="BE125" i="28" s="1"/>
  <c r="AW125" i="28"/>
  <c r="BD125" i="28" s="1"/>
  <c r="AV125" i="28"/>
  <c r="BC125" i="28" s="1"/>
  <c r="AU125" i="28"/>
  <c r="BB125" i="28" s="1"/>
  <c r="AT125" i="28"/>
  <c r="BA125" i="28" s="1"/>
  <c r="AY124" i="28"/>
  <c r="BF124" i="28" s="1"/>
  <c r="AX124" i="28"/>
  <c r="BE124" i="28" s="1"/>
  <c r="AW124" i="28"/>
  <c r="BD124" i="28" s="1"/>
  <c r="AV124" i="28"/>
  <c r="BC124" i="28" s="1"/>
  <c r="AU124" i="28"/>
  <c r="BB124" i="28" s="1"/>
  <c r="AT124" i="28"/>
  <c r="BA124" i="28" s="1"/>
  <c r="AY123" i="28"/>
  <c r="BF123" i="28" s="1"/>
  <c r="AX123" i="28"/>
  <c r="BE123" i="28" s="1"/>
  <c r="AW123" i="28"/>
  <c r="BD123" i="28" s="1"/>
  <c r="AV123" i="28"/>
  <c r="BC123" i="28" s="1"/>
  <c r="AU123" i="28"/>
  <c r="BB123" i="28" s="1"/>
  <c r="AT123" i="28"/>
  <c r="BA123" i="28" s="1"/>
  <c r="AY122" i="28"/>
  <c r="BF122" i="28" s="1"/>
  <c r="AX122" i="28"/>
  <c r="BE122" i="28" s="1"/>
  <c r="AW122" i="28"/>
  <c r="BD122" i="28" s="1"/>
  <c r="AV122" i="28"/>
  <c r="BC122" i="28" s="1"/>
  <c r="AU122" i="28"/>
  <c r="BB122" i="28" s="1"/>
  <c r="AT122" i="28"/>
  <c r="BA122" i="28" s="1"/>
  <c r="AY121" i="28"/>
  <c r="BF121" i="28" s="1"/>
  <c r="AX121" i="28"/>
  <c r="BE121" i="28" s="1"/>
  <c r="AW121" i="28"/>
  <c r="BD121" i="28" s="1"/>
  <c r="AV121" i="28"/>
  <c r="BC121" i="28" s="1"/>
  <c r="AU121" i="28"/>
  <c r="BB121" i="28" s="1"/>
  <c r="AT121" i="28"/>
  <c r="BA121" i="28" s="1"/>
  <c r="AX120" i="28"/>
  <c r="BE120" i="28" s="1"/>
  <c r="AW120" i="28"/>
  <c r="BD120" i="28" s="1"/>
  <c r="AV120" i="28"/>
  <c r="BC120" i="28" s="1"/>
  <c r="AU120" i="28"/>
  <c r="BB120" i="28" s="1"/>
  <c r="AT120" i="28"/>
  <c r="BA120" i="28" s="1"/>
  <c r="AX119" i="28"/>
  <c r="BE119" i="28" s="1"/>
  <c r="AW119" i="28"/>
  <c r="BD119" i="28" s="1"/>
  <c r="AV119" i="28"/>
  <c r="BC119" i="28" s="1"/>
  <c r="AU119" i="28"/>
  <c r="BB119" i="28" s="1"/>
  <c r="AT119" i="28"/>
  <c r="BA119" i="28" s="1"/>
  <c r="AY118" i="28"/>
  <c r="BF118" i="28" s="1"/>
  <c r="AX118" i="28"/>
  <c r="BE118" i="28" s="1"/>
  <c r="AW118" i="28"/>
  <c r="BD118" i="28" s="1"/>
  <c r="AV118" i="28"/>
  <c r="BC118" i="28" s="1"/>
  <c r="AU118" i="28"/>
  <c r="BB118" i="28" s="1"/>
  <c r="AT118" i="28"/>
  <c r="BA118" i="28" s="1"/>
  <c r="AY117" i="28"/>
  <c r="BF117" i="28" s="1"/>
  <c r="AX117" i="28"/>
  <c r="BE117" i="28" s="1"/>
  <c r="AW117" i="28"/>
  <c r="BD117" i="28" s="1"/>
  <c r="AV117" i="28"/>
  <c r="BC117" i="28" s="1"/>
  <c r="AU117" i="28"/>
  <c r="BB117" i="28" s="1"/>
  <c r="AT117" i="28"/>
  <c r="BA117" i="28" s="1"/>
  <c r="AY116" i="28"/>
  <c r="BF116" i="28" s="1"/>
  <c r="AX116" i="28"/>
  <c r="BE116" i="28" s="1"/>
  <c r="AW116" i="28"/>
  <c r="BD116" i="28" s="1"/>
  <c r="AV116" i="28"/>
  <c r="BC116" i="28" s="1"/>
  <c r="AU116" i="28"/>
  <c r="BB116" i="28" s="1"/>
  <c r="AT116" i="28"/>
  <c r="BA116" i="28" s="1"/>
  <c r="AY115" i="28"/>
  <c r="BF115" i="28" s="1"/>
  <c r="AX115" i="28"/>
  <c r="BE115" i="28" s="1"/>
  <c r="AW115" i="28"/>
  <c r="BD115" i="28" s="1"/>
  <c r="AV115" i="28"/>
  <c r="BC115" i="28" s="1"/>
  <c r="AU115" i="28"/>
  <c r="BB115" i="28" s="1"/>
  <c r="AT115" i="28"/>
  <c r="BA115" i="28" s="1"/>
  <c r="AY114" i="28"/>
  <c r="BF114" i="28" s="1"/>
  <c r="AX114" i="28"/>
  <c r="BE114" i="28" s="1"/>
  <c r="AW114" i="28"/>
  <c r="BD114" i="28" s="1"/>
  <c r="AV114" i="28"/>
  <c r="BC114" i="28" s="1"/>
  <c r="AU114" i="28"/>
  <c r="BB114" i="28" s="1"/>
  <c r="AT114" i="28"/>
  <c r="BA114" i="28" s="1"/>
  <c r="AY113" i="28"/>
  <c r="BF113" i="28" s="1"/>
  <c r="AX113" i="28"/>
  <c r="BE113" i="28" s="1"/>
  <c r="AW113" i="28"/>
  <c r="BD113" i="28" s="1"/>
  <c r="AV113" i="28"/>
  <c r="BC113" i="28" s="1"/>
  <c r="AU113" i="28"/>
  <c r="BB113" i="28" s="1"/>
  <c r="AT113" i="28"/>
  <c r="BA113" i="28" s="1"/>
  <c r="AX112" i="28"/>
  <c r="BE112" i="28" s="1"/>
  <c r="AW112" i="28"/>
  <c r="BD112" i="28" s="1"/>
  <c r="AV112" i="28"/>
  <c r="BC112" i="28" s="1"/>
  <c r="AU112" i="28"/>
  <c r="BB112" i="28" s="1"/>
  <c r="AT112" i="28"/>
  <c r="BA112" i="28" s="1"/>
  <c r="AX111" i="28"/>
  <c r="BE111" i="28" s="1"/>
  <c r="AW111" i="28"/>
  <c r="BD111" i="28" s="1"/>
  <c r="AV111" i="28"/>
  <c r="BC111" i="28" s="1"/>
  <c r="AU111" i="28"/>
  <c r="BB111" i="28" s="1"/>
  <c r="AT111" i="28"/>
  <c r="BA111" i="28" s="1"/>
  <c r="AY110" i="28"/>
  <c r="BF110" i="28" s="1"/>
  <c r="AX110" i="28"/>
  <c r="BE110" i="28" s="1"/>
  <c r="AW110" i="28"/>
  <c r="BD110" i="28" s="1"/>
  <c r="AV110" i="28"/>
  <c r="BC110" i="28" s="1"/>
  <c r="AU110" i="28"/>
  <c r="BB110" i="28" s="1"/>
  <c r="AT110" i="28"/>
  <c r="BA110" i="28" s="1"/>
  <c r="AY109" i="28"/>
  <c r="BF109" i="28" s="1"/>
  <c r="AX109" i="28"/>
  <c r="BE109" i="28" s="1"/>
  <c r="AW109" i="28"/>
  <c r="BD109" i="28" s="1"/>
  <c r="AV109" i="28"/>
  <c r="BC109" i="28" s="1"/>
  <c r="AU109" i="28"/>
  <c r="BB109" i="28" s="1"/>
  <c r="AT109" i="28"/>
  <c r="BA109" i="28" s="1"/>
  <c r="AY108" i="28"/>
  <c r="BF108" i="28" s="1"/>
  <c r="AX108" i="28"/>
  <c r="BE108" i="28" s="1"/>
  <c r="AW108" i="28"/>
  <c r="BD108" i="28" s="1"/>
  <c r="AV108" i="28"/>
  <c r="BC108" i="28" s="1"/>
  <c r="AU108" i="28"/>
  <c r="BB108" i="28" s="1"/>
  <c r="AT108" i="28"/>
  <c r="BA108" i="28" s="1"/>
  <c r="AY107" i="28"/>
  <c r="BF107" i="28" s="1"/>
  <c r="AX107" i="28"/>
  <c r="BE107" i="28" s="1"/>
  <c r="AW107" i="28"/>
  <c r="BD107" i="28" s="1"/>
  <c r="AV107" i="28"/>
  <c r="BC107" i="28" s="1"/>
  <c r="AU107" i="28"/>
  <c r="BB107" i="28" s="1"/>
  <c r="AT107" i="28"/>
  <c r="BA107" i="28" s="1"/>
  <c r="AY106" i="28"/>
  <c r="BF106" i="28" s="1"/>
  <c r="AX106" i="28"/>
  <c r="BE106" i="28" s="1"/>
  <c r="AW106" i="28"/>
  <c r="BD106" i="28" s="1"/>
  <c r="AV106" i="28"/>
  <c r="BC106" i="28" s="1"/>
  <c r="AU106" i="28"/>
  <c r="BB106" i="28" s="1"/>
  <c r="AT106" i="28"/>
  <c r="BA106" i="28" s="1"/>
  <c r="AY105" i="28"/>
  <c r="BF105" i="28" s="1"/>
  <c r="AX105" i="28"/>
  <c r="BE105" i="28" s="1"/>
  <c r="AW105" i="28"/>
  <c r="BD105" i="28" s="1"/>
  <c r="AV105" i="28"/>
  <c r="BC105" i="28" s="1"/>
  <c r="AU105" i="28"/>
  <c r="BB105" i="28" s="1"/>
  <c r="AT105" i="28"/>
  <c r="BA105" i="28" s="1"/>
  <c r="AX104" i="28"/>
  <c r="BE104" i="28" s="1"/>
  <c r="AW104" i="28"/>
  <c r="BD104" i="28" s="1"/>
  <c r="AV104" i="28"/>
  <c r="BC104" i="28" s="1"/>
  <c r="AU104" i="28"/>
  <c r="BB104" i="28" s="1"/>
  <c r="AT104" i="28"/>
  <c r="BA104" i="28" s="1"/>
  <c r="AX103" i="28"/>
  <c r="BE103" i="28" s="1"/>
  <c r="AW103" i="28"/>
  <c r="BD103" i="28" s="1"/>
  <c r="AV103" i="28"/>
  <c r="BC103" i="28" s="1"/>
  <c r="AU103" i="28"/>
  <c r="BB103" i="28" s="1"/>
  <c r="AT103" i="28"/>
  <c r="BA103" i="28" s="1"/>
  <c r="AY102" i="28"/>
  <c r="BF102" i="28" s="1"/>
  <c r="AX102" i="28"/>
  <c r="BE102" i="28" s="1"/>
  <c r="AW102" i="28"/>
  <c r="BD102" i="28" s="1"/>
  <c r="AV102" i="28"/>
  <c r="BC102" i="28" s="1"/>
  <c r="AU102" i="28"/>
  <c r="BB102" i="28" s="1"/>
  <c r="AT102" i="28"/>
  <c r="BA102" i="28" s="1"/>
  <c r="AY101" i="28"/>
  <c r="BF101" i="28" s="1"/>
  <c r="AX101" i="28"/>
  <c r="BE101" i="28" s="1"/>
  <c r="AW101" i="28"/>
  <c r="BD101" i="28" s="1"/>
  <c r="AV101" i="28"/>
  <c r="BC101" i="28" s="1"/>
  <c r="AU101" i="28"/>
  <c r="BB101" i="28" s="1"/>
  <c r="AT101" i="28"/>
  <c r="BA101" i="28" s="1"/>
  <c r="AY100" i="28"/>
  <c r="BF100" i="28" s="1"/>
  <c r="AX100" i="28"/>
  <c r="BE100" i="28" s="1"/>
  <c r="AW100" i="28"/>
  <c r="BD100" i="28" s="1"/>
  <c r="AV100" i="28"/>
  <c r="BC100" i="28" s="1"/>
  <c r="AU100" i="28"/>
  <c r="BB100" i="28" s="1"/>
  <c r="AT100" i="28"/>
  <c r="BA100" i="28" s="1"/>
  <c r="AY99" i="28"/>
  <c r="BF99" i="28" s="1"/>
  <c r="AX99" i="28"/>
  <c r="BE99" i="28" s="1"/>
  <c r="AW99" i="28"/>
  <c r="BD99" i="28" s="1"/>
  <c r="AV99" i="28"/>
  <c r="BC99" i="28" s="1"/>
  <c r="AU99" i="28"/>
  <c r="BB99" i="28" s="1"/>
  <c r="AT99" i="28"/>
  <c r="BA99" i="28" s="1"/>
  <c r="AY98" i="28"/>
  <c r="BF98" i="28" s="1"/>
  <c r="AX98" i="28"/>
  <c r="BE98" i="28" s="1"/>
  <c r="AW98" i="28"/>
  <c r="BD98" i="28" s="1"/>
  <c r="AV98" i="28"/>
  <c r="BC98" i="28" s="1"/>
  <c r="AU98" i="28"/>
  <c r="BB98" i="28" s="1"/>
  <c r="AT98" i="28"/>
  <c r="BA98" i="28" s="1"/>
  <c r="AY97" i="28"/>
  <c r="BF97" i="28" s="1"/>
  <c r="AX97" i="28"/>
  <c r="BE97" i="28" s="1"/>
  <c r="AW97" i="28"/>
  <c r="BD97" i="28" s="1"/>
  <c r="AV97" i="28"/>
  <c r="BC97" i="28" s="1"/>
  <c r="AU97" i="28"/>
  <c r="BB97" i="28" s="1"/>
  <c r="AT97" i="28"/>
  <c r="BA97" i="28" s="1"/>
  <c r="AX96" i="28"/>
  <c r="BE96" i="28" s="1"/>
  <c r="AW96" i="28"/>
  <c r="BD96" i="28" s="1"/>
  <c r="AV96" i="28"/>
  <c r="BC96" i="28" s="1"/>
  <c r="AU96" i="28"/>
  <c r="BB96" i="28" s="1"/>
  <c r="AT96" i="28"/>
  <c r="BA96" i="28" s="1"/>
  <c r="AX95" i="28"/>
  <c r="BE95" i="28" s="1"/>
  <c r="AW95" i="28"/>
  <c r="BD95" i="28" s="1"/>
  <c r="AV95" i="28"/>
  <c r="BC95" i="28" s="1"/>
  <c r="AU95" i="28"/>
  <c r="BB95" i="28" s="1"/>
  <c r="AT95" i="28"/>
  <c r="BA95" i="28" s="1"/>
  <c r="AY94" i="28"/>
  <c r="BF94" i="28" s="1"/>
  <c r="AX94" i="28"/>
  <c r="BE94" i="28" s="1"/>
  <c r="AW94" i="28"/>
  <c r="BD94" i="28" s="1"/>
  <c r="AV94" i="28"/>
  <c r="BC94" i="28" s="1"/>
  <c r="AU94" i="28"/>
  <c r="BB94" i="28" s="1"/>
  <c r="AT94" i="28"/>
  <c r="BA94" i="28" s="1"/>
  <c r="AY93" i="28"/>
  <c r="BF93" i="28" s="1"/>
  <c r="AX93" i="28"/>
  <c r="BE93" i="28" s="1"/>
  <c r="AW93" i="28"/>
  <c r="BD93" i="28" s="1"/>
  <c r="AV93" i="28"/>
  <c r="BC93" i="28" s="1"/>
  <c r="AU93" i="28"/>
  <c r="BB93" i="28" s="1"/>
  <c r="AT93" i="28"/>
  <c r="BA93" i="28" s="1"/>
  <c r="AY92" i="28"/>
  <c r="BF92" i="28" s="1"/>
  <c r="AX92" i="28"/>
  <c r="BE92" i="28" s="1"/>
  <c r="AW92" i="28"/>
  <c r="BD92" i="28" s="1"/>
  <c r="AV92" i="28"/>
  <c r="BC92" i="28" s="1"/>
  <c r="AU92" i="28"/>
  <c r="BB92" i="28" s="1"/>
  <c r="AT92" i="28"/>
  <c r="BA92" i="28" s="1"/>
  <c r="AY91" i="28"/>
  <c r="BF91" i="28" s="1"/>
  <c r="AX91" i="28"/>
  <c r="BE91" i="28" s="1"/>
  <c r="AW91" i="28"/>
  <c r="BD91" i="28" s="1"/>
  <c r="AV91" i="28"/>
  <c r="BC91" i="28" s="1"/>
  <c r="AU91" i="28"/>
  <c r="BB91" i="28" s="1"/>
  <c r="AT91" i="28"/>
  <c r="BA91" i="28" s="1"/>
  <c r="AY90" i="28"/>
  <c r="BF90" i="28" s="1"/>
  <c r="AX90" i="28"/>
  <c r="BE90" i="28" s="1"/>
  <c r="AW90" i="28"/>
  <c r="BD90" i="28" s="1"/>
  <c r="AV90" i="28"/>
  <c r="BC90" i="28" s="1"/>
  <c r="AU90" i="28"/>
  <c r="BB90" i="28" s="1"/>
  <c r="AT90" i="28"/>
  <c r="BA90" i="28" s="1"/>
  <c r="AY89" i="28"/>
  <c r="BF89" i="28" s="1"/>
  <c r="AX89" i="28"/>
  <c r="BE89" i="28" s="1"/>
  <c r="AW89" i="28"/>
  <c r="BD89" i="28" s="1"/>
  <c r="AV89" i="28"/>
  <c r="BC89" i="28" s="1"/>
  <c r="AU89" i="28"/>
  <c r="BB89" i="28" s="1"/>
  <c r="AT89" i="28"/>
  <c r="BA89" i="28" s="1"/>
  <c r="AX88" i="28"/>
  <c r="BE88" i="28" s="1"/>
  <c r="AW88" i="28"/>
  <c r="BD88" i="28" s="1"/>
  <c r="AV88" i="28"/>
  <c r="BC88" i="28" s="1"/>
  <c r="AU88" i="28"/>
  <c r="BB88" i="28" s="1"/>
  <c r="AT88" i="28"/>
  <c r="BA88" i="28" s="1"/>
  <c r="AY87" i="28"/>
  <c r="BF87" i="28" s="1"/>
  <c r="AX87" i="28"/>
  <c r="BE87" i="28" s="1"/>
  <c r="AW87" i="28"/>
  <c r="BD87" i="28" s="1"/>
  <c r="AV87" i="28"/>
  <c r="BC87" i="28" s="1"/>
  <c r="AU87" i="28"/>
  <c r="BB87" i="28" s="1"/>
  <c r="AT87" i="28"/>
  <c r="BA87" i="28" s="1"/>
  <c r="AY86" i="28"/>
  <c r="BF86" i="28" s="1"/>
  <c r="AX86" i="28"/>
  <c r="BE86" i="28" s="1"/>
  <c r="AW86" i="28"/>
  <c r="BD86" i="28" s="1"/>
  <c r="AV86" i="28"/>
  <c r="BC86" i="28" s="1"/>
  <c r="AU86" i="28"/>
  <c r="BB86" i="28" s="1"/>
  <c r="AT86" i="28"/>
  <c r="BA86" i="28" s="1"/>
  <c r="AY85" i="28"/>
  <c r="BF85" i="28" s="1"/>
  <c r="AX85" i="28"/>
  <c r="BE85" i="28" s="1"/>
  <c r="AW85" i="28"/>
  <c r="BD85" i="28" s="1"/>
  <c r="AV85" i="28"/>
  <c r="BC85" i="28" s="1"/>
  <c r="AU85" i="28"/>
  <c r="BB85" i="28" s="1"/>
  <c r="AT85" i="28"/>
  <c r="BA85" i="28" s="1"/>
  <c r="AY84" i="28"/>
  <c r="BF84" i="28" s="1"/>
  <c r="AX84" i="28"/>
  <c r="BE84" i="28" s="1"/>
  <c r="AW84" i="28"/>
  <c r="BD84" i="28" s="1"/>
  <c r="AV84" i="28"/>
  <c r="BC84" i="28" s="1"/>
  <c r="AU84" i="28"/>
  <c r="BB84" i="28" s="1"/>
  <c r="AT84" i="28"/>
  <c r="BA84" i="28" s="1"/>
  <c r="AY83" i="28"/>
  <c r="BF83" i="28" s="1"/>
  <c r="AX83" i="28"/>
  <c r="BE83" i="28" s="1"/>
  <c r="AW83" i="28"/>
  <c r="BD83" i="28" s="1"/>
  <c r="AV83" i="28"/>
  <c r="BC83" i="28" s="1"/>
  <c r="AU83" i="28"/>
  <c r="BB83" i="28" s="1"/>
  <c r="AT83" i="28"/>
  <c r="BA83" i="28" s="1"/>
  <c r="AY82" i="28"/>
  <c r="BF82" i="28" s="1"/>
  <c r="AX82" i="28"/>
  <c r="BE82" i="28" s="1"/>
  <c r="AW82" i="28"/>
  <c r="BD82" i="28" s="1"/>
  <c r="AV82" i="28"/>
  <c r="BC82" i="28" s="1"/>
  <c r="AU82" i="28"/>
  <c r="BB82" i="28" s="1"/>
  <c r="AT82" i="28"/>
  <c r="BA82" i="28" s="1"/>
  <c r="AY81" i="28"/>
  <c r="BF81" i="28" s="1"/>
  <c r="AX81" i="28"/>
  <c r="BE81" i="28" s="1"/>
  <c r="AW81" i="28"/>
  <c r="BD81" i="28" s="1"/>
  <c r="AV81" i="28"/>
  <c r="BC81" i="28" s="1"/>
  <c r="AU81" i="28"/>
  <c r="BB81" i="28" s="1"/>
  <c r="AT81" i="28"/>
  <c r="BA81" i="28" s="1"/>
  <c r="AX80" i="28"/>
  <c r="BE80" i="28" s="1"/>
  <c r="AW80" i="28"/>
  <c r="BD80" i="28" s="1"/>
  <c r="AV80" i="28"/>
  <c r="BC80" i="28" s="1"/>
  <c r="AU80" i="28"/>
  <c r="BB80" i="28" s="1"/>
  <c r="AT80" i="28"/>
  <c r="BA80" i="28" s="1"/>
  <c r="AX79" i="28"/>
  <c r="BE79" i="28" s="1"/>
  <c r="AW79" i="28"/>
  <c r="BD79" i="28" s="1"/>
  <c r="AV79" i="28"/>
  <c r="BC79" i="28" s="1"/>
  <c r="AU79" i="28"/>
  <c r="BB79" i="28" s="1"/>
  <c r="AT79" i="28"/>
  <c r="BA79" i="28" s="1"/>
  <c r="AY78" i="28"/>
  <c r="BF78" i="28" s="1"/>
  <c r="AX78" i="28"/>
  <c r="BE78" i="28" s="1"/>
  <c r="AW78" i="28"/>
  <c r="BD78" i="28" s="1"/>
  <c r="AV78" i="28"/>
  <c r="BC78" i="28" s="1"/>
  <c r="AU78" i="28"/>
  <c r="BB78" i="28" s="1"/>
  <c r="AT78" i="28"/>
  <c r="BA78" i="28" s="1"/>
  <c r="AY77" i="28"/>
  <c r="BF77" i="28" s="1"/>
  <c r="AX77" i="28"/>
  <c r="BE77" i="28" s="1"/>
  <c r="AW77" i="28"/>
  <c r="BD77" i="28" s="1"/>
  <c r="AV77" i="28"/>
  <c r="BC77" i="28" s="1"/>
  <c r="AU77" i="28"/>
  <c r="BB77" i="28" s="1"/>
  <c r="AT77" i="28"/>
  <c r="BA77" i="28" s="1"/>
  <c r="AY76" i="28"/>
  <c r="BF76" i="28" s="1"/>
  <c r="AX76" i="28"/>
  <c r="BE76" i="28" s="1"/>
  <c r="AW76" i="28"/>
  <c r="BD76" i="28" s="1"/>
  <c r="AV76" i="28"/>
  <c r="BC76" i="28" s="1"/>
  <c r="AU76" i="28"/>
  <c r="BB76" i="28" s="1"/>
  <c r="AT76" i="28"/>
  <c r="BA76" i="28" s="1"/>
  <c r="AY75" i="28"/>
  <c r="BF75" i="28" s="1"/>
  <c r="AX75" i="28"/>
  <c r="BE75" i="28" s="1"/>
  <c r="AW75" i="28"/>
  <c r="BD75" i="28" s="1"/>
  <c r="AV75" i="28"/>
  <c r="BC75" i="28" s="1"/>
  <c r="AU75" i="28"/>
  <c r="BB75" i="28" s="1"/>
  <c r="AT75" i="28"/>
  <c r="BA75" i="28" s="1"/>
  <c r="AY74" i="28"/>
  <c r="BF74" i="28" s="1"/>
  <c r="AX74" i="28"/>
  <c r="BE74" i="28" s="1"/>
  <c r="AW74" i="28"/>
  <c r="BD74" i="28" s="1"/>
  <c r="AV74" i="28"/>
  <c r="BC74" i="28" s="1"/>
  <c r="AU74" i="28"/>
  <c r="BB74" i="28" s="1"/>
  <c r="AT74" i="28"/>
  <c r="BA74" i="28" s="1"/>
  <c r="AY73" i="28"/>
  <c r="BF73" i="28" s="1"/>
  <c r="AX73" i="28"/>
  <c r="BE73" i="28" s="1"/>
  <c r="AW73" i="28"/>
  <c r="BD73" i="28" s="1"/>
  <c r="AV73" i="28"/>
  <c r="BC73" i="28" s="1"/>
  <c r="AU73" i="28"/>
  <c r="BB73" i="28" s="1"/>
  <c r="AT73" i="28"/>
  <c r="BA73" i="28" s="1"/>
  <c r="AX72" i="28"/>
  <c r="BE72" i="28" s="1"/>
  <c r="AW72" i="28"/>
  <c r="BD72" i="28" s="1"/>
  <c r="AV72" i="28"/>
  <c r="BC72" i="28" s="1"/>
  <c r="AU72" i="28"/>
  <c r="BB72" i="28" s="1"/>
  <c r="AT72" i="28"/>
  <c r="BA72" i="28" s="1"/>
  <c r="AX71" i="28"/>
  <c r="BE71" i="28" s="1"/>
  <c r="AW71" i="28"/>
  <c r="BD71" i="28" s="1"/>
  <c r="AV71" i="28"/>
  <c r="BC71" i="28" s="1"/>
  <c r="AU71" i="28"/>
  <c r="BB71" i="28" s="1"/>
  <c r="AT71" i="28"/>
  <c r="BA71" i="28" s="1"/>
  <c r="AY70" i="28"/>
  <c r="BF70" i="28" s="1"/>
  <c r="AX70" i="28"/>
  <c r="BE70" i="28" s="1"/>
  <c r="AW70" i="28"/>
  <c r="BD70" i="28" s="1"/>
  <c r="AV70" i="28"/>
  <c r="BC70" i="28" s="1"/>
  <c r="AU70" i="28"/>
  <c r="BB70" i="28" s="1"/>
  <c r="AT70" i="28"/>
  <c r="BA70" i="28" s="1"/>
  <c r="AY69" i="28"/>
  <c r="BF69" i="28" s="1"/>
  <c r="AX69" i="28"/>
  <c r="BE69" i="28" s="1"/>
  <c r="AW69" i="28"/>
  <c r="BD69" i="28" s="1"/>
  <c r="AV69" i="28"/>
  <c r="BC69" i="28" s="1"/>
  <c r="AU69" i="28"/>
  <c r="BB69" i="28" s="1"/>
  <c r="AT69" i="28"/>
  <c r="BA69" i="28" s="1"/>
  <c r="AY68" i="28"/>
  <c r="BF68" i="28" s="1"/>
  <c r="AX68" i="28"/>
  <c r="BE68" i="28" s="1"/>
  <c r="AW68" i="28"/>
  <c r="BD68" i="28" s="1"/>
  <c r="AV68" i="28"/>
  <c r="BC68" i="28" s="1"/>
  <c r="AU68" i="28"/>
  <c r="BB68" i="28" s="1"/>
  <c r="AT68" i="28"/>
  <c r="BA68" i="28" s="1"/>
  <c r="AY67" i="28"/>
  <c r="BF67" i="28" s="1"/>
  <c r="AX67" i="28"/>
  <c r="BE67" i="28" s="1"/>
  <c r="AW67" i="28"/>
  <c r="BD67" i="28" s="1"/>
  <c r="AV67" i="28"/>
  <c r="BC67" i="28" s="1"/>
  <c r="AU67" i="28"/>
  <c r="BB67" i="28" s="1"/>
  <c r="AT67" i="28"/>
  <c r="BA67" i="28" s="1"/>
  <c r="AY66" i="28"/>
  <c r="BF66" i="28" s="1"/>
  <c r="AX66" i="28"/>
  <c r="BE66" i="28" s="1"/>
  <c r="AW66" i="28"/>
  <c r="BD66" i="28" s="1"/>
  <c r="AV66" i="28"/>
  <c r="BC66" i="28" s="1"/>
  <c r="AU66" i="28"/>
  <c r="BB66" i="28" s="1"/>
  <c r="AT66" i="28"/>
  <c r="BA66" i="28" s="1"/>
  <c r="AY65" i="28"/>
  <c r="BF65" i="28" s="1"/>
  <c r="AX65" i="28"/>
  <c r="BE65" i="28" s="1"/>
  <c r="AW65" i="28"/>
  <c r="BD65" i="28" s="1"/>
  <c r="AV65" i="28"/>
  <c r="BC65" i="28" s="1"/>
  <c r="AU65" i="28"/>
  <c r="BB65" i="28" s="1"/>
  <c r="AT65" i="28"/>
  <c r="BA65" i="28" s="1"/>
  <c r="AX64" i="28"/>
  <c r="BE64" i="28" s="1"/>
  <c r="AW64" i="28"/>
  <c r="BD64" i="28" s="1"/>
  <c r="AV64" i="28"/>
  <c r="BC64" i="28" s="1"/>
  <c r="AU64" i="28"/>
  <c r="BB64" i="28" s="1"/>
  <c r="AT64" i="28"/>
  <c r="BA64" i="28" s="1"/>
  <c r="AX63" i="28"/>
  <c r="BE63" i="28" s="1"/>
  <c r="AW63" i="28"/>
  <c r="BD63" i="28" s="1"/>
  <c r="AV63" i="28"/>
  <c r="BC63" i="28" s="1"/>
  <c r="AU63" i="28"/>
  <c r="BB63" i="28" s="1"/>
  <c r="AT63" i="28"/>
  <c r="BA63" i="28" s="1"/>
  <c r="AY62" i="28"/>
  <c r="BF62" i="28" s="1"/>
  <c r="AX62" i="28"/>
  <c r="BE62" i="28" s="1"/>
  <c r="AW62" i="28"/>
  <c r="BD62" i="28" s="1"/>
  <c r="AV62" i="28"/>
  <c r="BC62" i="28" s="1"/>
  <c r="AU62" i="28"/>
  <c r="BB62" i="28" s="1"/>
  <c r="AT62" i="28"/>
  <c r="BA62" i="28" s="1"/>
  <c r="AY61" i="28"/>
  <c r="BF61" i="28" s="1"/>
  <c r="AX61" i="28"/>
  <c r="BE61" i="28" s="1"/>
  <c r="AW61" i="28"/>
  <c r="BD61" i="28" s="1"/>
  <c r="AV61" i="28"/>
  <c r="BC61" i="28" s="1"/>
  <c r="AU61" i="28"/>
  <c r="BB61" i="28" s="1"/>
  <c r="AT61" i="28"/>
  <c r="BA61" i="28" s="1"/>
  <c r="AY60" i="28"/>
  <c r="BF60" i="28" s="1"/>
  <c r="AX60" i="28"/>
  <c r="BE60" i="28" s="1"/>
  <c r="AW60" i="28"/>
  <c r="BD60" i="28" s="1"/>
  <c r="AV60" i="28"/>
  <c r="BC60" i="28" s="1"/>
  <c r="AU60" i="28"/>
  <c r="BB60" i="28" s="1"/>
  <c r="AT60" i="28"/>
  <c r="BA60" i="28" s="1"/>
  <c r="AY59" i="28"/>
  <c r="BF59" i="28" s="1"/>
  <c r="AX59" i="28"/>
  <c r="BE59" i="28" s="1"/>
  <c r="AW59" i="28"/>
  <c r="BD59" i="28" s="1"/>
  <c r="AV59" i="28"/>
  <c r="BC59" i="28" s="1"/>
  <c r="AU59" i="28"/>
  <c r="BB59" i="28" s="1"/>
  <c r="AT59" i="28"/>
  <c r="BA59" i="28" s="1"/>
  <c r="AY58" i="28"/>
  <c r="BF58" i="28" s="1"/>
  <c r="AX58" i="28"/>
  <c r="BE58" i="28" s="1"/>
  <c r="AW58" i="28"/>
  <c r="BD58" i="28" s="1"/>
  <c r="AV58" i="28"/>
  <c r="BC58" i="28" s="1"/>
  <c r="AU58" i="28"/>
  <c r="BB58" i="28" s="1"/>
  <c r="AT58" i="28"/>
  <c r="BA58" i="28" s="1"/>
  <c r="AY57" i="28"/>
  <c r="BF57" i="28" s="1"/>
  <c r="AX57" i="28"/>
  <c r="BE57" i="28" s="1"/>
  <c r="AW57" i="28"/>
  <c r="BD57" i="28" s="1"/>
  <c r="AV57" i="28"/>
  <c r="BC57" i="28" s="1"/>
  <c r="AU57" i="28"/>
  <c r="BB57" i="28" s="1"/>
  <c r="AT57" i="28"/>
  <c r="BA57" i="28" s="1"/>
  <c r="AX56" i="28"/>
  <c r="BE56" i="28" s="1"/>
  <c r="AW56" i="28"/>
  <c r="BD56" i="28" s="1"/>
  <c r="AV56" i="28"/>
  <c r="BC56" i="28" s="1"/>
  <c r="AU56" i="28"/>
  <c r="BB56" i="28" s="1"/>
  <c r="AT56" i="28"/>
  <c r="BA56" i="28" s="1"/>
  <c r="AY55" i="28"/>
  <c r="BF55" i="28" s="1"/>
  <c r="AX55" i="28"/>
  <c r="BE55" i="28" s="1"/>
  <c r="AW55" i="28"/>
  <c r="BD55" i="28" s="1"/>
  <c r="AV55" i="28"/>
  <c r="BC55" i="28" s="1"/>
  <c r="AU55" i="28"/>
  <c r="BB55" i="28" s="1"/>
  <c r="AT55" i="28"/>
  <c r="BA55" i="28" s="1"/>
  <c r="AY54" i="28"/>
  <c r="BF54" i="28" s="1"/>
  <c r="AX54" i="28"/>
  <c r="BE54" i="28" s="1"/>
  <c r="AW54" i="28"/>
  <c r="BD54" i="28" s="1"/>
  <c r="AV54" i="28"/>
  <c r="BC54" i="28" s="1"/>
  <c r="AU54" i="28"/>
  <c r="BB54" i="28" s="1"/>
  <c r="AT54" i="28"/>
  <c r="BA54" i="28" s="1"/>
  <c r="AY53" i="28"/>
  <c r="BF53" i="28" s="1"/>
  <c r="AX53" i="28"/>
  <c r="BE53" i="28" s="1"/>
  <c r="AW53" i="28"/>
  <c r="BD53" i="28" s="1"/>
  <c r="AV53" i="28"/>
  <c r="BC53" i="28" s="1"/>
  <c r="AU53" i="28"/>
  <c r="BB53" i="28" s="1"/>
  <c r="AT53" i="28"/>
  <c r="BA53" i="28" s="1"/>
  <c r="AY52" i="28"/>
  <c r="BF52" i="28" s="1"/>
  <c r="AX52" i="28"/>
  <c r="BE52" i="28" s="1"/>
  <c r="AW52" i="28"/>
  <c r="BD52" i="28" s="1"/>
  <c r="AV52" i="28"/>
  <c r="BC52" i="28" s="1"/>
  <c r="AU52" i="28"/>
  <c r="BB52" i="28" s="1"/>
  <c r="AT52" i="28"/>
  <c r="BA52" i="28" s="1"/>
  <c r="AY51" i="28"/>
  <c r="BF51" i="28" s="1"/>
  <c r="AX51" i="28"/>
  <c r="BE51" i="28" s="1"/>
  <c r="AW51" i="28"/>
  <c r="BD51" i="28" s="1"/>
  <c r="AV51" i="28"/>
  <c r="BC51" i="28" s="1"/>
  <c r="AU51" i="28"/>
  <c r="BB51" i="28" s="1"/>
  <c r="AT51" i="28"/>
  <c r="BA51" i="28" s="1"/>
  <c r="AY50" i="28"/>
  <c r="BF50" i="28" s="1"/>
  <c r="AX50" i="28"/>
  <c r="BE50" i="28" s="1"/>
  <c r="AW50" i="28"/>
  <c r="BD50" i="28" s="1"/>
  <c r="AV50" i="28"/>
  <c r="BC50" i="28" s="1"/>
  <c r="AU50" i="28"/>
  <c r="BB50" i="28" s="1"/>
  <c r="AT50" i="28"/>
  <c r="BA50" i="28" s="1"/>
  <c r="AY49" i="28"/>
  <c r="BF49" i="28" s="1"/>
  <c r="AX49" i="28"/>
  <c r="BE49" i="28" s="1"/>
  <c r="AW49" i="28"/>
  <c r="BD49" i="28" s="1"/>
  <c r="AV49" i="28"/>
  <c r="BC49" i="28" s="1"/>
  <c r="AU49" i="28"/>
  <c r="BB49" i="28" s="1"/>
  <c r="AT49" i="28"/>
  <c r="BA49" i="28" s="1"/>
  <c r="AX48" i="28"/>
  <c r="BE48" i="28" s="1"/>
  <c r="AW48" i="28"/>
  <c r="BD48" i="28" s="1"/>
  <c r="AV48" i="28"/>
  <c r="BC48" i="28" s="1"/>
  <c r="AU48" i="28"/>
  <c r="BB48" i="28" s="1"/>
  <c r="AT48" i="28"/>
  <c r="BA48" i="28" s="1"/>
  <c r="AX47" i="28"/>
  <c r="BE47" i="28" s="1"/>
  <c r="AW47" i="28"/>
  <c r="BD47" i="28" s="1"/>
  <c r="AV47" i="28"/>
  <c r="BC47" i="28" s="1"/>
  <c r="AU47" i="28"/>
  <c r="BB47" i="28" s="1"/>
  <c r="AT47" i="28"/>
  <c r="BA47" i="28" s="1"/>
  <c r="AY46" i="28"/>
  <c r="BF46" i="28" s="1"/>
  <c r="AX46" i="28"/>
  <c r="BE46" i="28" s="1"/>
  <c r="AW46" i="28"/>
  <c r="BD46" i="28" s="1"/>
  <c r="AV46" i="28"/>
  <c r="BC46" i="28" s="1"/>
  <c r="AU46" i="28"/>
  <c r="BB46" i="28" s="1"/>
  <c r="AT46" i="28"/>
  <c r="BA46" i="28" s="1"/>
  <c r="AY45" i="28"/>
  <c r="BF45" i="28" s="1"/>
  <c r="AX45" i="28"/>
  <c r="BE45" i="28" s="1"/>
  <c r="AW45" i="28"/>
  <c r="BD45" i="28" s="1"/>
  <c r="AV45" i="28"/>
  <c r="BC45" i="28" s="1"/>
  <c r="AU45" i="28"/>
  <c r="AT45" i="28"/>
  <c r="BA45" i="28" s="1"/>
  <c r="AY44" i="28"/>
  <c r="BF44" i="28" s="1"/>
  <c r="AX44" i="28"/>
  <c r="BE44" i="28" s="1"/>
  <c r="AW44" i="28"/>
  <c r="BD44" i="28" s="1"/>
  <c r="AV44" i="28"/>
  <c r="BC44" i="28" s="1"/>
  <c r="AU44" i="28"/>
  <c r="BB44" i="28" s="1"/>
  <c r="AT44" i="28"/>
  <c r="BA44" i="28" s="1"/>
  <c r="AY43" i="28"/>
  <c r="BF43" i="28" s="1"/>
  <c r="AX43" i="28"/>
  <c r="BE43" i="28" s="1"/>
  <c r="AW43" i="28"/>
  <c r="BD43" i="28" s="1"/>
  <c r="AV43" i="28"/>
  <c r="BC43" i="28" s="1"/>
  <c r="AU43" i="28"/>
  <c r="BB43" i="28" s="1"/>
  <c r="AT43" i="28"/>
  <c r="BA43" i="28" s="1"/>
  <c r="AY42" i="28"/>
  <c r="BF42" i="28" s="1"/>
  <c r="AX42" i="28"/>
  <c r="BE42" i="28" s="1"/>
  <c r="AW42" i="28"/>
  <c r="BD42" i="28" s="1"/>
  <c r="AV42" i="28"/>
  <c r="BC42" i="28" s="1"/>
  <c r="AU42" i="28"/>
  <c r="BB42" i="28" s="1"/>
  <c r="AT42" i="28"/>
  <c r="BA42" i="28" s="1"/>
  <c r="AY41" i="28"/>
  <c r="BF41" i="28" s="1"/>
  <c r="AX41" i="28"/>
  <c r="BE41" i="28" s="1"/>
  <c r="AW41" i="28"/>
  <c r="BD41" i="28" s="1"/>
  <c r="AV41" i="28"/>
  <c r="BC41" i="28" s="1"/>
  <c r="AU41" i="28"/>
  <c r="BB41" i="28" s="1"/>
  <c r="AT41" i="28"/>
  <c r="BA41" i="28" s="1"/>
  <c r="AX40" i="28"/>
  <c r="BE40" i="28" s="1"/>
  <c r="AW40" i="28"/>
  <c r="BD40" i="28" s="1"/>
  <c r="AV40" i="28"/>
  <c r="BC40" i="28" s="1"/>
  <c r="AU40" i="28"/>
  <c r="BB40" i="28" s="1"/>
  <c r="AT40" i="28"/>
  <c r="BA40" i="28" s="1"/>
  <c r="AX39" i="28"/>
  <c r="BE39" i="28" s="1"/>
  <c r="AW39" i="28"/>
  <c r="BD39" i="28" s="1"/>
  <c r="AV39" i="28"/>
  <c r="BC39" i="28" s="1"/>
  <c r="AU39" i="28"/>
  <c r="BB39" i="28" s="1"/>
  <c r="AT39" i="28"/>
  <c r="BA39" i="28" s="1"/>
  <c r="AY38" i="28"/>
  <c r="BF38" i="28" s="1"/>
  <c r="AX38" i="28"/>
  <c r="BE38" i="28" s="1"/>
  <c r="AW38" i="28"/>
  <c r="BD38" i="28" s="1"/>
  <c r="AV38" i="28"/>
  <c r="BC38" i="28" s="1"/>
  <c r="AU38" i="28"/>
  <c r="BB38" i="28" s="1"/>
  <c r="AT38" i="28"/>
  <c r="BA38" i="28" s="1"/>
  <c r="AY37" i="28"/>
  <c r="BF37" i="28" s="1"/>
  <c r="AX37" i="28"/>
  <c r="BE37" i="28" s="1"/>
  <c r="AW37" i="28"/>
  <c r="BD37" i="28" s="1"/>
  <c r="AV37" i="28"/>
  <c r="BC37" i="28" s="1"/>
  <c r="AU37" i="28"/>
  <c r="BB37" i="28" s="1"/>
  <c r="AT37" i="28"/>
  <c r="BA37" i="28" s="1"/>
  <c r="AY36" i="28"/>
  <c r="BF36" i="28" s="1"/>
  <c r="AX36" i="28"/>
  <c r="BE36" i="28" s="1"/>
  <c r="AW36" i="28"/>
  <c r="BD36" i="28" s="1"/>
  <c r="AV36" i="28"/>
  <c r="BC36" i="28" s="1"/>
  <c r="AU36" i="28"/>
  <c r="BB36" i="28" s="1"/>
  <c r="AT36" i="28"/>
  <c r="BA36" i="28" s="1"/>
  <c r="AY35" i="28"/>
  <c r="BF35" i="28" s="1"/>
  <c r="AX35" i="28"/>
  <c r="BE35" i="28" s="1"/>
  <c r="AW35" i="28"/>
  <c r="BD35" i="28" s="1"/>
  <c r="AV35" i="28"/>
  <c r="BC35" i="28" s="1"/>
  <c r="AU35" i="28"/>
  <c r="BB35" i="28" s="1"/>
  <c r="AT35" i="28"/>
  <c r="BA35" i="28" s="1"/>
  <c r="AY34" i="28"/>
  <c r="BF34" i="28" s="1"/>
  <c r="AX34" i="28"/>
  <c r="BE34" i="28" s="1"/>
  <c r="AW34" i="28"/>
  <c r="BD34" i="28" s="1"/>
  <c r="AV34" i="28"/>
  <c r="BC34" i="28" s="1"/>
  <c r="AU34" i="28"/>
  <c r="BB34" i="28" s="1"/>
  <c r="AT34" i="28"/>
  <c r="BA34" i="28" s="1"/>
  <c r="AY33" i="28"/>
  <c r="BF33" i="28" s="1"/>
  <c r="AX33" i="28"/>
  <c r="BE33" i="28" s="1"/>
  <c r="AW33" i="28"/>
  <c r="BD33" i="28" s="1"/>
  <c r="AV33" i="28"/>
  <c r="BC33" i="28" s="1"/>
  <c r="AU33" i="28"/>
  <c r="BB33" i="28" s="1"/>
  <c r="AT33" i="28"/>
  <c r="BA33" i="28" s="1"/>
  <c r="AX32" i="28"/>
  <c r="BE32" i="28" s="1"/>
  <c r="AW32" i="28"/>
  <c r="BD32" i="28" s="1"/>
  <c r="AV32" i="28"/>
  <c r="BC32" i="28" s="1"/>
  <c r="AU32" i="28"/>
  <c r="BB32" i="28" s="1"/>
  <c r="AT32" i="28"/>
  <c r="BA32" i="28" s="1"/>
  <c r="AY31" i="28"/>
  <c r="BF31" i="28" s="1"/>
  <c r="AX31" i="28"/>
  <c r="BE31" i="28" s="1"/>
  <c r="AW31" i="28"/>
  <c r="BD31" i="28" s="1"/>
  <c r="AV31" i="28"/>
  <c r="BC31" i="28" s="1"/>
  <c r="AU31" i="28"/>
  <c r="BB31" i="28" s="1"/>
  <c r="AT31" i="28"/>
  <c r="BA31" i="28" s="1"/>
  <c r="AY30" i="28"/>
  <c r="BF30" i="28" s="1"/>
  <c r="AX30" i="28"/>
  <c r="BE30" i="28" s="1"/>
  <c r="AW30" i="28"/>
  <c r="BD30" i="28" s="1"/>
  <c r="AV30" i="28"/>
  <c r="BC30" i="28" s="1"/>
  <c r="AU30" i="28"/>
  <c r="BB30" i="28" s="1"/>
  <c r="AT30" i="28"/>
  <c r="BA30" i="28" s="1"/>
  <c r="AY29" i="28"/>
  <c r="BF29" i="28" s="1"/>
  <c r="AX29" i="28"/>
  <c r="BE29" i="28" s="1"/>
  <c r="AW29" i="28"/>
  <c r="BD29" i="28" s="1"/>
  <c r="AV29" i="28"/>
  <c r="BC29" i="28" s="1"/>
  <c r="AU29" i="28"/>
  <c r="BB29" i="28" s="1"/>
  <c r="AT29" i="28"/>
  <c r="BA29" i="28" s="1"/>
  <c r="AY28" i="28"/>
  <c r="BF28" i="28" s="1"/>
  <c r="AX28" i="28"/>
  <c r="BE28" i="28" s="1"/>
  <c r="AW28" i="28"/>
  <c r="BD28" i="28" s="1"/>
  <c r="AV28" i="28"/>
  <c r="BC28" i="28" s="1"/>
  <c r="AU28" i="28"/>
  <c r="BB28" i="28" s="1"/>
  <c r="AT28" i="28"/>
  <c r="BA28" i="28" s="1"/>
  <c r="AY27" i="28"/>
  <c r="BF27" i="28" s="1"/>
  <c r="AX27" i="28"/>
  <c r="BE27" i="28" s="1"/>
  <c r="AW27" i="28"/>
  <c r="BD27" i="28" s="1"/>
  <c r="AV27" i="28"/>
  <c r="BC27" i="28" s="1"/>
  <c r="AU27" i="28"/>
  <c r="BB27" i="28" s="1"/>
  <c r="AT27" i="28"/>
  <c r="BA27" i="28" s="1"/>
  <c r="AY26" i="28"/>
  <c r="BF26" i="28" s="1"/>
  <c r="AX26" i="28"/>
  <c r="BE26" i="28" s="1"/>
  <c r="AW26" i="28"/>
  <c r="BD26" i="28" s="1"/>
  <c r="AV26" i="28"/>
  <c r="BC26" i="28" s="1"/>
  <c r="AU26" i="28"/>
  <c r="BB26" i="28" s="1"/>
  <c r="AT26" i="28"/>
  <c r="BA26" i="28" s="1"/>
  <c r="AY25" i="28"/>
  <c r="BF25" i="28" s="1"/>
  <c r="AX25" i="28"/>
  <c r="BE25" i="28" s="1"/>
  <c r="AW25" i="28"/>
  <c r="BD25" i="28" s="1"/>
  <c r="AV25" i="28"/>
  <c r="BC25" i="28" s="1"/>
  <c r="AU25" i="28"/>
  <c r="BB25" i="28" s="1"/>
  <c r="AT25" i="28"/>
  <c r="BA25" i="28" s="1"/>
  <c r="AX24" i="28"/>
  <c r="BE24" i="28" s="1"/>
  <c r="AW24" i="28"/>
  <c r="BD24" i="28" s="1"/>
  <c r="AV24" i="28"/>
  <c r="BC24" i="28" s="1"/>
  <c r="AU24" i="28"/>
  <c r="BB24" i="28" s="1"/>
  <c r="AT24" i="28"/>
  <c r="BA24" i="28" s="1"/>
  <c r="AY23" i="28"/>
  <c r="BF23" i="28" s="1"/>
  <c r="AX23" i="28"/>
  <c r="BE23" i="28" s="1"/>
  <c r="AW23" i="28"/>
  <c r="BD23" i="28" s="1"/>
  <c r="AV23" i="28"/>
  <c r="BC23" i="28" s="1"/>
  <c r="AU23" i="28"/>
  <c r="BB23" i="28" s="1"/>
  <c r="AT23" i="28"/>
  <c r="BA23" i="28" s="1"/>
  <c r="AY22" i="28"/>
  <c r="BF22" i="28" s="1"/>
  <c r="AX22" i="28"/>
  <c r="BE22" i="28" s="1"/>
  <c r="AW22" i="28"/>
  <c r="BD22" i="28" s="1"/>
  <c r="AV22" i="28"/>
  <c r="BC22" i="28" s="1"/>
  <c r="AU22" i="28"/>
  <c r="BB22" i="28" s="1"/>
  <c r="AT22" i="28"/>
  <c r="BA22" i="28" s="1"/>
  <c r="AY21" i="28"/>
  <c r="BF21" i="28" s="1"/>
  <c r="AX21" i="28"/>
  <c r="BE21" i="28" s="1"/>
  <c r="AW21" i="28"/>
  <c r="BD21" i="28" s="1"/>
  <c r="AV21" i="28"/>
  <c r="BC21" i="28" s="1"/>
  <c r="AU21" i="28"/>
  <c r="BB21" i="28" s="1"/>
  <c r="AT21" i="28"/>
  <c r="BA21" i="28" s="1"/>
  <c r="AY20" i="28"/>
  <c r="BF20" i="28" s="1"/>
  <c r="AX20" i="28"/>
  <c r="BE20" i="28" s="1"/>
  <c r="AW20" i="28"/>
  <c r="BD20" i="28" s="1"/>
  <c r="AV20" i="28"/>
  <c r="BC20" i="28" s="1"/>
  <c r="AU20" i="28"/>
  <c r="BB20" i="28" s="1"/>
  <c r="AT20" i="28"/>
  <c r="BA20" i="28" s="1"/>
  <c r="AY19" i="28"/>
  <c r="BF19" i="28" s="1"/>
  <c r="AX19" i="28"/>
  <c r="BE19" i="28" s="1"/>
  <c r="AW19" i="28"/>
  <c r="BD19" i="28" s="1"/>
  <c r="AV19" i="28"/>
  <c r="BC19" i="28" s="1"/>
  <c r="AU19" i="28"/>
  <c r="BB19" i="28" s="1"/>
  <c r="AT19" i="28"/>
  <c r="BA19" i="28" s="1"/>
  <c r="AY18" i="28"/>
  <c r="BF18" i="28" s="1"/>
  <c r="AX18" i="28"/>
  <c r="BE18" i="28" s="1"/>
  <c r="AW18" i="28"/>
  <c r="BD18" i="28" s="1"/>
  <c r="AV18" i="28"/>
  <c r="BC18" i="28" s="1"/>
  <c r="AU18" i="28"/>
  <c r="BB18" i="28" s="1"/>
  <c r="AT18" i="28"/>
  <c r="BA18" i="28" s="1"/>
  <c r="AY17" i="28"/>
  <c r="BF17" i="28" s="1"/>
  <c r="AX17" i="28"/>
  <c r="BE17" i="28" s="1"/>
  <c r="AW17" i="28"/>
  <c r="BD17" i="28" s="1"/>
  <c r="AV17" i="28"/>
  <c r="BC17" i="28" s="1"/>
  <c r="AU17" i="28"/>
  <c r="BB17" i="28" s="1"/>
  <c r="AT17" i="28"/>
  <c r="BA17" i="28" s="1"/>
  <c r="AY16" i="28"/>
  <c r="AX16" i="28"/>
  <c r="BE16" i="28" s="1"/>
  <c r="AW16" i="28"/>
  <c r="AV16" i="28"/>
  <c r="BC16" i="28" s="1"/>
  <c r="AU16" i="28"/>
  <c r="BB16" i="28" s="1"/>
  <c r="AT16" i="28"/>
  <c r="AQ7" i="28"/>
  <c r="AP7" i="28"/>
  <c r="AO7" i="28"/>
  <c r="AN7" i="28"/>
  <c r="AM7" i="28"/>
  <c r="AK7" i="28"/>
  <c r="AJ7" i="28"/>
  <c r="AI7" i="28"/>
  <c r="AH7" i="28"/>
  <c r="AG7" i="28"/>
  <c r="AT4" i="28"/>
  <c r="AU4" i="28" s="1"/>
  <c r="AV4" i="28" s="1"/>
  <c r="AW4" i="28" s="1"/>
  <c r="AX4" i="28" s="1"/>
  <c r="AM4" i="28"/>
  <c r="AN4" i="28" s="1"/>
  <c r="AO4" i="28" s="1"/>
  <c r="AP4" i="28" s="1"/>
  <c r="AQ4" i="28" s="1"/>
  <c r="AF4" i="28"/>
  <c r="AG4" i="28" s="1"/>
  <c r="AH4" i="28" s="1"/>
  <c r="AI4" i="28" s="1"/>
  <c r="AJ4" i="28" s="1"/>
  <c r="C27" i="11"/>
  <c r="C26" i="11"/>
  <c r="J7" i="28"/>
  <c r="Q17" i="28"/>
  <c r="X17" i="28" s="1"/>
  <c r="R17" i="28"/>
  <c r="Y17" i="28" s="1"/>
  <c r="S17" i="28"/>
  <c r="Z17" i="28" s="1"/>
  <c r="T17" i="28"/>
  <c r="AA17" i="28" s="1"/>
  <c r="U17" i="28"/>
  <c r="AB17" i="28" s="1"/>
  <c r="V17" i="28"/>
  <c r="AC17" i="28" s="1"/>
  <c r="Q18" i="28"/>
  <c r="X18" i="28" s="1"/>
  <c r="R18" i="28"/>
  <c r="Y18" i="28" s="1"/>
  <c r="S18" i="28"/>
  <c r="Z18" i="28" s="1"/>
  <c r="T18" i="28"/>
  <c r="AA18" i="28" s="1"/>
  <c r="U18" i="28"/>
  <c r="AB18" i="28" s="1"/>
  <c r="V18" i="28"/>
  <c r="AC18" i="28" s="1"/>
  <c r="Q19" i="28"/>
  <c r="X19" i="28" s="1"/>
  <c r="R19" i="28"/>
  <c r="Y19" i="28" s="1"/>
  <c r="S19" i="28"/>
  <c r="Z19" i="28" s="1"/>
  <c r="T19" i="28"/>
  <c r="AA19" i="28" s="1"/>
  <c r="U19" i="28"/>
  <c r="AB19" i="28" s="1"/>
  <c r="V19" i="28"/>
  <c r="AC19" i="28" s="1"/>
  <c r="Q20" i="28"/>
  <c r="X20" i="28" s="1"/>
  <c r="R20" i="28"/>
  <c r="Y20" i="28" s="1"/>
  <c r="S20" i="28"/>
  <c r="Z20" i="28" s="1"/>
  <c r="T20" i="28"/>
  <c r="AA20" i="28" s="1"/>
  <c r="U20" i="28"/>
  <c r="AB20" i="28" s="1"/>
  <c r="V20" i="28"/>
  <c r="AC20" i="28" s="1"/>
  <c r="Q21" i="28"/>
  <c r="X21" i="28" s="1"/>
  <c r="R21" i="28"/>
  <c r="Y21" i="28" s="1"/>
  <c r="S21" i="28"/>
  <c r="Z21" i="28" s="1"/>
  <c r="T21" i="28"/>
  <c r="AA21" i="28" s="1"/>
  <c r="U21" i="28"/>
  <c r="AB21" i="28" s="1"/>
  <c r="V21" i="28"/>
  <c r="AC21" i="28" s="1"/>
  <c r="Q22" i="28"/>
  <c r="X22" i="28" s="1"/>
  <c r="R22" i="28"/>
  <c r="Y22" i="28" s="1"/>
  <c r="S22" i="28"/>
  <c r="Z22" i="28" s="1"/>
  <c r="T22" i="28"/>
  <c r="AA22" i="28" s="1"/>
  <c r="U22" i="28"/>
  <c r="AB22" i="28" s="1"/>
  <c r="V22" i="28"/>
  <c r="AC22" i="28" s="1"/>
  <c r="Q23" i="28"/>
  <c r="X23" i="28" s="1"/>
  <c r="R23" i="28"/>
  <c r="Y23" i="28" s="1"/>
  <c r="S23" i="28"/>
  <c r="Z23" i="28" s="1"/>
  <c r="T23" i="28"/>
  <c r="AA23" i="28" s="1"/>
  <c r="U23" i="28"/>
  <c r="AB23" i="28" s="1"/>
  <c r="V23" i="28"/>
  <c r="AC23" i="28" s="1"/>
  <c r="Q24" i="28"/>
  <c r="X24" i="28" s="1"/>
  <c r="R24" i="28"/>
  <c r="Y24" i="28" s="1"/>
  <c r="S24" i="28"/>
  <c r="Z24" i="28" s="1"/>
  <c r="T24" i="28"/>
  <c r="AA24" i="28" s="1"/>
  <c r="U24" i="28"/>
  <c r="AB24" i="28" s="1"/>
  <c r="Q25" i="28"/>
  <c r="X25" i="28" s="1"/>
  <c r="R25" i="28"/>
  <c r="Y25" i="28" s="1"/>
  <c r="S25" i="28"/>
  <c r="Z25" i="28" s="1"/>
  <c r="T25" i="28"/>
  <c r="AA25" i="28" s="1"/>
  <c r="U25" i="28"/>
  <c r="AB25" i="28" s="1"/>
  <c r="V25" i="28"/>
  <c r="AC25" i="28" s="1"/>
  <c r="Q26" i="28"/>
  <c r="X26" i="28" s="1"/>
  <c r="R26" i="28"/>
  <c r="Y26" i="28" s="1"/>
  <c r="S26" i="28"/>
  <c r="Z26" i="28" s="1"/>
  <c r="T26" i="28"/>
  <c r="AA26" i="28" s="1"/>
  <c r="U26" i="28"/>
  <c r="AB26" i="28" s="1"/>
  <c r="V26" i="28"/>
  <c r="AC26" i="28" s="1"/>
  <c r="Q27" i="28"/>
  <c r="X27" i="28" s="1"/>
  <c r="R27" i="28"/>
  <c r="Y27" i="28" s="1"/>
  <c r="S27" i="28"/>
  <c r="Z27" i="28" s="1"/>
  <c r="T27" i="28"/>
  <c r="AA27" i="28" s="1"/>
  <c r="U27" i="28"/>
  <c r="AB27" i="28" s="1"/>
  <c r="V27" i="28"/>
  <c r="AC27" i="28" s="1"/>
  <c r="Q28" i="28"/>
  <c r="X28" i="28" s="1"/>
  <c r="R28" i="28"/>
  <c r="Y28" i="28" s="1"/>
  <c r="S28" i="28"/>
  <c r="Z28" i="28" s="1"/>
  <c r="T28" i="28"/>
  <c r="AA28" i="28" s="1"/>
  <c r="U28" i="28"/>
  <c r="AB28" i="28" s="1"/>
  <c r="V28" i="28"/>
  <c r="AC28" i="28" s="1"/>
  <c r="Q29" i="28"/>
  <c r="X29" i="28" s="1"/>
  <c r="R29" i="28"/>
  <c r="Y29" i="28" s="1"/>
  <c r="S29" i="28"/>
  <c r="Z29" i="28" s="1"/>
  <c r="T29" i="28"/>
  <c r="AA29" i="28" s="1"/>
  <c r="U29" i="28"/>
  <c r="AB29" i="28" s="1"/>
  <c r="V29" i="28"/>
  <c r="AC29" i="28" s="1"/>
  <c r="Q30" i="28"/>
  <c r="X30" i="28" s="1"/>
  <c r="R30" i="28"/>
  <c r="Y30" i="28" s="1"/>
  <c r="S30" i="28"/>
  <c r="Z30" i="28" s="1"/>
  <c r="T30" i="28"/>
  <c r="AA30" i="28" s="1"/>
  <c r="U30" i="28"/>
  <c r="AB30" i="28" s="1"/>
  <c r="V30" i="28"/>
  <c r="AC30" i="28" s="1"/>
  <c r="Q31" i="28"/>
  <c r="X31" i="28" s="1"/>
  <c r="R31" i="28"/>
  <c r="Y31" i="28" s="1"/>
  <c r="S31" i="28"/>
  <c r="Z31" i="28" s="1"/>
  <c r="T31" i="28"/>
  <c r="AA31" i="28" s="1"/>
  <c r="U31" i="28"/>
  <c r="AB31" i="28" s="1"/>
  <c r="V31" i="28"/>
  <c r="AC31" i="28" s="1"/>
  <c r="Q32" i="28"/>
  <c r="X32" i="28" s="1"/>
  <c r="R32" i="28"/>
  <c r="Y32" i="28" s="1"/>
  <c r="S32" i="28"/>
  <c r="Z32" i="28" s="1"/>
  <c r="T32" i="28"/>
  <c r="AA32" i="28" s="1"/>
  <c r="U32" i="28"/>
  <c r="AB32" i="28" s="1"/>
  <c r="Q33" i="28"/>
  <c r="X33" i="28" s="1"/>
  <c r="R33" i="28"/>
  <c r="Y33" i="28" s="1"/>
  <c r="S33" i="28"/>
  <c r="Z33" i="28" s="1"/>
  <c r="T33" i="28"/>
  <c r="AA33" i="28" s="1"/>
  <c r="U33" i="28"/>
  <c r="AB33" i="28" s="1"/>
  <c r="V33" i="28"/>
  <c r="AC33" i="28" s="1"/>
  <c r="Q34" i="28"/>
  <c r="X34" i="28" s="1"/>
  <c r="R34" i="28"/>
  <c r="Y34" i="28" s="1"/>
  <c r="S34" i="28"/>
  <c r="Z34" i="28" s="1"/>
  <c r="T34" i="28"/>
  <c r="AA34" i="28" s="1"/>
  <c r="U34" i="28"/>
  <c r="AB34" i="28" s="1"/>
  <c r="V34" i="28"/>
  <c r="AC34" i="28" s="1"/>
  <c r="Q35" i="28"/>
  <c r="X35" i="28" s="1"/>
  <c r="R35" i="28"/>
  <c r="Y35" i="28" s="1"/>
  <c r="S35" i="28"/>
  <c r="Z35" i="28" s="1"/>
  <c r="T35" i="28"/>
  <c r="AA35" i="28" s="1"/>
  <c r="U35" i="28"/>
  <c r="AB35" i="28" s="1"/>
  <c r="V35" i="28"/>
  <c r="AC35" i="28" s="1"/>
  <c r="Q36" i="28"/>
  <c r="X36" i="28" s="1"/>
  <c r="R36" i="28"/>
  <c r="Y36" i="28" s="1"/>
  <c r="S36" i="28"/>
  <c r="Z36" i="28" s="1"/>
  <c r="T36" i="28"/>
  <c r="AA36" i="28" s="1"/>
  <c r="U36" i="28"/>
  <c r="AB36" i="28" s="1"/>
  <c r="V36" i="28"/>
  <c r="AC36" i="28" s="1"/>
  <c r="Q37" i="28"/>
  <c r="X37" i="28" s="1"/>
  <c r="R37" i="28"/>
  <c r="Y37" i="28" s="1"/>
  <c r="S37" i="28"/>
  <c r="Z37" i="28" s="1"/>
  <c r="T37" i="28"/>
  <c r="AA37" i="28" s="1"/>
  <c r="U37" i="28"/>
  <c r="AB37" i="28" s="1"/>
  <c r="V37" i="28"/>
  <c r="AC37" i="28" s="1"/>
  <c r="Q38" i="28"/>
  <c r="X38" i="28" s="1"/>
  <c r="R38" i="28"/>
  <c r="Y38" i="28" s="1"/>
  <c r="S38" i="28"/>
  <c r="Z38" i="28" s="1"/>
  <c r="T38" i="28"/>
  <c r="AA38" i="28" s="1"/>
  <c r="U38" i="28"/>
  <c r="AB38" i="28" s="1"/>
  <c r="V38" i="28"/>
  <c r="AC38" i="28" s="1"/>
  <c r="Q39" i="28"/>
  <c r="X39" i="28" s="1"/>
  <c r="R39" i="28"/>
  <c r="Y39" i="28" s="1"/>
  <c r="S39" i="28"/>
  <c r="Z39" i="28" s="1"/>
  <c r="T39" i="28"/>
  <c r="AA39" i="28" s="1"/>
  <c r="U39" i="28"/>
  <c r="AB39" i="28" s="1"/>
  <c r="V39" i="28"/>
  <c r="AC39" i="28" s="1"/>
  <c r="Q40" i="28"/>
  <c r="X40" i="28" s="1"/>
  <c r="R40" i="28"/>
  <c r="Y40" i="28" s="1"/>
  <c r="S40" i="28"/>
  <c r="Z40" i="28" s="1"/>
  <c r="T40" i="28"/>
  <c r="AA40" i="28" s="1"/>
  <c r="U40" i="28"/>
  <c r="AB40" i="28" s="1"/>
  <c r="Q41" i="28"/>
  <c r="X41" i="28" s="1"/>
  <c r="R41" i="28"/>
  <c r="Y41" i="28" s="1"/>
  <c r="S41" i="28"/>
  <c r="Z41" i="28" s="1"/>
  <c r="T41" i="28"/>
  <c r="AA41" i="28" s="1"/>
  <c r="U41" i="28"/>
  <c r="AB41" i="28" s="1"/>
  <c r="V41" i="28"/>
  <c r="AC41" i="28" s="1"/>
  <c r="Q42" i="28"/>
  <c r="X42" i="28" s="1"/>
  <c r="R42" i="28"/>
  <c r="Y42" i="28" s="1"/>
  <c r="S42" i="28"/>
  <c r="Z42" i="28" s="1"/>
  <c r="T42" i="28"/>
  <c r="AA42" i="28" s="1"/>
  <c r="U42" i="28"/>
  <c r="AB42" i="28" s="1"/>
  <c r="V42" i="28"/>
  <c r="AC42" i="28" s="1"/>
  <c r="Q43" i="28"/>
  <c r="X43" i="28" s="1"/>
  <c r="R43" i="28"/>
  <c r="Y43" i="28" s="1"/>
  <c r="S43" i="28"/>
  <c r="Z43" i="28" s="1"/>
  <c r="T43" i="28"/>
  <c r="AA43" i="28" s="1"/>
  <c r="U43" i="28"/>
  <c r="AB43" i="28" s="1"/>
  <c r="V43" i="28"/>
  <c r="AC43" i="28" s="1"/>
  <c r="Q44" i="28"/>
  <c r="X44" i="28" s="1"/>
  <c r="R44" i="28"/>
  <c r="Y44" i="28" s="1"/>
  <c r="S44" i="28"/>
  <c r="Z44" i="28" s="1"/>
  <c r="T44" i="28"/>
  <c r="AA44" i="28" s="1"/>
  <c r="U44" i="28"/>
  <c r="AB44" i="28" s="1"/>
  <c r="V44" i="28"/>
  <c r="AC44" i="28" s="1"/>
  <c r="Q45" i="28"/>
  <c r="X45" i="28" s="1"/>
  <c r="R45" i="28"/>
  <c r="Y45" i="28" s="1"/>
  <c r="S45" i="28"/>
  <c r="Z45" i="28" s="1"/>
  <c r="T45" i="28"/>
  <c r="AA45" i="28" s="1"/>
  <c r="U45" i="28"/>
  <c r="AB45" i="28" s="1"/>
  <c r="V45" i="28"/>
  <c r="AC45" i="28" s="1"/>
  <c r="Q46" i="28"/>
  <c r="X46" i="28" s="1"/>
  <c r="R46" i="28"/>
  <c r="Y46" i="28" s="1"/>
  <c r="S46" i="28"/>
  <c r="Z46" i="28" s="1"/>
  <c r="T46" i="28"/>
  <c r="AA46" i="28" s="1"/>
  <c r="U46" i="28"/>
  <c r="AB46" i="28" s="1"/>
  <c r="V46" i="28"/>
  <c r="AC46" i="28" s="1"/>
  <c r="Q47" i="28"/>
  <c r="X47" i="28" s="1"/>
  <c r="R47" i="28"/>
  <c r="Y47" i="28" s="1"/>
  <c r="S47" i="28"/>
  <c r="Z47" i="28" s="1"/>
  <c r="T47" i="28"/>
  <c r="AA47" i="28" s="1"/>
  <c r="U47" i="28"/>
  <c r="AB47" i="28" s="1"/>
  <c r="V47" i="28"/>
  <c r="AC47" i="28" s="1"/>
  <c r="Q48" i="28"/>
  <c r="X48" i="28" s="1"/>
  <c r="R48" i="28"/>
  <c r="Y48" i="28" s="1"/>
  <c r="S48" i="28"/>
  <c r="Z48" i="28" s="1"/>
  <c r="T48" i="28"/>
  <c r="AA48" i="28" s="1"/>
  <c r="U48" i="28"/>
  <c r="AB48" i="28" s="1"/>
  <c r="Q49" i="28"/>
  <c r="X49" i="28" s="1"/>
  <c r="R49" i="28"/>
  <c r="Y49" i="28" s="1"/>
  <c r="S49" i="28"/>
  <c r="Z49" i="28" s="1"/>
  <c r="T49" i="28"/>
  <c r="AA49" i="28" s="1"/>
  <c r="U49" i="28"/>
  <c r="AB49" i="28" s="1"/>
  <c r="V49" i="28"/>
  <c r="AC49" i="28" s="1"/>
  <c r="Q50" i="28"/>
  <c r="X50" i="28" s="1"/>
  <c r="R50" i="28"/>
  <c r="Y50" i="28" s="1"/>
  <c r="S50" i="28"/>
  <c r="Z50" i="28" s="1"/>
  <c r="T50" i="28"/>
  <c r="AA50" i="28" s="1"/>
  <c r="U50" i="28"/>
  <c r="AB50" i="28" s="1"/>
  <c r="V50" i="28"/>
  <c r="AC50" i="28" s="1"/>
  <c r="Q51" i="28"/>
  <c r="X51" i="28" s="1"/>
  <c r="R51" i="28"/>
  <c r="Y51" i="28" s="1"/>
  <c r="S51" i="28"/>
  <c r="Z51" i="28" s="1"/>
  <c r="T51" i="28"/>
  <c r="AA51" i="28" s="1"/>
  <c r="U51" i="28"/>
  <c r="AB51" i="28" s="1"/>
  <c r="V51" i="28"/>
  <c r="AC51" i="28" s="1"/>
  <c r="Q52" i="28"/>
  <c r="X52" i="28" s="1"/>
  <c r="R52" i="28"/>
  <c r="Y52" i="28" s="1"/>
  <c r="S52" i="28"/>
  <c r="Z52" i="28" s="1"/>
  <c r="T52" i="28"/>
  <c r="AA52" i="28" s="1"/>
  <c r="U52" i="28"/>
  <c r="AB52" i="28" s="1"/>
  <c r="V52" i="28"/>
  <c r="AC52" i="28" s="1"/>
  <c r="Q53" i="28"/>
  <c r="X53" i="28" s="1"/>
  <c r="R53" i="28"/>
  <c r="Y53" i="28" s="1"/>
  <c r="S53" i="28"/>
  <c r="Z53" i="28" s="1"/>
  <c r="T53" i="28"/>
  <c r="AA53" i="28" s="1"/>
  <c r="U53" i="28"/>
  <c r="AB53" i="28" s="1"/>
  <c r="V53" i="28"/>
  <c r="AC53" i="28" s="1"/>
  <c r="Q54" i="28"/>
  <c r="X54" i="28" s="1"/>
  <c r="R54" i="28"/>
  <c r="Y54" i="28" s="1"/>
  <c r="S54" i="28"/>
  <c r="Z54" i="28" s="1"/>
  <c r="T54" i="28"/>
  <c r="AA54" i="28" s="1"/>
  <c r="U54" i="28"/>
  <c r="AB54" i="28" s="1"/>
  <c r="V54" i="28"/>
  <c r="AC54" i="28" s="1"/>
  <c r="Q55" i="28"/>
  <c r="X55" i="28" s="1"/>
  <c r="R55" i="28"/>
  <c r="Y55" i="28" s="1"/>
  <c r="S55" i="28"/>
  <c r="Z55" i="28" s="1"/>
  <c r="T55" i="28"/>
  <c r="AA55" i="28" s="1"/>
  <c r="U55" i="28"/>
  <c r="AB55" i="28" s="1"/>
  <c r="V55" i="28"/>
  <c r="AC55" i="28" s="1"/>
  <c r="Q56" i="28"/>
  <c r="X56" i="28" s="1"/>
  <c r="R56" i="28"/>
  <c r="Y56" i="28" s="1"/>
  <c r="S56" i="28"/>
  <c r="Z56" i="28" s="1"/>
  <c r="T56" i="28"/>
  <c r="AA56" i="28" s="1"/>
  <c r="U56" i="28"/>
  <c r="AB56" i="28" s="1"/>
  <c r="Q57" i="28"/>
  <c r="X57" i="28" s="1"/>
  <c r="R57" i="28"/>
  <c r="Y57" i="28" s="1"/>
  <c r="S57" i="28"/>
  <c r="Z57" i="28" s="1"/>
  <c r="T57" i="28"/>
  <c r="AA57" i="28" s="1"/>
  <c r="U57" i="28"/>
  <c r="AB57" i="28" s="1"/>
  <c r="V57" i="28"/>
  <c r="AC57" i="28" s="1"/>
  <c r="Q58" i="28"/>
  <c r="X58" i="28" s="1"/>
  <c r="R58" i="28"/>
  <c r="Y58" i="28" s="1"/>
  <c r="S58" i="28"/>
  <c r="Z58" i="28" s="1"/>
  <c r="T58" i="28"/>
  <c r="AA58" i="28" s="1"/>
  <c r="U58" i="28"/>
  <c r="AB58" i="28" s="1"/>
  <c r="V58" i="28"/>
  <c r="AC58" i="28" s="1"/>
  <c r="Q59" i="28"/>
  <c r="X59" i="28" s="1"/>
  <c r="R59" i="28"/>
  <c r="Y59" i="28" s="1"/>
  <c r="S59" i="28"/>
  <c r="Z59" i="28" s="1"/>
  <c r="T59" i="28"/>
  <c r="AA59" i="28" s="1"/>
  <c r="U59" i="28"/>
  <c r="AB59" i="28" s="1"/>
  <c r="V59" i="28"/>
  <c r="AC59" i="28" s="1"/>
  <c r="Q60" i="28"/>
  <c r="X60" i="28" s="1"/>
  <c r="R60" i="28"/>
  <c r="Y60" i="28" s="1"/>
  <c r="S60" i="28"/>
  <c r="Z60" i="28" s="1"/>
  <c r="T60" i="28"/>
  <c r="AA60" i="28" s="1"/>
  <c r="U60" i="28"/>
  <c r="AB60" i="28" s="1"/>
  <c r="V60" i="28"/>
  <c r="AC60" i="28" s="1"/>
  <c r="Q61" i="28"/>
  <c r="X61" i="28" s="1"/>
  <c r="R61" i="28"/>
  <c r="Y61" i="28" s="1"/>
  <c r="S61" i="28"/>
  <c r="Z61" i="28" s="1"/>
  <c r="T61" i="28"/>
  <c r="AA61" i="28" s="1"/>
  <c r="U61" i="28"/>
  <c r="AB61" i="28" s="1"/>
  <c r="V61" i="28"/>
  <c r="AC61" i="28" s="1"/>
  <c r="Q62" i="28"/>
  <c r="X62" i="28" s="1"/>
  <c r="R62" i="28"/>
  <c r="Y62" i="28" s="1"/>
  <c r="S62" i="28"/>
  <c r="Z62" i="28" s="1"/>
  <c r="T62" i="28"/>
  <c r="AA62" i="28" s="1"/>
  <c r="U62" i="28"/>
  <c r="AB62" i="28" s="1"/>
  <c r="V62" i="28"/>
  <c r="AC62" i="28" s="1"/>
  <c r="Q63" i="28"/>
  <c r="X63" i="28" s="1"/>
  <c r="R63" i="28"/>
  <c r="Y63" i="28" s="1"/>
  <c r="S63" i="28"/>
  <c r="Z63" i="28" s="1"/>
  <c r="T63" i="28"/>
  <c r="AA63" i="28" s="1"/>
  <c r="U63" i="28"/>
  <c r="AB63" i="28" s="1"/>
  <c r="V63" i="28"/>
  <c r="AC63" i="28" s="1"/>
  <c r="Q64" i="28"/>
  <c r="X64" i="28" s="1"/>
  <c r="R64" i="28"/>
  <c r="Y64" i="28" s="1"/>
  <c r="S64" i="28"/>
  <c r="Z64" i="28" s="1"/>
  <c r="T64" i="28"/>
  <c r="AA64" i="28" s="1"/>
  <c r="U64" i="28"/>
  <c r="AB64" i="28" s="1"/>
  <c r="Q65" i="28"/>
  <c r="X65" i="28" s="1"/>
  <c r="R65" i="28"/>
  <c r="Y65" i="28" s="1"/>
  <c r="S65" i="28"/>
  <c r="Z65" i="28" s="1"/>
  <c r="T65" i="28"/>
  <c r="AA65" i="28" s="1"/>
  <c r="U65" i="28"/>
  <c r="AB65" i="28" s="1"/>
  <c r="V65" i="28"/>
  <c r="AC65" i="28" s="1"/>
  <c r="Q66" i="28"/>
  <c r="X66" i="28" s="1"/>
  <c r="R66" i="28"/>
  <c r="Y66" i="28" s="1"/>
  <c r="S66" i="28"/>
  <c r="Z66" i="28" s="1"/>
  <c r="T66" i="28"/>
  <c r="AA66" i="28" s="1"/>
  <c r="U66" i="28"/>
  <c r="AB66" i="28" s="1"/>
  <c r="V66" i="28"/>
  <c r="AC66" i="28" s="1"/>
  <c r="Q67" i="28"/>
  <c r="X67" i="28" s="1"/>
  <c r="R67" i="28"/>
  <c r="Y67" i="28" s="1"/>
  <c r="S67" i="28"/>
  <c r="Z67" i="28" s="1"/>
  <c r="T67" i="28"/>
  <c r="AA67" i="28" s="1"/>
  <c r="U67" i="28"/>
  <c r="AB67" i="28" s="1"/>
  <c r="V67" i="28"/>
  <c r="AC67" i="28" s="1"/>
  <c r="Q68" i="28"/>
  <c r="X68" i="28" s="1"/>
  <c r="R68" i="28"/>
  <c r="Y68" i="28" s="1"/>
  <c r="S68" i="28"/>
  <c r="Z68" i="28" s="1"/>
  <c r="T68" i="28"/>
  <c r="AA68" i="28" s="1"/>
  <c r="U68" i="28"/>
  <c r="AB68" i="28" s="1"/>
  <c r="V68" i="28"/>
  <c r="AC68" i="28" s="1"/>
  <c r="Q69" i="28"/>
  <c r="X69" i="28" s="1"/>
  <c r="R69" i="28"/>
  <c r="Y69" i="28" s="1"/>
  <c r="S69" i="28"/>
  <c r="Z69" i="28" s="1"/>
  <c r="T69" i="28"/>
  <c r="AA69" i="28" s="1"/>
  <c r="U69" i="28"/>
  <c r="AB69" i="28" s="1"/>
  <c r="V69" i="28"/>
  <c r="AC69" i="28" s="1"/>
  <c r="Q70" i="28"/>
  <c r="X70" i="28" s="1"/>
  <c r="R70" i="28"/>
  <c r="Y70" i="28" s="1"/>
  <c r="S70" i="28"/>
  <c r="Z70" i="28" s="1"/>
  <c r="T70" i="28"/>
  <c r="AA70" i="28" s="1"/>
  <c r="U70" i="28"/>
  <c r="AB70" i="28" s="1"/>
  <c r="V70" i="28"/>
  <c r="AC70" i="28" s="1"/>
  <c r="Q71" i="28"/>
  <c r="X71" i="28" s="1"/>
  <c r="R71" i="28"/>
  <c r="Y71" i="28" s="1"/>
  <c r="S71" i="28"/>
  <c r="Z71" i="28" s="1"/>
  <c r="T71" i="28"/>
  <c r="AA71" i="28" s="1"/>
  <c r="U71" i="28"/>
  <c r="AB71" i="28" s="1"/>
  <c r="V71" i="28"/>
  <c r="AC71" i="28" s="1"/>
  <c r="Q72" i="28"/>
  <c r="X72" i="28" s="1"/>
  <c r="R72" i="28"/>
  <c r="Y72" i="28" s="1"/>
  <c r="S72" i="28"/>
  <c r="Z72" i="28" s="1"/>
  <c r="T72" i="28"/>
  <c r="AA72" i="28" s="1"/>
  <c r="U72" i="28"/>
  <c r="AB72" i="28" s="1"/>
  <c r="Q73" i="28"/>
  <c r="X73" i="28" s="1"/>
  <c r="R73" i="28"/>
  <c r="Y73" i="28" s="1"/>
  <c r="S73" i="28"/>
  <c r="Z73" i="28" s="1"/>
  <c r="T73" i="28"/>
  <c r="AA73" i="28" s="1"/>
  <c r="U73" i="28"/>
  <c r="AB73" i="28" s="1"/>
  <c r="V73" i="28"/>
  <c r="AC73" i="28" s="1"/>
  <c r="Q74" i="28"/>
  <c r="X74" i="28" s="1"/>
  <c r="R74" i="28"/>
  <c r="Y74" i="28" s="1"/>
  <c r="S74" i="28"/>
  <c r="Z74" i="28" s="1"/>
  <c r="T74" i="28"/>
  <c r="AA74" i="28" s="1"/>
  <c r="U74" i="28"/>
  <c r="AB74" i="28" s="1"/>
  <c r="V74" i="28"/>
  <c r="AC74" i="28" s="1"/>
  <c r="Q75" i="28"/>
  <c r="X75" i="28" s="1"/>
  <c r="R75" i="28"/>
  <c r="Y75" i="28" s="1"/>
  <c r="S75" i="28"/>
  <c r="Z75" i="28" s="1"/>
  <c r="T75" i="28"/>
  <c r="AA75" i="28" s="1"/>
  <c r="U75" i="28"/>
  <c r="AB75" i="28" s="1"/>
  <c r="V75" i="28"/>
  <c r="AC75" i="28" s="1"/>
  <c r="Q76" i="28"/>
  <c r="X76" i="28" s="1"/>
  <c r="R76" i="28"/>
  <c r="Y76" i="28" s="1"/>
  <c r="S76" i="28"/>
  <c r="Z76" i="28" s="1"/>
  <c r="T76" i="28"/>
  <c r="AA76" i="28" s="1"/>
  <c r="U76" i="28"/>
  <c r="AB76" i="28" s="1"/>
  <c r="V76" i="28"/>
  <c r="AC76" i="28" s="1"/>
  <c r="Q77" i="28"/>
  <c r="X77" i="28" s="1"/>
  <c r="R77" i="28"/>
  <c r="Y77" i="28" s="1"/>
  <c r="S77" i="28"/>
  <c r="Z77" i="28" s="1"/>
  <c r="T77" i="28"/>
  <c r="AA77" i="28" s="1"/>
  <c r="U77" i="28"/>
  <c r="AB77" i="28" s="1"/>
  <c r="V77" i="28"/>
  <c r="AC77" i="28" s="1"/>
  <c r="Q78" i="28"/>
  <c r="X78" i="28" s="1"/>
  <c r="R78" i="28"/>
  <c r="Y78" i="28" s="1"/>
  <c r="S78" i="28"/>
  <c r="Z78" i="28" s="1"/>
  <c r="T78" i="28"/>
  <c r="AA78" i="28" s="1"/>
  <c r="U78" i="28"/>
  <c r="AB78" i="28" s="1"/>
  <c r="V78" i="28"/>
  <c r="AC78" i="28" s="1"/>
  <c r="Q79" i="28"/>
  <c r="X79" i="28" s="1"/>
  <c r="R79" i="28"/>
  <c r="Y79" i="28" s="1"/>
  <c r="S79" i="28"/>
  <c r="Z79" i="28" s="1"/>
  <c r="T79" i="28"/>
  <c r="AA79" i="28" s="1"/>
  <c r="U79" i="28"/>
  <c r="AB79" i="28" s="1"/>
  <c r="V79" i="28"/>
  <c r="AC79" i="28" s="1"/>
  <c r="Q80" i="28"/>
  <c r="X80" i="28" s="1"/>
  <c r="R80" i="28"/>
  <c r="Y80" i="28" s="1"/>
  <c r="S80" i="28"/>
  <c r="Z80" i="28" s="1"/>
  <c r="T80" i="28"/>
  <c r="AA80" i="28" s="1"/>
  <c r="U80" i="28"/>
  <c r="AB80" i="28" s="1"/>
  <c r="Q81" i="28"/>
  <c r="X81" i="28" s="1"/>
  <c r="R81" i="28"/>
  <c r="Y81" i="28" s="1"/>
  <c r="S81" i="28"/>
  <c r="Z81" i="28" s="1"/>
  <c r="T81" i="28"/>
  <c r="AA81" i="28" s="1"/>
  <c r="U81" i="28"/>
  <c r="AB81" i="28" s="1"/>
  <c r="V81" i="28"/>
  <c r="AC81" i="28" s="1"/>
  <c r="Q82" i="28"/>
  <c r="X82" i="28" s="1"/>
  <c r="R82" i="28"/>
  <c r="Y82" i="28" s="1"/>
  <c r="S82" i="28"/>
  <c r="Z82" i="28" s="1"/>
  <c r="T82" i="28"/>
  <c r="AA82" i="28" s="1"/>
  <c r="U82" i="28"/>
  <c r="AB82" i="28" s="1"/>
  <c r="V82" i="28"/>
  <c r="AC82" i="28" s="1"/>
  <c r="Q83" i="28"/>
  <c r="X83" i="28" s="1"/>
  <c r="R83" i="28"/>
  <c r="Y83" i="28" s="1"/>
  <c r="S83" i="28"/>
  <c r="Z83" i="28" s="1"/>
  <c r="T83" i="28"/>
  <c r="AA83" i="28" s="1"/>
  <c r="U83" i="28"/>
  <c r="AB83" i="28" s="1"/>
  <c r="V83" i="28"/>
  <c r="AC83" i="28" s="1"/>
  <c r="Q84" i="28"/>
  <c r="X84" i="28" s="1"/>
  <c r="R84" i="28"/>
  <c r="Y84" i="28" s="1"/>
  <c r="S84" i="28"/>
  <c r="Z84" i="28" s="1"/>
  <c r="T84" i="28"/>
  <c r="AA84" i="28" s="1"/>
  <c r="U84" i="28"/>
  <c r="AB84" i="28" s="1"/>
  <c r="V84" i="28"/>
  <c r="AC84" i="28" s="1"/>
  <c r="Q85" i="28"/>
  <c r="X85" i="28" s="1"/>
  <c r="R85" i="28"/>
  <c r="Y85" i="28" s="1"/>
  <c r="S85" i="28"/>
  <c r="Z85" i="28" s="1"/>
  <c r="T85" i="28"/>
  <c r="AA85" i="28" s="1"/>
  <c r="U85" i="28"/>
  <c r="AB85" i="28" s="1"/>
  <c r="V85" i="28"/>
  <c r="AC85" i="28" s="1"/>
  <c r="Q86" i="28"/>
  <c r="X86" i="28" s="1"/>
  <c r="R86" i="28"/>
  <c r="Y86" i="28" s="1"/>
  <c r="S86" i="28"/>
  <c r="Z86" i="28" s="1"/>
  <c r="T86" i="28"/>
  <c r="AA86" i="28" s="1"/>
  <c r="U86" i="28"/>
  <c r="AB86" i="28" s="1"/>
  <c r="V86" i="28"/>
  <c r="AC86" i="28" s="1"/>
  <c r="Q87" i="28"/>
  <c r="X87" i="28" s="1"/>
  <c r="R87" i="28"/>
  <c r="Y87" i="28" s="1"/>
  <c r="S87" i="28"/>
  <c r="Z87" i="28" s="1"/>
  <c r="T87" i="28"/>
  <c r="AA87" i="28" s="1"/>
  <c r="U87" i="28"/>
  <c r="AB87" i="28" s="1"/>
  <c r="V87" i="28"/>
  <c r="AC87" i="28" s="1"/>
  <c r="Q88" i="28"/>
  <c r="X88" i="28" s="1"/>
  <c r="R88" i="28"/>
  <c r="Y88" i="28" s="1"/>
  <c r="S88" i="28"/>
  <c r="Z88" i="28" s="1"/>
  <c r="T88" i="28"/>
  <c r="AA88" i="28" s="1"/>
  <c r="U88" i="28"/>
  <c r="AB88" i="28" s="1"/>
  <c r="Q89" i="28"/>
  <c r="X89" i="28" s="1"/>
  <c r="R89" i="28"/>
  <c r="Y89" i="28" s="1"/>
  <c r="S89" i="28"/>
  <c r="Z89" i="28" s="1"/>
  <c r="T89" i="28"/>
  <c r="AA89" i="28" s="1"/>
  <c r="U89" i="28"/>
  <c r="AB89" i="28" s="1"/>
  <c r="V89" i="28"/>
  <c r="AC89" i="28" s="1"/>
  <c r="Q90" i="28"/>
  <c r="X90" i="28" s="1"/>
  <c r="R90" i="28"/>
  <c r="Y90" i="28" s="1"/>
  <c r="S90" i="28"/>
  <c r="Z90" i="28" s="1"/>
  <c r="T90" i="28"/>
  <c r="AA90" i="28" s="1"/>
  <c r="U90" i="28"/>
  <c r="AB90" i="28" s="1"/>
  <c r="V90" i="28"/>
  <c r="AC90" i="28" s="1"/>
  <c r="Q91" i="28"/>
  <c r="X91" i="28" s="1"/>
  <c r="R91" i="28"/>
  <c r="Y91" i="28" s="1"/>
  <c r="S91" i="28"/>
  <c r="Z91" i="28" s="1"/>
  <c r="T91" i="28"/>
  <c r="AA91" i="28" s="1"/>
  <c r="U91" i="28"/>
  <c r="AB91" i="28" s="1"/>
  <c r="V91" i="28"/>
  <c r="AC91" i="28" s="1"/>
  <c r="Q92" i="28"/>
  <c r="X92" i="28" s="1"/>
  <c r="R92" i="28"/>
  <c r="Y92" i="28" s="1"/>
  <c r="S92" i="28"/>
  <c r="Z92" i="28" s="1"/>
  <c r="T92" i="28"/>
  <c r="AA92" i="28" s="1"/>
  <c r="U92" i="28"/>
  <c r="AB92" i="28" s="1"/>
  <c r="V92" i="28"/>
  <c r="AC92" i="28" s="1"/>
  <c r="Q93" i="28"/>
  <c r="X93" i="28" s="1"/>
  <c r="R93" i="28"/>
  <c r="Y93" i="28" s="1"/>
  <c r="S93" i="28"/>
  <c r="Z93" i="28" s="1"/>
  <c r="T93" i="28"/>
  <c r="AA93" i="28" s="1"/>
  <c r="U93" i="28"/>
  <c r="AB93" i="28" s="1"/>
  <c r="V93" i="28"/>
  <c r="AC93" i="28" s="1"/>
  <c r="Q94" i="28"/>
  <c r="X94" i="28" s="1"/>
  <c r="R94" i="28"/>
  <c r="Y94" i="28" s="1"/>
  <c r="S94" i="28"/>
  <c r="Z94" i="28" s="1"/>
  <c r="T94" i="28"/>
  <c r="AA94" i="28" s="1"/>
  <c r="U94" i="28"/>
  <c r="AB94" i="28" s="1"/>
  <c r="V94" i="28"/>
  <c r="AC94" i="28" s="1"/>
  <c r="Q95" i="28"/>
  <c r="X95" i="28" s="1"/>
  <c r="R95" i="28"/>
  <c r="Y95" i="28" s="1"/>
  <c r="S95" i="28"/>
  <c r="Z95" i="28" s="1"/>
  <c r="T95" i="28"/>
  <c r="AA95" i="28" s="1"/>
  <c r="U95" i="28"/>
  <c r="AB95" i="28" s="1"/>
  <c r="V95" i="28"/>
  <c r="AC95" i="28" s="1"/>
  <c r="Q96" i="28"/>
  <c r="X96" i="28" s="1"/>
  <c r="R96" i="28"/>
  <c r="Y96" i="28" s="1"/>
  <c r="S96" i="28"/>
  <c r="Z96" i="28" s="1"/>
  <c r="T96" i="28"/>
  <c r="AA96" i="28" s="1"/>
  <c r="U96" i="28"/>
  <c r="AB96" i="28" s="1"/>
  <c r="Q97" i="28"/>
  <c r="X97" i="28" s="1"/>
  <c r="R97" i="28"/>
  <c r="Y97" i="28" s="1"/>
  <c r="S97" i="28"/>
  <c r="Z97" i="28" s="1"/>
  <c r="T97" i="28"/>
  <c r="AA97" i="28" s="1"/>
  <c r="U97" i="28"/>
  <c r="AB97" i="28" s="1"/>
  <c r="V97" i="28"/>
  <c r="AC97" i="28" s="1"/>
  <c r="Q98" i="28"/>
  <c r="X98" i="28" s="1"/>
  <c r="R98" i="28"/>
  <c r="Y98" i="28" s="1"/>
  <c r="S98" i="28"/>
  <c r="Z98" i="28" s="1"/>
  <c r="T98" i="28"/>
  <c r="AA98" i="28" s="1"/>
  <c r="U98" i="28"/>
  <c r="AB98" i="28" s="1"/>
  <c r="V98" i="28"/>
  <c r="AC98" i="28" s="1"/>
  <c r="Q99" i="28"/>
  <c r="X99" i="28" s="1"/>
  <c r="R99" i="28"/>
  <c r="Y99" i="28" s="1"/>
  <c r="S99" i="28"/>
  <c r="Z99" i="28" s="1"/>
  <c r="T99" i="28"/>
  <c r="AA99" i="28" s="1"/>
  <c r="U99" i="28"/>
  <c r="AB99" i="28" s="1"/>
  <c r="V99" i="28"/>
  <c r="AC99" i="28" s="1"/>
  <c r="Q100" i="28"/>
  <c r="X100" i="28" s="1"/>
  <c r="R100" i="28"/>
  <c r="Y100" i="28" s="1"/>
  <c r="S100" i="28"/>
  <c r="Z100" i="28" s="1"/>
  <c r="T100" i="28"/>
  <c r="AA100" i="28" s="1"/>
  <c r="U100" i="28"/>
  <c r="AB100" i="28" s="1"/>
  <c r="V100" i="28"/>
  <c r="AC100" i="28" s="1"/>
  <c r="Q101" i="28"/>
  <c r="X101" i="28" s="1"/>
  <c r="R101" i="28"/>
  <c r="Y101" i="28" s="1"/>
  <c r="S101" i="28"/>
  <c r="Z101" i="28" s="1"/>
  <c r="T101" i="28"/>
  <c r="AA101" i="28" s="1"/>
  <c r="U101" i="28"/>
  <c r="AB101" i="28" s="1"/>
  <c r="V101" i="28"/>
  <c r="AC101" i="28" s="1"/>
  <c r="Q102" i="28"/>
  <c r="X102" i="28" s="1"/>
  <c r="R102" i="28"/>
  <c r="Y102" i="28" s="1"/>
  <c r="S102" i="28"/>
  <c r="Z102" i="28" s="1"/>
  <c r="T102" i="28"/>
  <c r="AA102" i="28" s="1"/>
  <c r="U102" i="28"/>
  <c r="AB102" i="28" s="1"/>
  <c r="V102" i="28"/>
  <c r="AC102" i="28" s="1"/>
  <c r="Q103" i="28"/>
  <c r="X103" i="28" s="1"/>
  <c r="R103" i="28"/>
  <c r="Y103" i="28" s="1"/>
  <c r="S103" i="28"/>
  <c r="Z103" i="28" s="1"/>
  <c r="T103" i="28"/>
  <c r="AA103" i="28" s="1"/>
  <c r="U103" i="28"/>
  <c r="AB103" i="28" s="1"/>
  <c r="V103" i="28"/>
  <c r="AC103" i="28" s="1"/>
  <c r="Q104" i="28"/>
  <c r="X104" i="28" s="1"/>
  <c r="R104" i="28"/>
  <c r="Y104" i="28" s="1"/>
  <c r="S104" i="28"/>
  <c r="Z104" i="28" s="1"/>
  <c r="T104" i="28"/>
  <c r="AA104" i="28" s="1"/>
  <c r="U104" i="28"/>
  <c r="AB104" i="28" s="1"/>
  <c r="Q105" i="28"/>
  <c r="X105" i="28" s="1"/>
  <c r="R105" i="28"/>
  <c r="Y105" i="28" s="1"/>
  <c r="S105" i="28"/>
  <c r="Z105" i="28" s="1"/>
  <c r="T105" i="28"/>
  <c r="AA105" i="28" s="1"/>
  <c r="U105" i="28"/>
  <c r="AB105" i="28" s="1"/>
  <c r="V105" i="28"/>
  <c r="AC105" i="28" s="1"/>
  <c r="Q106" i="28"/>
  <c r="X106" i="28" s="1"/>
  <c r="R106" i="28"/>
  <c r="Y106" i="28" s="1"/>
  <c r="S106" i="28"/>
  <c r="Z106" i="28" s="1"/>
  <c r="T106" i="28"/>
  <c r="AA106" i="28" s="1"/>
  <c r="U106" i="28"/>
  <c r="AB106" i="28" s="1"/>
  <c r="V106" i="28"/>
  <c r="AC106" i="28" s="1"/>
  <c r="Q107" i="28"/>
  <c r="X107" i="28" s="1"/>
  <c r="R107" i="28"/>
  <c r="Y107" i="28" s="1"/>
  <c r="S107" i="28"/>
  <c r="Z107" i="28" s="1"/>
  <c r="T107" i="28"/>
  <c r="AA107" i="28" s="1"/>
  <c r="U107" i="28"/>
  <c r="AB107" i="28" s="1"/>
  <c r="V107" i="28"/>
  <c r="AC107" i="28" s="1"/>
  <c r="Q108" i="28"/>
  <c r="X108" i="28" s="1"/>
  <c r="R108" i="28"/>
  <c r="Y108" i="28" s="1"/>
  <c r="S108" i="28"/>
  <c r="Z108" i="28" s="1"/>
  <c r="T108" i="28"/>
  <c r="AA108" i="28" s="1"/>
  <c r="U108" i="28"/>
  <c r="AB108" i="28" s="1"/>
  <c r="V108" i="28"/>
  <c r="AC108" i="28" s="1"/>
  <c r="Q109" i="28"/>
  <c r="X109" i="28" s="1"/>
  <c r="R109" i="28"/>
  <c r="Y109" i="28" s="1"/>
  <c r="S109" i="28"/>
  <c r="Z109" i="28" s="1"/>
  <c r="T109" i="28"/>
  <c r="AA109" i="28" s="1"/>
  <c r="U109" i="28"/>
  <c r="AB109" i="28" s="1"/>
  <c r="V109" i="28"/>
  <c r="AC109" i="28" s="1"/>
  <c r="Q110" i="28"/>
  <c r="X110" i="28" s="1"/>
  <c r="R110" i="28"/>
  <c r="Y110" i="28" s="1"/>
  <c r="S110" i="28"/>
  <c r="Z110" i="28" s="1"/>
  <c r="T110" i="28"/>
  <c r="AA110" i="28" s="1"/>
  <c r="U110" i="28"/>
  <c r="AB110" i="28" s="1"/>
  <c r="V110" i="28"/>
  <c r="AC110" i="28" s="1"/>
  <c r="Q111" i="28"/>
  <c r="X111" i="28" s="1"/>
  <c r="R111" i="28"/>
  <c r="Y111" i="28" s="1"/>
  <c r="S111" i="28"/>
  <c r="Z111" i="28" s="1"/>
  <c r="T111" i="28"/>
  <c r="AA111" i="28" s="1"/>
  <c r="U111" i="28"/>
  <c r="AB111" i="28" s="1"/>
  <c r="V111" i="28"/>
  <c r="AC111" i="28" s="1"/>
  <c r="Q112" i="28"/>
  <c r="X112" i="28" s="1"/>
  <c r="R112" i="28"/>
  <c r="Y112" i="28" s="1"/>
  <c r="S112" i="28"/>
  <c r="Z112" i="28" s="1"/>
  <c r="T112" i="28"/>
  <c r="AA112" i="28" s="1"/>
  <c r="U112" i="28"/>
  <c r="AB112" i="28" s="1"/>
  <c r="Q113" i="28"/>
  <c r="X113" i="28" s="1"/>
  <c r="R113" i="28"/>
  <c r="Y113" i="28" s="1"/>
  <c r="S113" i="28"/>
  <c r="Z113" i="28" s="1"/>
  <c r="T113" i="28"/>
  <c r="AA113" i="28" s="1"/>
  <c r="U113" i="28"/>
  <c r="AB113" i="28" s="1"/>
  <c r="V113" i="28"/>
  <c r="AC113" i="28" s="1"/>
  <c r="Q114" i="28"/>
  <c r="X114" i="28" s="1"/>
  <c r="R114" i="28"/>
  <c r="Y114" i="28" s="1"/>
  <c r="S114" i="28"/>
  <c r="Z114" i="28" s="1"/>
  <c r="T114" i="28"/>
  <c r="AA114" i="28" s="1"/>
  <c r="U114" i="28"/>
  <c r="AB114" i="28" s="1"/>
  <c r="V114" i="28"/>
  <c r="AC114" i="28" s="1"/>
  <c r="Q115" i="28"/>
  <c r="X115" i="28" s="1"/>
  <c r="R115" i="28"/>
  <c r="Y115" i="28" s="1"/>
  <c r="S115" i="28"/>
  <c r="Z115" i="28" s="1"/>
  <c r="T115" i="28"/>
  <c r="AA115" i="28" s="1"/>
  <c r="U115" i="28"/>
  <c r="AB115" i="28" s="1"/>
  <c r="V115" i="28"/>
  <c r="AC115" i="28" s="1"/>
  <c r="Q116" i="28"/>
  <c r="X116" i="28" s="1"/>
  <c r="R116" i="28"/>
  <c r="Y116" i="28" s="1"/>
  <c r="S116" i="28"/>
  <c r="Z116" i="28" s="1"/>
  <c r="T116" i="28"/>
  <c r="AA116" i="28" s="1"/>
  <c r="U116" i="28"/>
  <c r="AB116" i="28" s="1"/>
  <c r="V116" i="28"/>
  <c r="AC116" i="28" s="1"/>
  <c r="Q117" i="28"/>
  <c r="X117" i="28" s="1"/>
  <c r="R117" i="28"/>
  <c r="Y117" i="28" s="1"/>
  <c r="S117" i="28"/>
  <c r="Z117" i="28" s="1"/>
  <c r="T117" i="28"/>
  <c r="AA117" i="28" s="1"/>
  <c r="U117" i="28"/>
  <c r="AB117" i="28" s="1"/>
  <c r="V117" i="28"/>
  <c r="AC117" i="28" s="1"/>
  <c r="Q118" i="28"/>
  <c r="X118" i="28" s="1"/>
  <c r="R118" i="28"/>
  <c r="Y118" i="28" s="1"/>
  <c r="S118" i="28"/>
  <c r="Z118" i="28" s="1"/>
  <c r="T118" i="28"/>
  <c r="AA118" i="28" s="1"/>
  <c r="U118" i="28"/>
  <c r="AB118" i="28" s="1"/>
  <c r="V118" i="28"/>
  <c r="AC118" i="28" s="1"/>
  <c r="Q119" i="28"/>
  <c r="X119" i="28" s="1"/>
  <c r="R119" i="28"/>
  <c r="Y119" i="28" s="1"/>
  <c r="S119" i="28"/>
  <c r="Z119" i="28" s="1"/>
  <c r="T119" i="28"/>
  <c r="AA119" i="28" s="1"/>
  <c r="U119" i="28"/>
  <c r="AB119" i="28" s="1"/>
  <c r="V119" i="28"/>
  <c r="AC119" i="28" s="1"/>
  <c r="Q120" i="28"/>
  <c r="X120" i="28" s="1"/>
  <c r="R120" i="28"/>
  <c r="Y120" i="28" s="1"/>
  <c r="S120" i="28"/>
  <c r="Z120" i="28" s="1"/>
  <c r="T120" i="28"/>
  <c r="AA120" i="28" s="1"/>
  <c r="U120" i="28"/>
  <c r="AB120" i="28" s="1"/>
  <c r="Q121" i="28"/>
  <c r="X121" i="28" s="1"/>
  <c r="R121" i="28"/>
  <c r="Y121" i="28" s="1"/>
  <c r="S121" i="28"/>
  <c r="Z121" i="28" s="1"/>
  <c r="T121" i="28"/>
  <c r="AA121" i="28" s="1"/>
  <c r="U121" i="28"/>
  <c r="AB121" i="28" s="1"/>
  <c r="V121" i="28"/>
  <c r="AC121" i="28" s="1"/>
  <c r="Q122" i="28"/>
  <c r="X122" i="28" s="1"/>
  <c r="R122" i="28"/>
  <c r="Y122" i="28" s="1"/>
  <c r="S122" i="28"/>
  <c r="Z122" i="28" s="1"/>
  <c r="T122" i="28"/>
  <c r="AA122" i="28" s="1"/>
  <c r="U122" i="28"/>
  <c r="AB122" i="28" s="1"/>
  <c r="V122" i="28"/>
  <c r="AC122" i="28" s="1"/>
  <c r="Q123" i="28"/>
  <c r="X123" i="28" s="1"/>
  <c r="R123" i="28"/>
  <c r="Y123" i="28" s="1"/>
  <c r="S123" i="28"/>
  <c r="Z123" i="28" s="1"/>
  <c r="T123" i="28"/>
  <c r="AA123" i="28" s="1"/>
  <c r="U123" i="28"/>
  <c r="AB123" i="28" s="1"/>
  <c r="V123" i="28"/>
  <c r="AC123" i="28" s="1"/>
  <c r="Q124" i="28"/>
  <c r="X124" i="28" s="1"/>
  <c r="R124" i="28"/>
  <c r="Y124" i="28" s="1"/>
  <c r="S124" i="28"/>
  <c r="Z124" i="28" s="1"/>
  <c r="T124" i="28"/>
  <c r="AA124" i="28" s="1"/>
  <c r="U124" i="28"/>
  <c r="AB124" i="28" s="1"/>
  <c r="V124" i="28"/>
  <c r="AC124" i="28" s="1"/>
  <c r="Q125" i="28"/>
  <c r="X125" i="28" s="1"/>
  <c r="R125" i="28"/>
  <c r="Y125" i="28" s="1"/>
  <c r="S125" i="28"/>
  <c r="Z125" i="28" s="1"/>
  <c r="T125" i="28"/>
  <c r="AA125" i="28" s="1"/>
  <c r="U125" i="28"/>
  <c r="AB125" i="28" s="1"/>
  <c r="V125" i="28"/>
  <c r="AC125" i="28" s="1"/>
  <c r="Q126" i="28"/>
  <c r="X126" i="28" s="1"/>
  <c r="R126" i="28"/>
  <c r="Y126" i="28" s="1"/>
  <c r="S126" i="28"/>
  <c r="Z126" i="28" s="1"/>
  <c r="T126" i="28"/>
  <c r="AA126" i="28" s="1"/>
  <c r="U126" i="28"/>
  <c r="AB126" i="28" s="1"/>
  <c r="V126" i="28"/>
  <c r="AC126" i="28" s="1"/>
  <c r="Q127" i="28"/>
  <c r="X127" i="28" s="1"/>
  <c r="R127" i="28"/>
  <c r="Y127" i="28" s="1"/>
  <c r="S127" i="28"/>
  <c r="Z127" i="28" s="1"/>
  <c r="T127" i="28"/>
  <c r="AA127" i="28" s="1"/>
  <c r="U127" i="28"/>
  <c r="AB127" i="28" s="1"/>
  <c r="V127" i="28"/>
  <c r="AC127" i="28" s="1"/>
  <c r="Q128" i="28"/>
  <c r="X128" i="28" s="1"/>
  <c r="R128" i="28"/>
  <c r="Y128" i="28" s="1"/>
  <c r="S128" i="28"/>
  <c r="Z128" i="28" s="1"/>
  <c r="T128" i="28"/>
  <c r="AA128" i="28" s="1"/>
  <c r="U128" i="28"/>
  <c r="AB128" i="28" s="1"/>
  <c r="Q129" i="28"/>
  <c r="X129" i="28" s="1"/>
  <c r="R129" i="28"/>
  <c r="Y129" i="28" s="1"/>
  <c r="S129" i="28"/>
  <c r="Z129" i="28" s="1"/>
  <c r="T129" i="28"/>
  <c r="AA129" i="28" s="1"/>
  <c r="U129" i="28"/>
  <c r="AB129" i="28" s="1"/>
  <c r="V129" i="28"/>
  <c r="AC129" i="28" s="1"/>
  <c r="Q130" i="28"/>
  <c r="X130" i="28" s="1"/>
  <c r="R130" i="28"/>
  <c r="Y130" i="28" s="1"/>
  <c r="S130" i="28"/>
  <c r="Z130" i="28" s="1"/>
  <c r="T130" i="28"/>
  <c r="AA130" i="28" s="1"/>
  <c r="U130" i="28"/>
  <c r="AB130" i="28" s="1"/>
  <c r="V130" i="28"/>
  <c r="AC130" i="28" s="1"/>
  <c r="Q131" i="28"/>
  <c r="X131" i="28" s="1"/>
  <c r="R131" i="28"/>
  <c r="Y131" i="28" s="1"/>
  <c r="S131" i="28"/>
  <c r="Z131" i="28" s="1"/>
  <c r="T131" i="28"/>
  <c r="AA131" i="28" s="1"/>
  <c r="U131" i="28"/>
  <c r="AB131" i="28" s="1"/>
  <c r="V131" i="28"/>
  <c r="AC131" i="28" s="1"/>
  <c r="Q132" i="28"/>
  <c r="X132" i="28" s="1"/>
  <c r="R132" i="28"/>
  <c r="Y132" i="28" s="1"/>
  <c r="S132" i="28"/>
  <c r="Z132" i="28" s="1"/>
  <c r="T132" i="28"/>
  <c r="AA132" i="28" s="1"/>
  <c r="U132" i="28"/>
  <c r="AB132" i="28" s="1"/>
  <c r="V132" i="28"/>
  <c r="AC132" i="28" s="1"/>
  <c r="Q133" i="28"/>
  <c r="X133" i="28" s="1"/>
  <c r="R133" i="28"/>
  <c r="Y133" i="28" s="1"/>
  <c r="S133" i="28"/>
  <c r="Z133" i="28" s="1"/>
  <c r="T133" i="28"/>
  <c r="AA133" i="28" s="1"/>
  <c r="U133" i="28"/>
  <c r="AB133" i="28" s="1"/>
  <c r="V133" i="28"/>
  <c r="AC133" i="28" s="1"/>
  <c r="Q134" i="28"/>
  <c r="X134" i="28" s="1"/>
  <c r="R134" i="28"/>
  <c r="Y134" i="28" s="1"/>
  <c r="S134" i="28"/>
  <c r="Z134" i="28" s="1"/>
  <c r="T134" i="28"/>
  <c r="AA134" i="28" s="1"/>
  <c r="U134" i="28"/>
  <c r="AB134" i="28" s="1"/>
  <c r="V134" i="28"/>
  <c r="AC134" i="28" s="1"/>
  <c r="Q135" i="28"/>
  <c r="X135" i="28" s="1"/>
  <c r="R135" i="28"/>
  <c r="Y135" i="28" s="1"/>
  <c r="S135" i="28"/>
  <c r="Z135" i="28" s="1"/>
  <c r="T135" i="28"/>
  <c r="AA135" i="28" s="1"/>
  <c r="U135" i="28"/>
  <c r="AB135" i="28" s="1"/>
  <c r="V135" i="28"/>
  <c r="AC135" i="28" s="1"/>
  <c r="Q136" i="28"/>
  <c r="X136" i="28" s="1"/>
  <c r="R136" i="28"/>
  <c r="Y136" i="28" s="1"/>
  <c r="S136" i="28"/>
  <c r="Z136" i="28" s="1"/>
  <c r="T136" i="28"/>
  <c r="AA136" i="28" s="1"/>
  <c r="U136" i="28"/>
  <c r="AB136" i="28" s="1"/>
  <c r="Q137" i="28"/>
  <c r="X137" i="28" s="1"/>
  <c r="R137" i="28"/>
  <c r="Y137" i="28" s="1"/>
  <c r="S137" i="28"/>
  <c r="Z137" i="28" s="1"/>
  <c r="T137" i="28"/>
  <c r="AA137" i="28" s="1"/>
  <c r="U137" i="28"/>
  <c r="AB137" i="28" s="1"/>
  <c r="V137" i="28"/>
  <c r="AC137" i="28" s="1"/>
  <c r="Q138" i="28"/>
  <c r="X138" i="28" s="1"/>
  <c r="R138" i="28"/>
  <c r="Y138" i="28" s="1"/>
  <c r="S138" i="28"/>
  <c r="Z138" i="28" s="1"/>
  <c r="T138" i="28"/>
  <c r="AA138" i="28" s="1"/>
  <c r="U138" i="28"/>
  <c r="AB138" i="28" s="1"/>
  <c r="V138" i="28"/>
  <c r="AC138" i="28" s="1"/>
  <c r="Q139" i="28"/>
  <c r="X139" i="28" s="1"/>
  <c r="R139" i="28"/>
  <c r="Y139" i="28" s="1"/>
  <c r="S139" i="28"/>
  <c r="Z139" i="28" s="1"/>
  <c r="T139" i="28"/>
  <c r="AA139" i="28" s="1"/>
  <c r="U139" i="28"/>
  <c r="AB139" i="28" s="1"/>
  <c r="V139" i="28"/>
  <c r="AC139" i="28" s="1"/>
  <c r="Q140" i="28"/>
  <c r="X140" i="28" s="1"/>
  <c r="R140" i="28"/>
  <c r="Y140" i="28" s="1"/>
  <c r="S140" i="28"/>
  <c r="Z140" i="28" s="1"/>
  <c r="T140" i="28"/>
  <c r="AA140" i="28" s="1"/>
  <c r="U140" i="28"/>
  <c r="AB140" i="28" s="1"/>
  <c r="V140" i="28"/>
  <c r="AC140" i="28" s="1"/>
  <c r="Q141" i="28"/>
  <c r="X141" i="28" s="1"/>
  <c r="R141" i="28"/>
  <c r="Y141" i="28" s="1"/>
  <c r="S141" i="28"/>
  <c r="Z141" i="28" s="1"/>
  <c r="T141" i="28"/>
  <c r="AA141" i="28" s="1"/>
  <c r="U141" i="28"/>
  <c r="AB141" i="28" s="1"/>
  <c r="V141" i="28"/>
  <c r="AC141" i="28" s="1"/>
  <c r="Q142" i="28"/>
  <c r="X142" i="28" s="1"/>
  <c r="R142" i="28"/>
  <c r="Y142" i="28" s="1"/>
  <c r="S142" i="28"/>
  <c r="Z142" i="28" s="1"/>
  <c r="T142" i="28"/>
  <c r="AA142" i="28" s="1"/>
  <c r="U142" i="28"/>
  <c r="AB142" i="28" s="1"/>
  <c r="V142" i="28"/>
  <c r="AC142" i="28" s="1"/>
  <c r="Q143" i="28"/>
  <c r="X143" i="28" s="1"/>
  <c r="R143" i="28"/>
  <c r="Y143" i="28" s="1"/>
  <c r="S143" i="28"/>
  <c r="Z143" i="28" s="1"/>
  <c r="T143" i="28"/>
  <c r="AA143" i="28" s="1"/>
  <c r="U143" i="28"/>
  <c r="AB143" i="28" s="1"/>
  <c r="V143" i="28"/>
  <c r="AC143" i="28" s="1"/>
  <c r="Q144" i="28"/>
  <c r="X144" i="28" s="1"/>
  <c r="R144" i="28"/>
  <c r="Y144" i="28" s="1"/>
  <c r="S144" i="28"/>
  <c r="Z144" i="28" s="1"/>
  <c r="T144" i="28"/>
  <c r="AA144" i="28" s="1"/>
  <c r="U144" i="28"/>
  <c r="AB144" i="28" s="1"/>
  <c r="Q145" i="28"/>
  <c r="X145" i="28" s="1"/>
  <c r="R145" i="28"/>
  <c r="Y145" i="28" s="1"/>
  <c r="S145" i="28"/>
  <c r="Z145" i="28" s="1"/>
  <c r="T145" i="28"/>
  <c r="AA145" i="28" s="1"/>
  <c r="U145" i="28"/>
  <c r="AB145" i="28" s="1"/>
  <c r="V145" i="28"/>
  <c r="AC145" i="28" s="1"/>
  <c r="Q146" i="28"/>
  <c r="X146" i="28" s="1"/>
  <c r="R146" i="28"/>
  <c r="Y146" i="28" s="1"/>
  <c r="S146" i="28"/>
  <c r="Z146" i="28" s="1"/>
  <c r="T146" i="28"/>
  <c r="AA146" i="28" s="1"/>
  <c r="U146" i="28"/>
  <c r="AB146" i="28" s="1"/>
  <c r="V146" i="28"/>
  <c r="AC146" i="28" s="1"/>
  <c r="Q147" i="28"/>
  <c r="X147" i="28" s="1"/>
  <c r="R147" i="28"/>
  <c r="Y147" i="28" s="1"/>
  <c r="S147" i="28"/>
  <c r="Z147" i="28" s="1"/>
  <c r="T147" i="28"/>
  <c r="AA147" i="28" s="1"/>
  <c r="U147" i="28"/>
  <c r="AB147" i="28" s="1"/>
  <c r="V147" i="28"/>
  <c r="AC147" i="28" s="1"/>
  <c r="Q148" i="28"/>
  <c r="X148" i="28" s="1"/>
  <c r="R148" i="28"/>
  <c r="Y148" i="28" s="1"/>
  <c r="S148" i="28"/>
  <c r="Z148" i="28" s="1"/>
  <c r="T148" i="28"/>
  <c r="AA148" i="28" s="1"/>
  <c r="U148" i="28"/>
  <c r="AB148" i="28" s="1"/>
  <c r="V148" i="28"/>
  <c r="AC148" i="28" s="1"/>
  <c r="Q149" i="28"/>
  <c r="X149" i="28" s="1"/>
  <c r="R149" i="28"/>
  <c r="Y149" i="28" s="1"/>
  <c r="S149" i="28"/>
  <c r="Z149" i="28" s="1"/>
  <c r="T149" i="28"/>
  <c r="AA149" i="28" s="1"/>
  <c r="U149" i="28"/>
  <c r="AB149" i="28" s="1"/>
  <c r="V149" i="28"/>
  <c r="AC149" i="28" s="1"/>
  <c r="Q150" i="28"/>
  <c r="X150" i="28" s="1"/>
  <c r="R150" i="28"/>
  <c r="Y150" i="28" s="1"/>
  <c r="S150" i="28"/>
  <c r="Z150" i="28" s="1"/>
  <c r="T150" i="28"/>
  <c r="AA150" i="28" s="1"/>
  <c r="U150" i="28"/>
  <c r="AB150" i="28" s="1"/>
  <c r="V150" i="28"/>
  <c r="AC150" i="28" s="1"/>
  <c r="Q151" i="28"/>
  <c r="X151" i="28" s="1"/>
  <c r="R151" i="28"/>
  <c r="Y151" i="28" s="1"/>
  <c r="S151" i="28"/>
  <c r="Z151" i="28" s="1"/>
  <c r="T151" i="28"/>
  <c r="AA151" i="28" s="1"/>
  <c r="U151" i="28"/>
  <c r="AB151" i="28" s="1"/>
  <c r="V151" i="28"/>
  <c r="AC151" i="28" s="1"/>
  <c r="Q152" i="28"/>
  <c r="X152" i="28" s="1"/>
  <c r="R152" i="28"/>
  <c r="Y152" i="28" s="1"/>
  <c r="S152" i="28"/>
  <c r="Z152" i="28" s="1"/>
  <c r="T152" i="28"/>
  <c r="AA152" i="28" s="1"/>
  <c r="U152" i="28"/>
  <c r="AB152" i="28" s="1"/>
  <c r="Q153" i="28"/>
  <c r="X153" i="28" s="1"/>
  <c r="R153" i="28"/>
  <c r="Y153" i="28" s="1"/>
  <c r="S153" i="28"/>
  <c r="Z153" i="28" s="1"/>
  <c r="T153" i="28"/>
  <c r="AA153" i="28" s="1"/>
  <c r="U153" i="28"/>
  <c r="AB153" i="28" s="1"/>
  <c r="V153" i="28"/>
  <c r="AC153" i="28" s="1"/>
  <c r="Q154" i="28"/>
  <c r="X154" i="28" s="1"/>
  <c r="R154" i="28"/>
  <c r="Y154" i="28" s="1"/>
  <c r="S154" i="28"/>
  <c r="Z154" i="28" s="1"/>
  <c r="T154" i="28"/>
  <c r="AA154" i="28" s="1"/>
  <c r="U154" i="28"/>
  <c r="AB154" i="28" s="1"/>
  <c r="V154" i="28"/>
  <c r="AC154" i="28" s="1"/>
  <c r="Q155" i="28"/>
  <c r="X155" i="28" s="1"/>
  <c r="R155" i="28"/>
  <c r="Y155" i="28" s="1"/>
  <c r="S155" i="28"/>
  <c r="Z155" i="28" s="1"/>
  <c r="T155" i="28"/>
  <c r="AA155" i="28" s="1"/>
  <c r="U155" i="28"/>
  <c r="AB155" i="28" s="1"/>
  <c r="V155" i="28"/>
  <c r="AC155" i="28" s="1"/>
  <c r="Q156" i="28"/>
  <c r="X156" i="28" s="1"/>
  <c r="R156" i="28"/>
  <c r="Y156" i="28" s="1"/>
  <c r="S156" i="28"/>
  <c r="Z156" i="28" s="1"/>
  <c r="T156" i="28"/>
  <c r="AA156" i="28" s="1"/>
  <c r="U156" i="28"/>
  <c r="AB156" i="28" s="1"/>
  <c r="V156" i="28"/>
  <c r="AC156" i="28" s="1"/>
  <c r="Q157" i="28"/>
  <c r="X157" i="28" s="1"/>
  <c r="R157" i="28"/>
  <c r="Y157" i="28" s="1"/>
  <c r="S157" i="28"/>
  <c r="Z157" i="28" s="1"/>
  <c r="T157" i="28"/>
  <c r="AA157" i="28" s="1"/>
  <c r="U157" i="28"/>
  <c r="AB157" i="28" s="1"/>
  <c r="V157" i="28"/>
  <c r="AC157" i="28" s="1"/>
  <c r="Q158" i="28"/>
  <c r="X158" i="28" s="1"/>
  <c r="R158" i="28"/>
  <c r="Y158" i="28" s="1"/>
  <c r="S158" i="28"/>
  <c r="Z158" i="28" s="1"/>
  <c r="T158" i="28"/>
  <c r="AA158" i="28" s="1"/>
  <c r="U158" i="28"/>
  <c r="AB158" i="28" s="1"/>
  <c r="V158" i="28"/>
  <c r="AC158" i="28" s="1"/>
  <c r="Q159" i="28"/>
  <c r="X159" i="28" s="1"/>
  <c r="R159" i="28"/>
  <c r="Y159" i="28" s="1"/>
  <c r="S159" i="28"/>
  <c r="Z159" i="28" s="1"/>
  <c r="T159" i="28"/>
  <c r="AA159" i="28" s="1"/>
  <c r="U159" i="28"/>
  <c r="AB159" i="28" s="1"/>
  <c r="V159" i="28"/>
  <c r="AC159" i="28" s="1"/>
  <c r="Q160" i="28"/>
  <c r="X160" i="28" s="1"/>
  <c r="R160" i="28"/>
  <c r="Y160" i="28" s="1"/>
  <c r="S160" i="28"/>
  <c r="Z160" i="28" s="1"/>
  <c r="T160" i="28"/>
  <c r="AA160" i="28" s="1"/>
  <c r="U160" i="28"/>
  <c r="AB160" i="28" s="1"/>
  <c r="Q161" i="28"/>
  <c r="X161" i="28" s="1"/>
  <c r="R161" i="28"/>
  <c r="Y161" i="28" s="1"/>
  <c r="S161" i="28"/>
  <c r="Z161" i="28" s="1"/>
  <c r="T161" i="28"/>
  <c r="AA161" i="28" s="1"/>
  <c r="U161" i="28"/>
  <c r="AB161" i="28" s="1"/>
  <c r="V161" i="28"/>
  <c r="AC161" i="28" s="1"/>
  <c r="Q162" i="28"/>
  <c r="X162" i="28" s="1"/>
  <c r="R162" i="28"/>
  <c r="Y162" i="28" s="1"/>
  <c r="S162" i="28"/>
  <c r="Z162" i="28" s="1"/>
  <c r="T162" i="28"/>
  <c r="AA162" i="28" s="1"/>
  <c r="U162" i="28"/>
  <c r="AB162" i="28" s="1"/>
  <c r="V162" i="28"/>
  <c r="AC162" i="28" s="1"/>
  <c r="Q163" i="28"/>
  <c r="X163" i="28" s="1"/>
  <c r="R163" i="28"/>
  <c r="Y163" i="28" s="1"/>
  <c r="S163" i="28"/>
  <c r="Z163" i="28" s="1"/>
  <c r="T163" i="28"/>
  <c r="AA163" i="28" s="1"/>
  <c r="U163" i="28"/>
  <c r="AB163" i="28" s="1"/>
  <c r="V163" i="28"/>
  <c r="AC163" i="28" s="1"/>
  <c r="Q164" i="28"/>
  <c r="X164" i="28" s="1"/>
  <c r="R164" i="28"/>
  <c r="Y164" i="28" s="1"/>
  <c r="S164" i="28"/>
  <c r="Z164" i="28" s="1"/>
  <c r="T164" i="28"/>
  <c r="AA164" i="28" s="1"/>
  <c r="U164" i="28"/>
  <c r="AB164" i="28" s="1"/>
  <c r="V164" i="28"/>
  <c r="AC164" i="28" s="1"/>
  <c r="Q165" i="28"/>
  <c r="X165" i="28" s="1"/>
  <c r="R165" i="28"/>
  <c r="Y165" i="28" s="1"/>
  <c r="S165" i="28"/>
  <c r="Z165" i="28" s="1"/>
  <c r="T165" i="28"/>
  <c r="AA165" i="28" s="1"/>
  <c r="U165" i="28"/>
  <c r="AB165" i="28" s="1"/>
  <c r="V165" i="28"/>
  <c r="AC165" i="28" s="1"/>
  <c r="Q166" i="28"/>
  <c r="X166" i="28" s="1"/>
  <c r="R166" i="28"/>
  <c r="Y166" i="28" s="1"/>
  <c r="S166" i="28"/>
  <c r="Z166" i="28" s="1"/>
  <c r="T166" i="28"/>
  <c r="AA166" i="28" s="1"/>
  <c r="U166" i="28"/>
  <c r="AB166" i="28" s="1"/>
  <c r="V166" i="28"/>
  <c r="AC166" i="28" s="1"/>
  <c r="Q167" i="28"/>
  <c r="X167" i="28" s="1"/>
  <c r="R167" i="28"/>
  <c r="Y167" i="28" s="1"/>
  <c r="S167" i="28"/>
  <c r="Z167" i="28" s="1"/>
  <c r="T167" i="28"/>
  <c r="AA167" i="28" s="1"/>
  <c r="U167" i="28"/>
  <c r="AB167" i="28" s="1"/>
  <c r="V167" i="28"/>
  <c r="AC167" i="28" s="1"/>
  <c r="Q168" i="28"/>
  <c r="X168" i="28" s="1"/>
  <c r="R168" i="28"/>
  <c r="Y168" i="28" s="1"/>
  <c r="S168" i="28"/>
  <c r="Z168" i="28" s="1"/>
  <c r="T168" i="28"/>
  <c r="AA168" i="28" s="1"/>
  <c r="U168" i="28"/>
  <c r="AB168" i="28" s="1"/>
  <c r="Q169" i="28"/>
  <c r="X169" i="28" s="1"/>
  <c r="R169" i="28"/>
  <c r="Y169" i="28" s="1"/>
  <c r="S169" i="28"/>
  <c r="Z169" i="28" s="1"/>
  <c r="T169" i="28"/>
  <c r="AA169" i="28" s="1"/>
  <c r="U169" i="28"/>
  <c r="AB169" i="28" s="1"/>
  <c r="V169" i="28"/>
  <c r="AC169" i="28" s="1"/>
  <c r="Q170" i="28"/>
  <c r="X170" i="28" s="1"/>
  <c r="R170" i="28"/>
  <c r="Y170" i="28" s="1"/>
  <c r="S170" i="28"/>
  <c r="Z170" i="28" s="1"/>
  <c r="T170" i="28"/>
  <c r="AA170" i="28" s="1"/>
  <c r="U170" i="28"/>
  <c r="AB170" i="28" s="1"/>
  <c r="V170" i="28"/>
  <c r="AC170" i="28" s="1"/>
  <c r="Q171" i="28"/>
  <c r="X171" i="28" s="1"/>
  <c r="R171" i="28"/>
  <c r="Y171" i="28" s="1"/>
  <c r="S171" i="28"/>
  <c r="Z171" i="28" s="1"/>
  <c r="T171" i="28"/>
  <c r="AA171" i="28" s="1"/>
  <c r="U171" i="28"/>
  <c r="AB171" i="28" s="1"/>
  <c r="V171" i="28"/>
  <c r="AC171" i="28" s="1"/>
  <c r="Q172" i="28"/>
  <c r="X172" i="28" s="1"/>
  <c r="R172" i="28"/>
  <c r="Y172" i="28" s="1"/>
  <c r="S172" i="28"/>
  <c r="Z172" i="28" s="1"/>
  <c r="T172" i="28"/>
  <c r="AA172" i="28" s="1"/>
  <c r="U172" i="28"/>
  <c r="AB172" i="28" s="1"/>
  <c r="V172" i="28"/>
  <c r="AC172" i="28" s="1"/>
  <c r="Q173" i="28"/>
  <c r="X173" i="28" s="1"/>
  <c r="R173" i="28"/>
  <c r="Y173" i="28" s="1"/>
  <c r="S173" i="28"/>
  <c r="Z173" i="28" s="1"/>
  <c r="T173" i="28"/>
  <c r="AA173" i="28" s="1"/>
  <c r="U173" i="28"/>
  <c r="AB173" i="28" s="1"/>
  <c r="V173" i="28"/>
  <c r="AC173" i="28" s="1"/>
  <c r="Q174" i="28"/>
  <c r="X174" i="28" s="1"/>
  <c r="R174" i="28"/>
  <c r="Y174" i="28" s="1"/>
  <c r="S174" i="28"/>
  <c r="Z174" i="28" s="1"/>
  <c r="T174" i="28"/>
  <c r="AA174" i="28" s="1"/>
  <c r="U174" i="28"/>
  <c r="AB174" i="28" s="1"/>
  <c r="V174" i="28"/>
  <c r="AC174" i="28" s="1"/>
  <c r="Q175" i="28"/>
  <c r="X175" i="28" s="1"/>
  <c r="R175" i="28"/>
  <c r="Y175" i="28" s="1"/>
  <c r="S175" i="28"/>
  <c r="Z175" i="28" s="1"/>
  <c r="T175" i="28"/>
  <c r="AA175" i="28" s="1"/>
  <c r="U175" i="28"/>
  <c r="AB175" i="28" s="1"/>
  <c r="V175" i="28"/>
  <c r="AC175" i="28" s="1"/>
  <c r="Q176" i="28"/>
  <c r="X176" i="28" s="1"/>
  <c r="R176" i="28"/>
  <c r="Y176" i="28" s="1"/>
  <c r="S176" i="28"/>
  <c r="Z176" i="28" s="1"/>
  <c r="T176" i="28"/>
  <c r="AA176" i="28" s="1"/>
  <c r="U176" i="28"/>
  <c r="AB176" i="28" s="1"/>
  <c r="Q177" i="28"/>
  <c r="X177" i="28" s="1"/>
  <c r="R177" i="28"/>
  <c r="Y177" i="28" s="1"/>
  <c r="S177" i="28"/>
  <c r="Z177" i="28" s="1"/>
  <c r="T177" i="28"/>
  <c r="AA177" i="28" s="1"/>
  <c r="U177" i="28"/>
  <c r="AB177" i="28" s="1"/>
  <c r="V177" i="28"/>
  <c r="AC177" i="28" s="1"/>
  <c r="Q178" i="28"/>
  <c r="X178" i="28" s="1"/>
  <c r="R178" i="28"/>
  <c r="Y178" i="28" s="1"/>
  <c r="S178" i="28"/>
  <c r="Z178" i="28" s="1"/>
  <c r="T178" i="28"/>
  <c r="AA178" i="28" s="1"/>
  <c r="U178" i="28"/>
  <c r="AB178" i="28" s="1"/>
  <c r="V178" i="28"/>
  <c r="AC178" i="28" s="1"/>
  <c r="Q179" i="28"/>
  <c r="X179" i="28" s="1"/>
  <c r="R179" i="28"/>
  <c r="Y179" i="28" s="1"/>
  <c r="S179" i="28"/>
  <c r="Z179" i="28" s="1"/>
  <c r="T179" i="28"/>
  <c r="AA179" i="28" s="1"/>
  <c r="U179" i="28"/>
  <c r="AB179" i="28" s="1"/>
  <c r="V179" i="28"/>
  <c r="AC179" i="28" s="1"/>
  <c r="Q180" i="28"/>
  <c r="X180" i="28" s="1"/>
  <c r="R180" i="28"/>
  <c r="Y180" i="28" s="1"/>
  <c r="S180" i="28"/>
  <c r="Z180" i="28" s="1"/>
  <c r="T180" i="28"/>
  <c r="AA180" i="28" s="1"/>
  <c r="U180" i="28"/>
  <c r="AB180" i="28" s="1"/>
  <c r="V180" i="28"/>
  <c r="AC180" i="28" s="1"/>
  <c r="Q181" i="28"/>
  <c r="X181" i="28" s="1"/>
  <c r="R181" i="28"/>
  <c r="Y181" i="28" s="1"/>
  <c r="S181" i="28"/>
  <c r="Z181" i="28" s="1"/>
  <c r="T181" i="28"/>
  <c r="AA181" i="28" s="1"/>
  <c r="U181" i="28"/>
  <c r="AB181" i="28" s="1"/>
  <c r="V181" i="28"/>
  <c r="AC181" i="28" s="1"/>
  <c r="Q182" i="28"/>
  <c r="X182" i="28" s="1"/>
  <c r="R182" i="28"/>
  <c r="Y182" i="28" s="1"/>
  <c r="S182" i="28"/>
  <c r="Z182" i="28" s="1"/>
  <c r="T182" i="28"/>
  <c r="AA182" i="28" s="1"/>
  <c r="U182" i="28"/>
  <c r="AB182" i="28" s="1"/>
  <c r="V182" i="28"/>
  <c r="AC182" i="28" s="1"/>
  <c r="Q183" i="28"/>
  <c r="X183" i="28" s="1"/>
  <c r="R183" i="28"/>
  <c r="Y183" i="28" s="1"/>
  <c r="S183" i="28"/>
  <c r="Z183" i="28" s="1"/>
  <c r="T183" i="28"/>
  <c r="AA183" i="28" s="1"/>
  <c r="U183" i="28"/>
  <c r="AB183" i="28" s="1"/>
  <c r="V183" i="28"/>
  <c r="AC183" i="28" s="1"/>
  <c r="Q184" i="28"/>
  <c r="X184" i="28" s="1"/>
  <c r="R184" i="28"/>
  <c r="Y184" i="28" s="1"/>
  <c r="S184" i="28"/>
  <c r="Z184" i="28" s="1"/>
  <c r="T184" i="28"/>
  <c r="AA184" i="28" s="1"/>
  <c r="U184" i="28"/>
  <c r="AB184" i="28" s="1"/>
  <c r="Q185" i="28"/>
  <c r="X185" i="28" s="1"/>
  <c r="R185" i="28"/>
  <c r="Y185" i="28" s="1"/>
  <c r="S185" i="28"/>
  <c r="Z185" i="28" s="1"/>
  <c r="T185" i="28"/>
  <c r="AA185" i="28" s="1"/>
  <c r="U185" i="28"/>
  <c r="AB185" i="28" s="1"/>
  <c r="V185" i="28"/>
  <c r="AC185" i="28" s="1"/>
  <c r="Q186" i="28"/>
  <c r="X186" i="28" s="1"/>
  <c r="R186" i="28"/>
  <c r="Y186" i="28" s="1"/>
  <c r="S186" i="28"/>
  <c r="Z186" i="28" s="1"/>
  <c r="T186" i="28"/>
  <c r="AA186" i="28" s="1"/>
  <c r="U186" i="28"/>
  <c r="AB186" i="28" s="1"/>
  <c r="V186" i="28"/>
  <c r="AC186" i="28" s="1"/>
  <c r="Q187" i="28"/>
  <c r="X187" i="28" s="1"/>
  <c r="R187" i="28"/>
  <c r="Y187" i="28" s="1"/>
  <c r="S187" i="28"/>
  <c r="Z187" i="28" s="1"/>
  <c r="T187" i="28"/>
  <c r="AA187" i="28" s="1"/>
  <c r="U187" i="28"/>
  <c r="AB187" i="28" s="1"/>
  <c r="V187" i="28"/>
  <c r="AC187" i="28" s="1"/>
  <c r="Q188" i="28"/>
  <c r="X188" i="28" s="1"/>
  <c r="R188" i="28"/>
  <c r="Y188" i="28" s="1"/>
  <c r="S188" i="28"/>
  <c r="Z188" i="28" s="1"/>
  <c r="T188" i="28"/>
  <c r="AA188" i="28" s="1"/>
  <c r="U188" i="28"/>
  <c r="AB188" i="28" s="1"/>
  <c r="V188" i="28"/>
  <c r="AC188" i="28" s="1"/>
  <c r="Q189" i="28"/>
  <c r="X189" i="28" s="1"/>
  <c r="R189" i="28"/>
  <c r="Y189" i="28" s="1"/>
  <c r="S189" i="28"/>
  <c r="Z189" i="28" s="1"/>
  <c r="T189" i="28"/>
  <c r="AA189" i="28" s="1"/>
  <c r="U189" i="28"/>
  <c r="AB189" i="28" s="1"/>
  <c r="V189" i="28"/>
  <c r="AC189" i="28" s="1"/>
  <c r="Q190" i="28"/>
  <c r="X190" i="28" s="1"/>
  <c r="R190" i="28"/>
  <c r="Y190" i="28" s="1"/>
  <c r="S190" i="28"/>
  <c r="Z190" i="28" s="1"/>
  <c r="T190" i="28"/>
  <c r="AA190" i="28" s="1"/>
  <c r="U190" i="28"/>
  <c r="AB190" i="28" s="1"/>
  <c r="V190" i="28"/>
  <c r="AC190" i="28" s="1"/>
  <c r="Q191" i="28"/>
  <c r="X191" i="28" s="1"/>
  <c r="R191" i="28"/>
  <c r="Y191" i="28" s="1"/>
  <c r="S191" i="28"/>
  <c r="Z191" i="28" s="1"/>
  <c r="T191" i="28"/>
  <c r="AA191" i="28" s="1"/>
  <c r="U191" i="28"/>
  <c r="AB191" i="28" s="1"/>
  <c r="V191" i="28"/>
  <c r="AC191" i="28" s="1"/>
  <c r="Q192" i="28"/>
  <c r="X192" i="28" s="1"/>
  <c r="R192" i="28"/>
  <c r="Y192" i="28" s="1"/>
  <c r="S192" i="28"/>
  <c r="Z192" i="28" s="1"/>
  <c r="T192" i="28"/>
  <c r="AA192" i="28" s="1"/>
  <c r="U192" i="28"/>
  <c r="AB192" i="28" s="1"/>
  <c r="Q193" i="28"/>
  <c r="X193" i="28" s="1"/>
  <c r="R193" i="28"/>
  <c r="Y193" i="28" s="1"/>
  <c r="S193" i="28"/>
  <c r="Z193" i="28" s="1"/>
  <c r="T193" i="28"/>
  <c r="AA193" i="28" s="1"/>
  <c r="U193" i="28"/>
  <c r="AB193" i="28" s="1"/>
  <c r="V193" i="28"/>
  <c r="AC193" i="28" s="1"/>
  <c r="Q194" i="28"/>
  <c r="X194" i="28" s="1"/>
  <c r="R194" i="28"/>
  <c r="Y194" i="28" s="1"/>
  <c r="S194" i="28"/>
  <c r="Z194" i="28" s="1"/>
  <c r="T194" i="28"/>
  <c r="AA194" i="28" s="1"/>
  <c r="U194" i="28"/>
  <c r="AB194" i="28" s="1"/>
  <c r="V194" i="28"/>
  <c r="AC194" i="28" s="1"/>
  <c r="Q195" i="28"/>
  <c r="X195" i="28" s="1"/>
  <c r="R195" i="28"/>
  <c r="Y195" i="28" s="1"/>
  <c r="S195" i="28"/>
  <c r="Z195" i="28" s="1"/>
  <c r="T195" i="28"/>
  <c r="AA195" i="28" s="1"/>
  <c r="U195" i="28"/>
  <c r="AB195" i="28" s="1"/>
  <c r="V195" i="28"/>
  <c r="AC195" i="28" s="1"/>
  <c r="Q196" i="28"/>
  <c r="X196" i="28" s="1"/>
  <c r="R196" i="28"/>
  <c r="Y196" i="28" s="1"/>
  <c r="S196" i="28"/>
  <c r="Z196" i="28" s="1"/>
  <c r="T196" i="28"/>
  <c r="AA196" i="28" s="1"/>
  <c r="U196" i="28"/>
  <c r="AB196" i="28" s="1"/>
  <c r="V196" i="28"/>
  <c r="AC196" i="28" s="1"/>
  <c r="Q197" i="28"/>
  <c r="X197" i="28" s="1"/>
  <c r="R197" i="28"/>
  <c r="Y197" i="28" s="1"/>
  <c r="S197" i="28"/>
  <c r="Z197" i="28" s="1"/>
  <c r="T197" i="28"/>
  <c r="AA197" i="28" s="1"/>
  <c r="U197" i="28"/>
  <c r="AB197" i="28" s="1"/>
  <c r="V197" i="28"/>
  <c r="AC197" i="28" s="1"/>
  <c r="Q198" i="28"/>
  <c r="X198" i="28" s="1"/>
  <c r="R198" i="28"/>
  <c r="Y198" i="28" s="1"/>
  <c r="S198" i="28"/>
  <c r="Z198" i="28" s="1"/>
  <c r="T198" i="28"/>
  <c r="AA198" i="28" s="1"/>
  <c r="U198" i="28"/>
  <c r="AB198" i="28" s="1"/>
  <c r="V198" i="28"/>
  <c r="AC198" i="28" s="1"/>
  <c r="Q199" i="28"/>
  <c r="X199" i="28" s="1"/>
  <c r="R199" i="28"/>
  <c r="Y199" i="28" s="1"/>
  <c r="S199" i="28"/>
  <c r="Z199" i="28" s="1"/>
  <c r="T199" i="28"/>
  <c r="AA199" i="28" s="1"/>
  <c r="U199" i="28"/>
  <c r="AB199" i="28" s="1"/>
  <c r="V199" i="28"/>
  <c r="AC199" i="28" s="1"/>
  <c r="Q200" i="28"/>
  <c r="X200" i="28" s="1"/>
  <c r="R200" i="28"/>
  <c r="Y200" i="28" s="1"/>
  <c r="S200" i="28"/>
  <c r="Z200" i="28" s="1"/>
  <c r="T200" i="28"/>
  <c r="AA200" i="28" s="1"/>
  <c r="U200" i="28"/>
  <c r="AB200" i="28" s="1"/>
  <c r="Q201" i="28"/>
  <c r="X201" i="28" s="1"/>
  <c r="R201" i="28"/>
  <c r="Y201" i="28" s="1"/>
  <c r="S201" i="28"/>
  <c r="Z201" i="28" s="1"/>
  <c r="T201" i="28"/>
  <c r="AA201" i="28" s="1"/>
  <c r="U201" i="28"/>
  <c r="AB201" i="28" s="1"/>
  <c r="V201" i="28"/>
  <c r="AC201" i="28" s="1"/>
  <c r="Q202" i="28"/>
  <c r="X202" i="28" s="1"/>
  <c r="R202" i="28"/>
  <c r="Y202" i="28" s="1"/>
  <c r="S202" i="28"/>
  <c r="Z202" i="28" s="1"/>
  <c r="T202" i="28"/>
  <c r="AA202" i="28" s="1"/>
  <c r="U202" i="28"/>
  <c r="AB202" i="28" s="1"/>
  <c r="V202" i="28"/>
  <c r="AC202" i="28" s="1"/>
  <c r="Q203" i="28"/>
  <c r="X203" i="28" s="1"/>
  <c r="R203" i="28"/>
  <c r="Y203" i="28" s="1"/>
  <c r="S203" i="28"/>
  <c r="Z203" i="28" s="1"/>
  <c r="T203" i="28"/>
  <c r="AA203" i="28" s="1"/>
  <c r="U203" i="28"/>
  <c r="AB203" i="28" s="1"/>
  <c r="V203" i="28"/>
  <c r="AC203" i="28" s="1"/>
  <c r="Q204" i="28"/>
  <c r="X204" i="28" s="1"/>
  <c r="R204" i="28"/>
  <c r="Y204" i="28" s="1"/>
  <c r="S204" i="28"/>
  <c r="Z204" i="28" s="1"/>
  <c r="T204" i="28"/>
  <c r="AA204" i="28" s="1"/>
  <c r="U204" i="28"/>
  <c r="AB204" i="28" s="1"/>
  <c r="V204" i="28"/>
  <c r="AC204" i="28" s="1"/>
  <c r="Q205" i="28"/>
  <c r="X205" i="28" s="1"/>
  <c r="R205" i="28"/>
  <c r="Y205" i="28" s="1"/>
  <c r="S205" i="28"/>
  <c r="Z205" i="28" s="1"/>
  <c r="T205" i="28"/>
  <c r="AA205" i="28" s="1"/>
  <c r="U205" i="28"/>
  <c r="AB205" i="28" s="1"/>
  <c r="V205" i="28"/>
  <c r="AC205" i="28" s="1"/>
  <c r="Q206" i="28"/>
  <c r="X206" i="28" s="1"/>
  <c r="R206" i="28"/>
  <c r="Y206" i="28" s="1"/>
  <c r="S206" i="28"/>
  <c r="Z206" i="28" s="1"/>
  <c r="T206" i="28"/>
  <c r="AA206" i="28" s="1"/>
  <c r="U206" i="28"/>
  <c r="AB206" i="28" s="1"/>
  <c r="V206" i="28"/>
  <c r="AC206" i="28" s="1"/>
  <c r="Q207" i="28"/>
  <c r="X207" i="28" s="1"/>
  <c r="R207" i="28"/>
  <c r="Y207" i="28" s="1"/>
  <c r="S207" i="28"/>
  <c r="Z207" i="28" s="1"/>
  <c r="T207" i="28"/>
  <c r="AA207" i="28" s="1"/>
  <c r="U207" i="28"/>
  <c r="AB207" i="28" s="1"/>
  <c r="V207" i="28"/>
  <c r="AC207" i="28" s="1"/>
  <c r="Q208" i="28"/>
  <c r="X208" i="28" s="1"/>
  <c r="R208" i="28"/>
  <c r="Y208" i="28" s="1"/>
  <c r="S208" i="28"/>
  <c r="Z208" i="28" s="1"/>
  <c r="T208" i="28"/>
  <c r="AA208" i="28" s="1"/>
  <c r="U208" i="28"/>
  <c r="AB208" i="28" s="1"/>
  <c r="Q209" i="28"/>
  <c r="X209" i="28" s="1"/>
  <c r="R209" i="28"/>
  <c r="Y209" i="28" s="1"/>
  <c r="S209" i="28"/>
  <c r="Z209" i="28" s="1"/>
  <c r="T209" i="28"/>
  <c r="AA209" i="28" s="1"/>
  <c r="U209" i="28"/>
  <c r="AB209" i="28" s="1"/>
  <c r="V209" i="28"/>
  <c r="AC209" i="28" s="1"/>
  <c r="Q210" i="28"/>
  <c r="X210" i="28" s="1"/>
  <c r="R210" i="28"/>
  <c r="Y210" i="28" s="1"/>
  <c r="S210" i="28"/>
  <c r="Z210" i="28" s="1"/>
  <c r="T210" i="28"/>
  <c r="AA210" i="28" s="1"/>
  <c r="U210" i="28"/>
  <c r="AB210" i="28" s="1"/>
  <c r="V210" i="28"/>
  <c r="AC210" i="28" s="1"/>
  <c r="Q211" i="28"/>
  <c r="X211" i="28" s="1"/>
  <c r="R211" i="28"/>
  <c r="Y211" i="28" s="1"/>
  <c r="S211" i="28"/>
  <c r="Z211" i="28" s="1"/>
  <c r="T211" i="28"/>
  <c r="AA211" i="28" s="1"/>
  <c r="U211" i="28"/>
  <c r="AB211" i="28" s="1"/>
  <c r="V211" i="28"/>
  <c r="AC211" i="28" s="1"/>
  <c r="Q212" i="28"/>
  <c r="X212" i="28" s="1"/>
  <c r="R212" i="28"/>
  <c r="Y212" i="28" s="1"/>
  <c r="S212" i="28"/>
  <c r="Z212" i="28" s="1"/>
  <c r="T212" i="28"/>
  <c r="AA212" i="28" s="1"/>
  <c r="U212" i="28"/>
  <c r="AB212" i="28" s="1"/>
  <c r="V212" i="28"/>
  <c r="AC212" i="28" s="1"/>
  <c r="Q213" i="28"/>
  <c r="X213" i="28" s="1"/>
  <c r="R213" i="28"/>
  <c r="Y213" i="28" s="1"/>
  <c r="S213" i="28"/>
  <c r="Z213" i="28" s="1"/>
  <c r="T213" i="28"/>
  <c r="AA213" i="28" s="1"/>
  <c r="U213" i="28"/>
  <c r="AB213" i="28" s="1"/>
  <c r="V213" i="28"/>
  <c r="AC213" i="28" s="1"/>
  <c r="Q214" i="28"/>
  <c r="X214" i="28" s="1"/>
  <c r="R214" i="28"/>
  <c r="Y214" i="28" s="1"/>
  <c r="S214" i="28"/>
  <c r="Z214" i="28" s="1"/>
  <c r="T214" i="28"/>
  <c r="AA214" i="28" s="1"/>
  <c r="U214" i="28"/>
  <c r="AB214" i="28" s="1"/>
  <c r="V214" i="28"/>
  <c r="AC214" i="28" s="1"/>
  <c r="Q215" i="28"/>
  <c r="X215" i="28" s="1"/>
  <c r="R215" i="28"/>
  <c r="Y215" i="28" s="1"/>
  <c r="S215" i="28"/>
  <c r="Z215" i="28" s="1"/>
  <c r="T215" i="28"/>
  <c r="AA215" i="28" s="1"/>
  <c r="U215" i="28"/>
  <c r="AB215" i="28" s="1"/>
  <c r="V215" i="28"/>
  <c r="AC215" i="28" s="1"/>
  <c r="Q216" i="28"/>
  <c r="X216" i="28" s="1"/>
  <c r="R216" i="28"/>
  <c r="Y216" i="28" s="1"/>
  <c r="S216" i="28"/>
  <c r="Z216" i="28" s="1"/>
  <c r="T216" i="28"/>
  <c r="AA216" i="28" s="1"/>
  <c r="U216" i="28"/>
  <c r="AB216" i="28" s="1"/>
  <c r="Q217" i="28"/>
  <c r="X217" i="28" s="1"/>
  <c r="R217" i="28"/>
  <c r="Y217" i="28" s="1"/>
  <c r="S217" i="28"/>
  <c r="Z217" i="28" s="1"/>
  <c r="T217" i="28"/>
  <c r="AA217" i="28" s="1"/>
  <c r="U217" i="28"/>
  <c r="AB217" i="28" s="1"/>
  <c r="V217" i="28"/>
  <c r="AC217" i="28" s="1"/>
  <c r="Q218" i="28"/>
  <c r="X218" i="28" s="1"/>
  <c r="R218" i="28"/>
  <c r="Y218" i="28" s="1"/>
  <c r="S218" i="28"/>
  <c r="Z218" i="28" s="1"/>
  <c r="T218" i="28"/>
  <c r="AA218" i="28" s="1"/>
  <c r="U218" i="28"/>
  <c r="AB218" i="28" s="1"/>
  <c r="V218" i="28"/>
  <c r="AC218" i="28" s="1"/>
  <c r="Q219" i="28"/>
  <c r="X219" i="28" s="1"/>
  <c r="R219" i="28"/>
  <c r="Y219" i="28" s="1"/>
  <c r="S219" i="28"/>
  <c r="Z219" i="28" s="1"/>
  <c r="T219" i="28"/>
  <c r="AA219" i="28" s="1"/>
  <c r="U219" i="28"/>
  <c r="AB219" i="28" s="1"/>
  <c r="V219" i="28"/>
  <c r="AC219" i="28" s="1"/>
  <c r="Q220" i="28"/>
  <c r="X220" i="28" s="1"/>
  <c r="R220" i="28"/>
  <c r="Y220" i="28" s="1"/>
  <c r="S220" i="28"/>
  <c r="Z220" i="28" s="1"/>
  <c r="T220" i="28"/>
  <c r="AA220" i="28" s="1"/>
  <c r="U220" i="28"/>
  <c r="AB220" i="28" s="1"/>
  <c r="V220" i="28"/>
  <c r="AC220" i="28" s="1"/>
  <c r="Q221" i="28"/>
  <c r="X221" i="28" s="1"/>
  <c r="R221" i="28"/>
  <c r="Y221" i="28" s="1"/>
  <c r="S221" i="28"/>
  <c r="Z221" i="28" s="1"/>
  <c r="T221" i="28"/>
  <c r="AA221" i="28" s="1"/>
  <c r="U221" i="28"/>
  <c r="AB221" i="28" s="1"/>
  <c r="V221" i="28"/>
  <c r="AC221" i="28" s="1"/>
  <c r="Q222" i="28"/>
  <c r="X222" i="28" s="1"/>
  <c r="R222" i="28"/>
  <c r="Y222" i="28" s="1"/>
  <c r="S222" i="28"/>
  <c r="Z222" i="28" s="1"/>
  <c r="T222" i="28"/>
  <c r="AA222" i="28" s="1"/>
  <c r="U222" i="28"/>
  <c r="AB222" i="28" s="1"/>
  <c r="V222" i="28"/>
  <c r="AC222" i="28" s="1"/>
  <c r="Q223" i="28"/>
  <c r="X223" i="28" s="1"/>
  <c r="R223" i="28"/>
  <c r="Y223" i="28" s="1"/>
  <c r="S223" i="28"/>
  <c r="Z223" i="28" s="1"/>
  <c r="T223" i="28"/>
  <c r="AA223" i="28" s="1"/>
  <c r="U223" i="28"/>
  <c r="AB223" i="28" s="1"/>
  <c r="V223" i="28"/>
  <c r="AC223" i="28" s="1"/>
  <c r="Q224" i="28"/>
  <c r="X224" i="28" s="1"/>
  <c r="R224" i="28"/>
  <c r="Y224" i="28" s="1"/>
  <c r="S224" i="28"/>
  <c r="Z224" i="28" s="1"/>
  <c r="T224" i="28"/>
  <c r="AA224" i="28" s="1"/>
  <c r="U224" i="28"/>
  <c r="AB224" i="28" s="1"/>
  <c r="Q225" i="28"/>
  <c r="X225" i="28" s="1"/>
  <c r="R225" i="28"/>
  <c r="Y225" i="28" s="1"/>
  <c r="S225" i="28"/>
  <c r="Z225" i="28" s="1"/>
  <c r="T225" i="28"/>
  <c r="AA225" i="28" s="1"/>
  <c r="U225" i="28"/>
  <c r="AB225" i="28" s="1"/>
  <c r="V225" i="28"/>
  <c r="AC225" i="28" s="1"/>
  <c r="Q226" i="28"/>
  <c r="X226" i="28" s="1"/>
  <c r="R226" i="28"/>
  <c r="Y226" i="28" s="1"/>
  <c r="S226" i="28"/>
  <c r="Z226" i="28" s="1"/>
  <c r="T226" i="28"/>
  <c r="AA226" i="28" s="1"/>
  <c r="U226" i="28"/>
  <c r="AB226" i="28" s="1"/>
  <c r="V226" i="28"/>
  <c r="AC226" i="28" s="1"/>
  <c r="Q227" i="28"/>
  <c r="X227" i="28" s="1"/>
  <c r="R227" i="28"/>
  <c r="Y227" i="28" s="1"/>
  <c r="S227" i="28"/>
  <c r="Z227" i="28" s="1"/>
  <c r="T227" i="28"/>
  <c r="AA227" i="28" s="1"/>
  <c r="U227" i="28"/>
  <c r="AB227" i="28" s="1"/>
  <c r="V227" i="28"/>
  <c r="AC227" i="28" s="1"/>
  <c r="Q228" i="28"/>
  <c r="X228" i="28" s="1"/>
  <c r="R228" i="28"/>
  <c r="Y228" i="28" s="1"/>
  <c r="S228" i="28"/>
  <c r="Z228" i="28" s="1"/>
  <c r="T228" i="28"/>
  <c r="AA228" i="28" s="1"/>
  <c r="U228" i="28"/>
  <c r="AB228" i="28" s="1"/>
  <c r="V228" i="28"/>
  <c r="AC228" i="28" s="1"/>
  <c r="Q229" i="28"/>
  <c r="X229" i="28" s="1"/>
  <c r="R229" i="28"/>
  <c r="Y229" i="28" s="1"/>
  <c r="S229" i="28"/>
  <c r="Z229" i="28" s="1"/>
  <c r="T229" i="28"/>
  <c r="AA229" i="28" s="1"/>
  <c r="U229" i="28"/>
  <c r="AB229" i="28" s="1"/>
  <c r="V229" i="28"/>
  <c r="AC229" i="28" s="1"/>
  <c r="Q230" i="28"/>
  <c r="X230" i="28" s="1"/>
  <c r="R230" i="28"/>
  <c r="Y230" i="28" s="1"/>
  <c r="S230" i="28"/>
  <c r="Z230" i="28" s="1"/>
  <c r="T230" i="28"/>
  <c r="AA230" i="28" s="1"/>
  <c r="U230" i="28"/>
  <c r="AB230" i="28" s="1"/>
  <c r="V230" i="28"/>
  <c r="AC230" i="28" s="1"/>
  <c r="Q231" i="28"/>
  <c r="X231" i="28" s="1"/>
  <c r="R231" i="28"/>
  <c r="Y231" i="28" s="1"/>
  <c r="S231" i="28"/>
  <c r="Z231" i="28" s="1"/>
  <c r="T231" i="28"/>
  <c r="AA231" i="28" s="1"/>
  <c r="U231" i="28"/>
  <c r="AB231" i="28" s="1"/>
  <c r="V231" i="28"/>
  <c r="AC231" i="28" s="1"/>
  <c r="Q232" i="28"/>
  <c r="X232" i="28" s="1"/>
  <c r="R232" i="28"/>
  <c r="Y232" i="28" s="1"/>
  <c r="S232" i="28"/>
  <c r="Z232" i="28" s="1"/>
  <c r="T232" i="28"/>
  <c r="AA232" i="28" s="1"/>
  <c r="U232" i="28"/>
  <c r="AB232" i="28" s="1"/>
  <c r="Q233" i="28"/>
  <c r="X233" i="28" s="1"/>
  <c r="R233" i="28"/>
  <c r="Y233" i="28" s="1"/>
  <c r="S233" i="28"/>
  <c r="Z233" i="28" s="1"/>
  <c r="T233" i="28"/>
  <c r="AA233" i="28" s="1"/>
  <c r="U233" i="28"/>
  <c r="AB233" i="28" s="1"/>
  <c r="V233" i="28"/>
  <c r="AC233" i="28" s="1"/>
  <c r="Q234" i="28"/>
  <c r="X234" i="28" s="1"/>
  <c r="R234" i="28"/>
  <c r="Y234" i="28" s="1"/>
  <c r="S234" i="28"/>
  <c r="Z234" i="28" s="1"/>
  <c r="T234" i="28"/>
  <c r="AA234" i="28" s="1"/>
  <c r="U234" i="28"/>
  <c r="AB234" i="28" s="1"/>
  <c r="V234" i="28"/>
  <c r="AC234" i="28" s="1"/>
  <c r="Q235" i="28"/>
  <c r="X235" i="28" s="1"/>
  <c r="R235" i="28"/>
  <c r="Y235" i="28" s="1"/>
  <c r="S235" i="28"/>
  <c r="Z235" i="28" s="1"/>
  <c r="T235" i="28"/>
  <c r="AA235" i="28" s="1"/>
  <c r="U235" i="28"/>
  <c r="AB235" i="28" s="1"/>
  <c r="V235" i="28"/>
  <c r="AC235" i="28" s="1"/>
  <c r="Q236" i="28"/>
  <c r="X236" i="28" s="1"/>
  <c r="R236" i="28"/>
  <c r="Y236" i="28" s="1"/>
  <c r="S236" i="28"/>
  <c r="Z236" i="28" s="1"/>
  <c r="T236" i="28"/>
  <c r="AA236" i="28" s="1"/>
  <c r="U236" i="28"/>
  <c r="AB236" i="28" s="1"/>
  <c r="V236" i="28"/>
  <c r="AC236" i="28" s="1"/>
  <c r="Q237" i="28"/>
  <c r="X237" i="28" s="1"/>
  <c r="R237" i="28"/>
  <c r="Y237" i="28" s="1"/>
  <c r="S237" i="28"/>
  <c r="Z237" i="28" s="1"/>
  <c r="T237" i="28"/>
  <c r="AA237" i="28" s="1"/>
  <c r="U237" i="28"/>
  <c r="AB237" i="28" s="1"/>
  <c r="V237" i="28"/>
  <c r="AC237" i="28" s="1"/>
  <c r="Q238" i="28"/>
  <c r="X238" i="28" s="1"/>
  <c r="R238" i="28"/>
  <c r="Y238" i="28" s="1"/>
  <c r="S238" i="28"/>
  <c r="Z238" i="28" s="1"/>
  <c r="T238" i="28"/>
  <c r="AA238" i="28" s="1"/>
  <c r="U238" i="28"/>
  <c r="AB238" i="28" s="1"/>
  <c r="V238" i="28"/>
  <c r="AC238" i="28" s="1"/>
  <c r="Q239" i="28"/>
  <c r="X239" i="28" s="1"/>
  <c r="R239" i="28"/>
  <c r="Y239" i="28" s="1"/>
  <c r="S239" i="28"/>
  <c r="Z239" i="28" s="1"/>
  <c r="T239" i="28"/>
  <c r="AA239" i="28" s="1"/>
  <c r="U239" i="28"/>
  <c r="AB239" i="28" s="1"/>
  <c r="V239" i="28"/>
  <c r="AC239" i="28" s="1"/>
  <c r="Q240" i="28"/>
  <c r="X240" i="28" s="1"/>
  <c r="R240" i="28"/>
  <c r="Y240" i="28" s="1"/>
  <c r="S240" i="28"/>
  <c r="Z240" i="28" s="1"/>
  <c r="T240" i="28"/>
  <c r="AA240" i="28" s="1"/>
  <c r="U240" i="28"/>
  <c r="AB240" i="28" s="1"/>
  <c r="Q241" i="28"/>
  <c r="X241" i="28" s="1"/>
  <c r="R241" i="28"/>
  <c r="Y241" i="28" s="1"/>
  <c r="S241" i="28"/>
  <c r="Z241" i="28" s="1"/>
  <c r="T241" i="28"/>
  <c r="AA241" i="28" s="1"/>
  <c r="U241" i="28"/>
  <c r="AB241" i="28" s="1"/>
  <c r="V241" i="28"/>
  <c r="AC241" i="28" s="1"/>
  <c r="Q242" i="28"/>
  <c r="X242" i="28" s="1"/>
  <c r="R242" i="28"/>
  <c r="Y242" i="28" s="1"/>
  <c r="S242" i="28"/>
  <c r="Z242" i="28" s="1"/>
  <c r="T242" i="28"/>
  <c r="AA242" i="28" s="1"/>
  <c r="U242" i="28"/>
  <c r="AB242" i="28" s="1"/>
  <c r="V242" i="28"/>
  <c r="AC242" i="28" s="1"/>
  <c r="Q243" i="28"/>
  <c r="X243" i="28" s="1"/>
  <c r="R243" i="28"/>
  <c r="Y243" i="28" s="1"/>
  <c r="S243" i="28"/>
  <c r="Z243" i="28" s="1"/>
  <c r="T243" i="28"/>
  <c r="AA243" i="28" s="1"/>
  <c r="U243" i="28"/>
  <c r="AB243" i="28" s="1"/>
  <c r="V243" i="28"/>
  <c r="AC243" i="28" s="1"/>
  <c r="Q244" i="28"/>
  <c r="X244" i="28" s="1"/>
  <c r="R244" i="28"/>
  <c r="Y244" i="28" s="1"/>
  <c r="S244" i="28"/>
  <c r="Z244" i="28" s="1"/>
  <c r="T244" i="28"/>
  <c r="AA244" i="28" s="1"/>
  <c r="U244" i="28"/>
  <c r="AB244" i="28" s="1"/>
  <c r="V244" i="28"/>
  <c r="AC244" i="28" s="1"/>
  <c r="Q245" i="28"/>
  <c r="X245" i="28" s="1"/>
  <c r="R245" i="28"/>
  <c r="Y245" i="28" s="1"/>
  <c r="S245" i="28"/>
  <c r="Z245" i="28" s="1"/>
  <c r="T245" i="28"/>
  <c r="AA245" i="28" s="1"/>
  <c r="U245" i="28"/>
  <c r="AB245" i="28" s="1"/>
  <c r="V245" i="28"/>
  <c r="AC245" i="28" s="1"/>
  <c r="Q246" i="28"/>
  <c r="X246" i="28" s="1"/>
  <c r="R246" i="28"/>
  <c r="Y246" i="28" s="1"/>
  <c r="S246" i="28"/>
  <c r="Z246" i="28" s="1"/>
  <c r="T246" i="28"/>
  <c r="AA246" i="28" s="1"/>
  <c r="U246" i="28"/>
  <c r="AB246" i="28" s="1"/>
  <c r="V246" i="28"/>
  <c r="AC246" i="28" s="1"/>
  <c r="Q247" i="28"/>
  <c r="X247" i="28" s="1"/>
  <c r="R247" i="28"/>
  <c r="Y247" i="28" s="1"/>
  <c r="S247" i="28"/>
  <c r="Z247" i="28" s="1"/>
  <c r="T247" i="28"/>
  <c r="AA247" i="28" s="1"/>
  <c r="U247" i="28"/>
  <c r="AB247" i="28" s="1"/>
  <c r="V247" i="28"/>
  <c r="AC247" i="28" s="1"/>
  <c r="Q248" i="28"/>
  <c r="X248" i="28" s="1"/>
  <c r="R248" i="28"/>
  <c r="Y248" i="28" s="1"/>
  <c r="S248" i="28"/>
  <c r="Z248" i="28" s="1"/>
  <c r="T248" i="28"/>
  <c r="AA248" i="28" s="1"/>
  <c r="U248" i="28"/>
  <c r="AB248" i="28" s="1"/>
  <c r="Q249" i="28"/>
  <c r="X249" i="28" s="1"/>
  <c r="R249" i="28"/>
  <c r="Y249" i="28" s="1"/>
  <c r="S249" i="28"/>
  <c r="Z249" i="28" s="1"/>
  <c r="T249" i="28"/>
  <c r="AA249" i="28" s="1"/>
  <c r="U249" i="28"/>
  <c r="AB249" i="28" s="1"/>
  <c r="V249" i="28"/>
  <c r="AC249" i="28" s="1"/>
  <c r="Q250" i="28"/>
  <c r="X250" i="28" s="1"/>
  <c r="R250" i="28"/>
  <c r="Y250" i="28" s="1"/>
  <c r="S250" i="28"/>
  <c r="Z250" i="28" s="1"/>
  <c r="T250" i="28"/>
  <c r="AA250" i="28" s="1"/>
  <c r="U250" i="28"/>
  <c r="AB250" i="28" s="1"/>
  <c r="V250" i="28"/>
  <c r="AC250" i="28" s="1"/>
  <c r="Q251" i="28"/>
  <c r="X251" i="28" s="1"/>
  <c r="R251" i="28"/>
  <c r="Y251" i="28" s="1"/>
  <c r="S251" i="28"/>
  <c r="Z251" i="28" s="1"/>
  <c r="T251" i="28"/>
  <c r="AA251" i="28" s="1"/>
  <c r="U251" i="28"/>
  <c r="AB251" i="28" s="1"/>
  <c r="V251" i="28"/>
  <c r="AC251" i="28" s="1"/>
  <c r="Q252" i="28"/>
  <c r="X252" i="28" s="1"/>
  <c r="R252" i="28"/>
  <c r="Y252" i="28" s="1"/>
  <c r="S252" i="28"/>
  <c r="Z252" i="28" s="1"/>
  <c r="T252" i="28"/>
  <c r="AA252" i="28" s="1"/>
  <c r="U252" i="28"/>
  <c r="AB252" i="28" s="1"/>
  <c r="V252" i="28"/>
  <c r="AC252" i="28" s="1"/>
  <c r="Q253" i="28"/>
  <c r="X253" i="28" s="1"/>
  <c r="R253" i="28"/>
  <c r="Y253" i="28" s="1"/>
  <c r="S253" i="28"/>
  <c r="Z253" i="28" s="1"/>
  <c r="T253" i="28"/>
  <c r="AA253" i="28" s="1"/>
  <c r="U253" i="28"/>
  <c r="AB253" i="28" s="1"/>
  <c r="V253" i="28"/>
  <c r="AC253" i="28" s="1"/>
  <c r="Q254" i="28"/>
  <c r="X254" i="28" s="1"/>
  <c r="R254" i="28"/>
  <c r="Y254" i="28" s="1"/>
  <c r="S254" i="28"/>
  <c r="Z254" i="28" s="1"/>
  <c r="T254" i="28"/>
  <c r="AA254" i="28" s="1"/>
  <c r="U254" i="28"/>
  <c r="AB254" i="28" s="1"/>
  <c r="V254" i="28"/>
  <c r="AC254" i="28" s="1"/>
  <c r="Q255" i="28"/>
  <c r="X255" i="28" s="1"/>
  <c r="R255" i="28"/>
  <c r="Y255" i="28" s="1"/>
  <c r="S255" i="28"/>
  <c r="Z255" i="28" s="1"/>
  <c r="T255" i="28"/>
  <c r="AA255" i="28" s="1"/>
  <c r="U255" i="28"/>
  <c r="AB255" i="28" s="1"/>
  <c r="V255" i="28"/>
  <c r="AC255" i="28" s="1"/>
  <c r="Q256" i="28"/>
  <c r="X256" i="28" s="1"/>
  <c r="R256" i="28"/>
  <c r="Y256" i="28" s="1"/>
  <c r="S256" i="28"/>
  <c r="Z256" i="28" s="1"/>
  <c r="T256" i="28"/>
  <c r="AA256" i="28" s="1"/>
  <c r="U256" i="28"/>
  <c r="AB256" i="28" s="1"/>
  <c r="Q257" i="28"/>
  <c r="X257" i="28" s="1"/>
  <c r="R257" i="28"/>
  <c r="Y257" i="28" s="1"/>
  <c r="S257" i="28"/>
  <c r="Z257" i="28" s="1"/>
  <c r="T257" i="28"/>
  <c r="AA257" i="28" s="1"/>
  <c r="U257" i="28"/>
  <c r="AB257" i="28" s="1"/>
  <c r="V257" i="28"/>
  <c r="AC257" i="28" s="1"/>
  <c r="Q258" i="28"/>
  <c r="X258" i="28" s="1"/>
  <c r="R258" i="28"/>
  <c r="Y258" i="28" s="1"/>
  <c r="S258" i="28"/>
  <c r="Z258" i="28" s="1"/>
  <c r="T258" i="28"/>
  <c r="AA258" i="28" s="1"/>
  <c r="U258" i="28"/>
  <c r="AB258" i="28" s="1"/>
  <c r="V258" i="28"/>
  <c r="AC258" i="28" s="1"/>
  <c r="Q259" i="28"/>
  <c r="X259" i="28" s="1"/>
  <c r="R259" i="28"/>
  <c r="Y259" i="28" s="1"/>
  <c r="S259" i="28"/>
  <c r="Z259" i="28" s="1"/>
  <c r="T259" i="28"/>
  <c r="AA259" i="28" s="1"/>
  <c r="U259" i="28"/>
  <c r="AB259" i="28" s="1"/>
  <c r="V259" i="28"/>
  <c r="AC259" i="28" s="1"/>
  <c r="Q260" i="28"/>
  <c r="X260" i="28" s="1"/>
  <c r="R260" i="28"/>
  <c r="Y260" i="28" s="1"/>
  <c r="S260" i="28"/>
  <c r="Z260" i="28" s="1"/>
  <c r="T260" i="28"/>
  <c r="AA260" i="28" s="1"/>
  <c r="U260" i="28"/>
  <c r="AB260" i="28" s="1"/>
  <c r="V260" i="28"/>
  <c r="AC260" i="28" s="1"/>
  <c r="Q261" i="28"/>
  <c r="X261" i="28" s="1"/>
  <c r="R261" i="28"/>
  <c r="Y261" i="28" s="1"/>
  <c r="S261" i="28"/>
  <c r="Z261" i="28" s="1"/>
  <c r="T261" i="28"/>
  <c r="AA261" i="28" s="1"/>
  <c r="U261" i="28"/>
  <c r="AB261" i="28" s="1"/>
  <c r="V261" i="28"/>
  <c r="AC261" i="28" s="1"/>
  <c r="Q262" i="28"/>
  <c r="X262" i="28" s="1"/>
  <c r="R262" i="28"/>
  <c r="Y262" i="28" s="1"/>
  <c r="S262" i="28"/>
  <c r="Z262" i="28" s="1"/>
  <c r="T262" i="28"/>
  <c r="AA262" i="28" s="1"/>
  <c r="U262" i="28"/>
  <c r="AB262" i="28" s="1"/>
  <c r="V262" i="28"/>
  <c r="AC262" i="28" s="1"/>
  <c r="Q263" i="28"/>
  <c r="X263" i="28" s="1"/>
  <c r="R263" i="28"/>
  <c r="Y263" i="28" s="1"/>
  <c r="S263" i="28"/>
  <c r="Z263" i="28" s="1"/>
  <c r="T263" i="28"/>
  <c r="AA263" i="28" s="1"/>
  <c r="U263" i="28"/>
  <c r="AB263" i="28" s="1"/>
  <c r="V263" i="28"/>
  <c r="AC263" i="28" s="1"/>
  <c r="Q264" i="28"/>
  <c r="X264" i="28" s="1"/>
  <c r="R264" i="28"/>
  <c r="Y264" i="28" s="1"/>
  <c r="S264" i="28"/>
  <c r="Z264" i="28" s="1"/>
  <c r="T264" i="28"/>
  <c r="AA264" i="28" s="1"/>
  <c r="U264" i="28"/>
  <c r="AB264" i="28" s="1"/>
  <c r="Q265" i="28"/>
  <c r="X265" i="28" s="1"/>
  <c r="R265" i="28"/>
  <c r="Y265" i="28" s="1"/>
  <c r="S265" i="28"/>
  <c r="Z265" i="28" s="1"/>
  <c r="T265" i="28"/>
  <c r="AA265" i="28" s="1"/>
  <c r="U265" i="28"/>
  <c r="AB265" i="28" s="1"/>
  <c r="V265" i="28"/>
  <c r="AC265" i="28" s="1"/>
  <c r="Q266" i="28"/>
  <c r="X266" i="28" s="1"/>
  <c r="R266" i="28"/>
  <c r="Y266" i="28" s="1"/>
  <c r="S266" i="28"/>
  <c r="Z266" i="28" s="1"/>
  <c r="T266" i="28"/>
  <c r="AA266" i="28" s="1"/>
  <c r="U266" i="28"/>
  <c r="AB266" i="28" s="1"/>
  <c r="V266" i="28"/>
  <c r="AC266" i="28" s="1"/>
  <c r="Q267" i="28"/>
  <c r="X267" i="28" s="1"/>
  <c r="R267" i="28"/>
  <c r="Y267" i="28" s="1"/>
  <c r="S267" i="28"/>
  <c r="Z267" i="28" s="1"/>
  <c r="T267" i="28"/>
  <c r="AA267" i="28" s="1"/>
  <c r="U267" i="28"/>
  <c r="AB267" i="28" s="1"/>
  <c r="V267" i="28"/>
  <c r="AC267" i="28" s="1"/>
  <c r="Q268" i="28"/>
  <c r="X268" i="28" s="1"/>
  <c r="R268" i="28"/>
  <c r="Y268" i="28" s="1"/>
  <c r="S268" i="28"/>
  <c r="Z268" i="28" s="1"/>
  <c r="T268" i="28"/>
  <c r="AA268" i="28" s="1"/>
  <c r="U268" i="28"/>
  <c r="AB268" i="28" s="1"/>
  <c r="V268" i="28"/>
  <c r="AC268" i="28" s="1"/>
  <c r="Q269" i="28"/>
  <c r="X269" i="28" s="1"/>
  <c r="R269" i="28"/>
  <c r="Y269" i="28" s="1"/>
  <c r="S269" i="28"/>
  <c r="Z269" i="28" s="1"/>
  <c r="T269" i="28"/>
  <c r="AA269" i="28" s="1"/>
  <c r="U269" i="28"/>
  <c r="AB269" i="28" s="1"/>
  <c r="V269" i="28"/>
  <c r="AC269" i="28" s="1"/>
  <c r="Q270" i="28"/>
  <c r="X270" i="28" s="1"/>
  <c r="R270" i="28"/>
  <c r="Y270" i="28" s="1"/>
  <c r="S270" i="28"/>
  <c r="Z270" i="28" s="1"/>
  <c r="T270" i="28"/>
  <c r="AA270" i="28" s="1"/>
  <c r="U270" i="28"/>
  <c r="AB270" i="28" s="1"/>
  <c r="V270" i="28"/>
  <c r="AC270" i="28" s="1"/>
  <c r="Q271" i="28"/>
  <c r="X271" i="28" s="1"/>
  <c r="R271" i="28"/>
  <c r="Y271" i="28" s="1"/>
  <c r="S271" i="28"/>
  <c r="Z271" i="28" s="1"/>
  <c r="T271" i="28"/>
  <c r="AA271" i="28" s="1"/>
  <c r="U271" i="28"/>
  <c r="AB271" i="28" s="1"/>
  <c r="V271" i="28"/>
  <c r="AC271" i="28" s="1"/>
  <c r="Q272" i="28"/>
  <c r="X272" i="28" s="1"/>
  <c r="R272" i="28"/>
  <c r="Y272" i="28" s="1"/>
  <c r="S272" i="28"/>
  <c r="Z272" i="28" s="1"/>
  <c r="T272" i="28"/>
  <c r="AA272" i="28" s="1"/>
  <c r="U272" i="28"/>
  <c r="AB272" i="28" s="1"/>
  <c r="Q273" i="28"/>
  <c r="X273" i="28" s="1"/>
  <c r="R273" i="28"/>
  <c r="Y273" i="28" s="1"/>
  <c r="S273" i="28"/>
  <c r="Z273" i="28" s="1"/>
  <c r="T273" i="28"/>
  <c r="AA273" i="28" s="1"/>
  <c r="U273" i="28"/>
  <c r="AB273" i="28" s="1"/>
  <c r="V273" i="28"/>
  <c r="AC273" i="28" s="1"/>
  <c r="Q274" i="28"/>
  <c r="X274" i="28" s="1"/>
  <c r="R274" i="28"/>
  <c r="Y274" i="28" s="1"/>
  <c r="S274" i="28"/>
  <c r="Z274" i="28" s="1"/>
  <c r="T274" i="28"/>
  <c r="AA274" i="28" s="1"/>
  <c r="U274" i="28"/>
  <c r="AB274" i="28" s="1"/>
  <c r="V274" i="28"/>
  <c r="AC274" i="28" s="1"/>
  <c r="Q275" i="28"/>
  <c r="X275" i="28" s="1"/>
  <c r="R275" i="28"/>
  <c r="Y275" i="28" s="1"/>
  <c r="S275" i="28"/>
  <c r="Z275" i="28" s="1"/>
  <c r="T275" i="28"/>
  <c r="AA275" i="28" s="1"/>
  <c r="U275" i="28"/>
  <c r="AB275" i="28" s="1"/>
  <c r="V275" i="28"/>
  <c r="AC275" i="28" s="1"/>
  <c r="Q276" i="28"/>
  <c r="X276" i="28" s="1"/>
  <c r="R276" i="28"/>
  <c r="Y276" i="28" s="1"/>
  <c r="S276" i="28"/>
  <c r="Z276" i="28" s="1"/>
  <c r="T276" i="28"/>
  <c r="AA276" i="28" s="1"/>
  <c r="U276" i="28"/>
  <c r="AB276" i="28" s="1"/>
  <c r="V276" i="28"/>
  <c r="AC276" i="28" s="1"/>
  <c r="Q277" i="28"/>
  <c r="X277" i="28" s="1"/>
  <c r="R277" i="28"/>
  <c r="Y277" i="28" s="1"/>
  <c r="S277" i="28"/>
  <c r="Z277" i="28" s="1"/>
  <c r="T277" i="28"/>
  <c r="AA277" i="28" s="1"/>
  <c r="U277" i="28"/>
  <c r="AB277" i="28" s="1"/>
  <c r="V277" i="28"/>
  <c r="AC277" i="28" s="1"/>
  <c r="Q278" i="28"/>
  <c r="X278" i="28" s="1"/>
  <c r="R278" i="28"/>
  <c r="Y278" i="28" s="1"/>
  <c r="S278" i="28"/>
  <c r="Z278" i="28" s="1"/>
  <c r="T278" i="28"/>
  <c r="AA278" i="28" s="1"/>
  <c r="U278" i="28"/>
  <c r="AB278" i="28" s="1"/>
  <c r="V278" i="28"/>
  <c r="AC278" i="28" s="1"/>
  <c r="Q279" i="28"/>
  <c r="X279" i="28" s="1"/>
  <c r="R279" i="28"/>
  <c r="Y279" i="28" s="1"/>
  <c r="S279" i="28"/>
  <c r="Z279" i="28" s="1"/>
  <c r="T279" i="28"/>
  <c r="AA279" i="28" s="1"/>
  <c r="U279" i="28"/>
  <c r="AB279" i="28" s="1"/>
  <c r="V279" i="28"/>
  <c r="AC279" i="28" s="1"/>
  <c r="Q280" i="28"/>
  <c r="X280" i="28" s="1"/>
  <c r="R280" i="28"/>
  <c r="Y280" i="28" s="1"/>
  <c r="S280" i="28"/>
  <c r="Z280" i="28" s="1"/>
  <c r="T280" i="28"/>
  <c r="AA280" i="28" s="1"/>
  <c r="U280" i="28"/>
  <c r="AB280" i="28" s="1"/>
  <c r="Q281" i="28"/>
  <c r="X281" i="28" s="1"/>
  <c r="R281" i="28"/>
  <c r="Y281" i="28" s="1"/>
  <c r="S281" i="28"/>
  <c r="Z281" i="28" s="1"/>
  <c r="T281" i="28"/>
  <c r="AA281" i="28" s="1"/>
  <c r="U281" i="28"/>
  <c r="AB281" i="28" s="1"/>
  <c r="V281" i="28"/>
  <c r="AC281" i="28" s="1"/>
  <c r="Q282" i="28"/>
  <c r="X282" i="28" s="1"/>
  <c r="R282" i="28"/>
  <c r="Y282" i="28" s="1"/>
  <c r="S282" i="28"/>
  <c r="Z282" i="28" s="1"/>
  <c r="T282" i="28"/>
  <c r="AA282" i="28" s="1"/>
  <c r="U282" i="28"/>
  <c r="AB282" i="28" s="1"/>
  <c r="V282" i="28"/>
  <c r="AC282" i="28" s="1"/>
  <c r="Q283" i="28"/>
  <c r="X283" i="28" s="1"/>
  <c r="R283" i="28"/>
  <c r="Y283" i="28" s="1"/>
  <c r="S283" i="28"/>
  <c r="Z283" i="28" s="1"/>
  <c r="T283" i="28"/>
  <c r="AA283" i="28" s="1"/>
  <c r="U283" i="28"/>
  <c r="AB283" i="28" s="1"/>
  <c r="V283" i="28"/>
  <c r="AC283" i="28" s="1"/>
  <c r="Q284" i="28"/>
  <c r="X284" i="28" s="1"/>
  <c r="R284" i="28"/>
  <c r="Y284" i="28" s="1"/>
  <c r="S284" i="28"/>
  <c r="Z284" i="28" s="1"/>
  <c r="T284" i="28"/>
  <c r="AA284" i="28" s="1"/>
  <c r="U284" i="28"/>
  <c r="AB284" i="28" s="1"/>
  <c r="V284" i="28"/>
  <c r="AC284" i="28" s="1"/>
  <c r="Q285" i="28"/>
  <c r="X285" i="28" s="1"/>
  <c r="R285" i="28"/>
  <c r="Y285" i="28" s="1"/>
  <c r="S285" i="28"/>
  <c r="Z285" i="28" s="1"/>
  <c r="T285" i="28"/>
  <c r="AA285" i="28" s="1"/>
  <c r="U285" i="28"/>
  <c r="AB285" i="28" s="1"/>
  <c r="V285" i="28"/>
  <c r="AC285" i="28" s="1"/>
  <c r="Q286" i="28"/>
  <c r="X286" i="28" s="1"/>
  <c r="R286" i="28"/>
  <c r="Y286" i="28" s="1"/>
  <c r="S286" i="28"/>
  <c r="Z286" i="28" s="1"/>
  <c r="T286" i="28"/>
  <c r="AA286" i="28" s="1"/>
  <c r="U286" i="28"/>
  <c r="AB286" i="28" s="1"/>
  <c r="V286" i="28"/>
  <c r="AC286" i="28" s="1"/>
  <c r="Q287" i="28"/>
  <c r="X287" i="28" s="1"/>
  <c r="R287" i="28"/>
  <c r="Y287" i="28" s="1"/>
  <c r="S287" i="28"/>
  <c r="Z287" i="28" s="1"/>
  <c r="T287" i="28"/>
  <c r="AA287" i="28" s="1"/>
  <c r="U287" i="28"/>
  <c r="AB287" i="28" s="1"/>
  <c r="V287" i="28"/>
  <c r="AC287" i="28" s="1"/>
  <c r="Q288" i="28"/>
  <c r="X288" i="28" s="1"/>
  <c r="R288" i="28"/>
  <c r="Y288" i="28" s="1"/>
  <c r="S288" i="28"/>
  <c r="Z288" i="28" s="1"/>
  <c r="T288" i="28"/>
  <c r="AA288" i="28" s="1"/>
  <c r="U288" i="28"/>
  <c r="AB288" i="28" s="1"/>
  <c r="Q289" i="28"/>
  <c r="X289" i="28" s="1"/>
  <c r="R289" i="28"/>
  <c r="Y289" i="28" s="1"/>
  <c r="S289" i="28"/>
  <c r="Z289" i="28" s="1"/>
  <c r="T289" i="28"/>
  <c r="AA289" i="28" s="1"/>
  <c r="U289" i="28"/>
  <c r="AB289" i="28" s="1"/>
  <c r="V289" i="28"/>
  <c r="AC289" i="28" s="1"/>
  <c r="Q290" i="28"/>
  <c r="X290" i="28" s="1"/>
  <c r="R290" i="28"/>
  <c r="Y290" i="28" s="1"/>
  <c r="S290" i="28"/>
  <c r="Z290" i="28" s="1"/>
  <c r="T290" i="28"/>
  <c r="AA290" i="28" s="1"/>
  <c r="U290" i="28"/>
  <c r="AB290" i="28" s="1"/>
  <c r="V290" i="28"/>
  <c r="AC290" i="28" s="1"/>
  <c r="Q291" i="28"/>
  <c r="X291" i="28" s="1"/>
  <c r="R291" i="28"/>
  <c r="Y291" i="28" s="1"/>
  <c r="S291" i="28"/>
  <c r="Z291" i="28" s="1"/>
  <c r="T291" i="28"/>
  <c r="AA291" i="28" s="1"/>
  <c r="U291" i="28"/>
  <c r="AB291" i="28" s="1"/>
  <c r="V291" i="28"/>
  <c r="AC291" i="28" s="1"/>
  <c r="Q292" i="28"/>
  <c r="X292" i="28" s="1"/>
  <c r="R292" i="28"/>
  <c r="Y292" i="28" s="1"/>
  <c r="S292" i="28"/>
  <c r="Z292" i="28" s="1"/>
  <c r="T292" i="28"/>
  <c r="AA292" i="28" s="1"/>
  <c r="U292" i="28"/>
  <c r="AB292" i="28" s="1"/>
  <c r="V292" i="28"/>
  <c r="AC292" i="28" s="1"/>
  <c r="Q293" i="28"/>
  <c r="X293" i="28" s="1"/>
  <c r="R293" i="28"/>
  <c r="Y293" i="28" s="1"/>
  <c r="S293" i="28"/>
  <c r="Z293" i="28" s="1"/>
  <c r="T293" i="28"/>
  <c r="AA293" i="28" s="1"/>
  <c r="U293" i="28"/>
  <c r="AB293" i="28" s="1"/>
  <c r="V293" i="28"/>
  <c r="AC293" i="28" s="1"/>
  <c r="Q294" i="28"/>
  <c r="X294" i="28" s="1"/>
  <c r="R294" i="28"/>
  <c r="Y294" i="28" s="1"/>
  <c r="S294" i="28"/>
  <c r="Z294" i="28" s="1"/>
  <c r="T294" i="28"/>
  <c r="AA294" i="28" s="1"/>
  <c r="U294" i="28"/>
  <c r="AB294" i="28" s="1"/>
  <c r="V294" i="28"/>
  <c r="AC294" i="28" s="1"/>
  <c r="Q295" i="28"/>
  <c r="X295" i="28" s="1"/>
  <c r="R295" i="28"/>
  <c r="Y295" i="28" s="1"/>
  <c r="S295" i="28"/>
  <c r="Z295" i="28" s="1"/>
  <c r="T295" i="28"/>
  <c r="AA295" i="28" s="1"/>
  <c r="U295" i="28"/>
  <c r="AB295" i="28" s="1"/>
  <c r="V295" i="28"/>
  <c r="AC295" i="28" s="1"/>
  <c r="Q296" i="28"/>
  <c r="X296" i="28" s="1"/>
  <c r="R296" i="28"/>
  <c r="Y296" i="28" s="1"/>
  <c r="S296" i="28"/>
  <c r="Z296" i="28" s="1"/>
  <c r="T296" i="28"/>
  <c r="AA296" i="28" s="1"/>
  <c r="U296" i="28"/>
  <c r="AB296" i="28" s="1"/>
  <c r="Q297" i="28"/>
  <c r="X297" i="28" s="1"/>
  <c r="R297" i="28"/>
  <c r="Y297" i="28" s="1"/>
  <c r="S297" i="28"/>
  <c r="Z297" i="28" s="1"/>
  <c r="T297" i="28"/>
  <c r="AA297" i="28" s="1"/>
  <c r="U297" i="28"/>
  <c r="AB297" i="28" s="1"/>
  <c r="V297" i="28"/>
  <c r="AC297" i="28" s="1"/>
  <c r="Q298" i="28"/>
  <c r="X298" i="28" s="1"/>
  <c r="R298" i="28"/>
  <c r="Y298" i="28" s="1"/>
  <c r="S298" i="28"/>
  <c r="Z298" i="28" s="1"/>
  <c r="T298" i="28"/>
  <c r="AA298" i="28" s="1"/>
  <c r="U298" i="28"/>
  <c r="AB298" i="28" s="1"/>
  <c r="V298" i="28"/>
  <c r="AC298" i="28" s="1"/>
  <c r="Q299" i="28"/>
  <c r="X299" i="28" s="1"/>
  <c r="R299" i="28"/>
  <c r="Y299" i="28" s="1"/>
  <c r="S299" i="28"/>
  <c r="Z299" i="28" s="1"/>
  <c r="T299" i="28"/>
  <c r="AA299" i="28" s="1"/>
  <c r="U299" i="28"/>
  <c r="AB299" i="28" s="1"/>
  <c r="V299" i="28"/>
  <c r="AC299" i="28" s="1"/>
  <c r="Q300" i="28"/>
  <c r="X300" i="28" s="1"/>
  <c r="R300" i="28"/>
  <c r="Y300" i="28" s="1"/>
  <c r="S300" i="28"/>
  <c r="Z300" i="28" s="1"/>
  <c r="T300" i="28"/>
  <c r="AA300" i="28" s="1"/>
  <c r="U300" i="28"/>
  <c r="AB300" i="28" s="1"/>
  <c r="V300" i="28"/>
  <c r="AC300" i="28" s="1"/>
  <c r="Q301" i="28"/>
  <c r="X301" i="28" s="1"/>
  <c r="R301" i="28"/>
  <c r="Y301" i="28" s="1"/>
  <c r="S301" i="28"/>
  <c r="Z301" i="28" s="1"/>
  <c r="T301" i="28"/>
  <c r="AA301" i="28" s="1"/>
  <c r="U301" i="28"/>
  <c r="AB301" i="28" s="1"/>
  <c r="V301" i="28"/>
  <c r="AC301" i="28" s="1"/>
  <c r="Q302" i="28"/>
  <c r="X302" i="28" s="1"/>
  <c r="R302" i="28"/>
  <c r="Y302" i="28" s="1"/>
  <c r="S302" i="28"/>
  <c r="Z302" i="28" s="1"/>
  <c r="T302" i="28"/>
  <c r="AA302" i="28" s="1"/>
  <c r="U302" i="28"/>
  <c r="AB302" i="28" s="1"/>
  <c r="V302" i="28"/>
  <c r="AC302" i="28" s="1"/>
  <c r="Q303" i="28"/>
  <c r="X303" i="28" s="1"/>
  <c r="R303" i="28"/>
  <c r="Y303" i="28" s="1"/>
  <c r="S303" i="28"/>
  <c r="Z303" i="28" s="1"/>
  <c r="T303" i="28"/>
  <c r="AA303" i="28" s="1"/>
  <c r="U303" i="28"/>
  <c r="AB303" i="28" s="1"/>
  <c r="V303" i="28"/>
  <c r="AC303" i="28" s="1"/>
  <c r="Q304" i="28"/>
  <c r="X304" i="28" s="1"/>
  <c r="R304" i="28"/>
  <c r="Y304" i="28" s="1"/>
  <c r="S304" i="28"/>
  <c r="Z304" i="28" s="1"/>
  <c r="T304" i="28"/>
  <c r="AA304" i="28" s="1"/>
  <c r="U304" i="28"/>
  <c r="AB304" i="28" s="1"/>
  <c r="Q305" i="28"/>
  <c r="X305" i="28" s="1"/>
  <c r="R305" i="28"/>
  <c r="Y305" i="28" s="1"/>
  <c r="S305" i="28"/>
  <c r="Z305" i="28" s="1"/>
  <c r="T305" i="28"/>
  <c r="AA305" i="28" s="1"/>
  <c r="U305" i="28"/>
  <c r="AB305" i="28" s="1"/>
  <c r="V305" i="28"/>
  <c r="AC305" i="28" s="1"/>
  <c r="Q306" i="28"/>
  <c r="X306" i="28" s="1"/>
  <c r="R306" i="28"/>
  <c r="Y306" i="28" s="1"/>
  <c r="S306" i="28"/>
  <c r="Z306" i="28" s="1"/>
  <c r="T306" i="28"/>
  <c r="AA306" i="28" s="1"/>
  <c r="U306" i="28"/>
  <c r="AB306" i="28" s="1"/>
  <c r="V306" i="28"/>
  <c r="AC306" i="28" s="1"/>
  <c r="Q307" i="28"/>
  <c r="X307" i="28" s="1"/>
  <c r="R307" i="28"/>
  <c r="Y307" i="28" s="1"/>
  <c r="S307" i="28"/>
  <c r="Z307" i="28" s="1"/>
  <c r="T307" i="28"/>
  <c r="AA307" i="28" s="1"/>
  <c r="U307" i="28"/>
  <c r="AB307" i="28" s="1"/>
  <c r="V307" i="28"/>
  <c r="AC307" i="28" s="1"/>
  <c r="Q308" i="28"/>
  <c r="X308" i="28" s="1"/>
  <c r="R308" i="28"/>
  <c r="Y308" i="28" s="1"/>
  <c r="S308" i="28"/>
  <c r="Z308" i="28" s="1"/>
  <c r="T308" i="28"/>
  <c r="AA308" i="28" s="1"/>
  <c r="U308" i="28"/>
  <c r="AB308" i="28" s="1"/>
  <c r="V308" i="28"/>
  <c r="AC308" i="28" s="1"/>
  <c r="Q309" i="28"/>
  <c r="X309" i="28" s="1"/>
  <c r="R309" i="28"/>
  <c r="Y309" i="28" s="1"/>
  <c r="S309" i="28"/>
  <c r="Z309" i="28" s="1"/>
  <c r="T309" i="28"/>
  <c r="AA309" i="28" s="1"/>
  <c r="U309" i="28"/>
  <c r="AB309" i="28" s="1"/>
  <c r="V309" i="28"/>
  <c r="AC309" i="28" s="1"/>
  <c r="Q310" i="28"/>
  <c r="X310" i="28" s="1"/>
  <c r="R310" i="28"/>
  <c r="Y310" i="28" s="1"/>
  <c r="S310" i="28"/>
  <c r="Z310" i="28" s="1"/>
  <c r="T310" i="28"/>
  <c r="AA310" i="28" s="1"/>
  <c r="U310" i="28"/>
  <c r="AB310" i="28" s="1"/>
  <c r="V310" i="28"/>
  <c r="AC310" i="28" s="1"/>
  <c r="Q311" i="28"/>
  <c r="X311" i="28" s="1"/>
  <c r="R311" i="28"/>
  <c r="Y311" i="28" s="1"/>
  <c r="S311" i="28"/>
  <c r="Z311" i="28" s="1"/>
  <c r="T311" i="28"/>
  <c r="AA311" i="28" s="1"/>
  <c r="U311" i="28"/>
  <c r="AB311" i="28" s="1"/>
  <c r="V311" i="28"/>
  <c r="AC311" i="28" s="1"/>
  <c r="Q312" i="28"/>
  <c r="X312" i="28" s="1"/>
  <c r="R312" i="28"/>
  <c r="Y312" i="28" s="1"/>
  <c r="S312" i="28"/>
  <c r="Z312" i="28" s="1"/>
  <c r="T312" i="28"/>
  <c r="AA312" i="28" s="1"/>
  <c r="U312" i="28"/>
  <c r="AB312" i="28" s="1"/>
  <c r="Q313" i="28"/>
  <c r="X313" i="28" s="1"/>
  <c r="R313" i="28"/>
  <c r="Y313" i="28" s="1"/>
  <c r="S313" i="28"/>
  <c r="Z313" i="28" s="1"/>
  <c r="T313" i="28"/>
  <c r="AA313" i="28" s="1"/>
  <c r="U313" i="28"/>
  <c r="AB313" i="28" s="1"/>
  <c r="V313" i="28"/>
  <c r="AC313" i="28" s="1"/>
  <c r="Q314" i="28"/>
  <c r="X314" i="28" s="1"/>
  <c r="R314" i="28"/>
  <c r="Y314" i="28" s="1"/>
  <c r="S314" i="28"/>
  <c r="Z314" i="28" s="1"/>
  <c r="T314" i="28"/>
  <c r="AA314" i="28" s="1"/>
  <c r="U314" i="28"/>
  <c r="AB314" i="28" s="1"/>
  <c r="V314" i="28"/>
  <c r="AC314" i="28" s="1"/>
  <c r="Q315" i="28"/>
  <c r="X315" i="28" s="1"/>
  <c r="R315" i="28"/>
  <c r="Y315" i="28" s="1"/>
  <c r="S315" i="28"/>
  <c r="Z315" i="28" s="1"/>
  <c r="T315" i="28"/>
  <c r="AA315" i="28" s="1"/>
  <c r="U315" i="28"/>
  <c r="AB315" i="28" s="1"/>
  <c r="V315" i="28"/>
  <c r="AC315" i="28" s="1"/>
  <c r="Q316" i="28"/>
  <c r="X316" i="28" s="1"/>
  <c r="R316" i="28"/>
  <c r="Y316" i="28" s="1"/>
  <c r="S316" i="28"/>
  <c r="Z316" i="28" s="1"/>
  <c r="T316" i="28"/>
  <c r="AA316" i="28" s="1"/>
  <c r="U316" i="28"/>
  <c r="AB316" i="28" s="1"/>
  <c r="V316" i="28"/>
  <c r="AC316" i="28" s="1"/>
  <c r="Q317" i="28"/>
  <c r="X317" i="28" s="1"/>
  <c r="R317" i="28"/>
  <c r="Y317" i="28" s="1"/>
  <c r="S317" i="28"/>
  <c r="Z317" i="28" s="1"/>
  <c r="T317" i="28"/>
  <c r="AA317" i="28" s="1"/>
  <c r="U317" i="28"/>
  <c r="AB317" i="28" s="1"/>
  <c r="V317" i="28"/>
  <c r="AC317" i="28" s="1"/>
  <c r="Q318" i="28"/>
  <c r="X318" i="28" s="1"/>
  <c r="R318" i="28"/>
  <c r="Y318" i="28" s="1"/>
  <c r="S318" i="28"/>
  <c r="Z318" i="28" s="1"/>
  <c r="T318" i="28"/>
  <c r="AA318" i="28" s="1"/>
  <c r="U318" i="28"/>
  <c r="AB318" i="28" s="1"/>
  <c r="V318" i="28"/>
  <c r="AC318" i="28" s="1"/>
  <c r="Q319" i="28"/>
  <c r="X319" i="28" s="1"/>
  <c r="R319" i="28"/>
  <c r="Y319" i="28" s="1"/>
  <c r="S319" i="28"/>
  <c r="Z319" i="28" s="1"/>
  <c r="T319" i="28"/>
  <c r="AA319" i="28" s="1"/>
  <c r="U319" i="28"/>
  <c r="AB319" i="28" s="1"/>
  <c r="V319" i="28"/>
  <c r="AC319" i="28" s="1"/>
  <c r="Q320" i="28"/>
  <c r="X320" i="28" s="1"/>
  <c r="R320" i="28"/>
  <c r="Y320" i="28" s="1"/>
  <c r="S320" i="28"/>
  <c r="Z320" i="28" s="1"/>
  <c r="T320" i="28"/>
  <c r="AA320" i="28" s="1"/>
  <c r="U320" i="28"/>
  <c r="AB320" i="28" s="1"/>
  <c r="Q321" i="28"/>
  <c r="X321" i="28" s="1"/>
  <c r="R321" i="28"/>
  <c r="Y321" i="28" s="1"/>
  <c r="S321" i="28"/>
  <c r="Z321" i="28" s="1"/>
  <c r="T321" i="28"/>
  <c r="AA321" i="28" s="1"/>
  <c r="U321" i="28"/>
  <c r="AB321" i="28" s="1"/>
  <c r="V321" i="28"/>
  <c r="AC321" i="28" s="1"/>
  <c r="Q322" i="28"/>
  <c r="X322" i="28" s="1"/>
  <c r="R322" i="28"/>
  <c r="Y322" i="28" s="1"/>
  <c r="S322" i="28"/>
  <c r="Z322" i="28" s="1"/>
  <c r="T322" i="28"/>
  <c r="AA322" i="28" s="1"/>
  <c r="U322" i="28"/>
  <c r="AB322" i="28" s="1"/>
  <c r="V322" i="28"/>
  <c r="AC322" i="28" s="1"/>
  <c r="Q323" i="28"/>
  <c r="X323" i="28" s="1"/>
  <c r="R323" i="28"/>
  <c r="Y323" i="28" s="1"/>
  <c r="S323" i="28"/>
  <c r="Z323" i="28" s="1"/>
  <c r="T323" i="28"/>
  <c r="AA323" i="28" s="1"/>
  <c r="U323" i="28"/>
  <c r="AB323" i="28" s="1"/>
  <c r="V323" i="28"/>
  <c r="AC323" i="28" s="1"/>
  <c r="Q324" i="28"/>
  <c r="X324" i="28" s="1"/>
  <c r="R324" i="28"/>
  <c r="Y324" i="28" s="1"/>
  <c r="S324" i="28"/>
  <c r="Z324" i="28" s="1"/>
  <c r="T324" i="28"/>
  <c r="AA324" i="28" s="1"/>
  <c r="U324" i="28"/>
  <c r="AB324" i="28" s="1"/>
  <c r="V324" i="28"/>
  <c r="AC324" i="28" s="1"/>
  <c r="Q325" i="28"/>
  <c r="X325" i="28" s="1"/>
  <c r="R325" i="28"/>
  <c r="Y325" i="28" s="1"/>
  <c r="S325" i="28"/>
  <c r="Z325" i="28" s="1"/>
  <c r="T325" i="28"/>
  <c r="AA325" i="28" s="1"/>
  <c r="U325" i="28"/>
  <c r="AB325" i="28" s="1"/>
  <c r="V325" i="28"/>
  <c r="AC325" i="28" s="1"/>
  <c r="Q326" i="28"/>
  <c r="X326" i="28" s="1"/>
  <c r="R326" i="28"/>
  <c r="Y326" i="28" s="1"/>
  <c r="S326" i="28"/>
  <c r="Z326" i="28" s="1"/>
  <c r="T326" i="28"/>
  <c r="AA326" i="28" s="1"/>
  <c r="U326" i="28"/>
  <c r="AB326" i="28" s="1"/>
  <c r="V326" i="28"/>
  <c r="AC326" i="28" s="1"/>
  <c r="Q327" i="28"/>
  <c r="X327" i="28" s="1"/>
  <c r="R327" i="28"/>
  <c r="Y327" i="28" s="1"/>
  <c r="S327" i="28"/>
  <c r="Z327" i="28" s="1"/>
  <c r="T327" i="28"/>
  <c r="AA327" i="28" s="1"/>
  <c r="U327" i="28"/>
  <c r="AB327" i="28" s="1"/>
  <c r="V327" i="28"/>
  <c r="AC327" i="28" s="1"/>
  <c r="Q328" i="28"/>
  <c r="X328" i="28" s="1"/>
  <c r="R328" i="28"/>
  <c r="Y328" i="28" s="1"/>
  <c r="S328" i="28"/>
  <c r="Z328" i="28" s="1"/>
  <c r="T328" i="28"/>
  <c r="AA328" i="28" s="1"/>
  <c r="U328" i="28"/>
  <c r="AB328" i="28" s="1"/>
  <c r="Q329" i="28"/>
  <c r="X329" i="28" s="1"/>
  <c r="R329" i="28"/>
  <c r="Y329" i="28" s="1"/>
  <c r="S329" i="28"/>
  <c r="Z329" i="28" s="1"/>
  <c r="T329" i="28"/>
  <c r="AA329" i="28" s="1"/>
  <c r="U329" i="28"/>
  <c r="AB329" i="28" s="1"/>
  <c r="V329" i="28"/>
  <c r="AC329" i="28" s="1"/>
  <c r="Q330" i="28"/>
  <c r="X330" i="28" s="1"/>
  <c r="R330" i="28"/>
  <c r="Y330" i="28" s="1"/>
  <c r="S330" i="28"/>
  <c r="Z330" i="28" s="1"/>
  <c r="T330" i="28"/>
  <c r="AA330" i="28" s="1"/>
  <c r="U330" i="28"/>
  <c r="AB330" i="28" s="1"/>
  <c r="V330" i="28"/>
  <c r="AC330" i="28" s="1"/>
  <c r="Q331" i="28"/>
  <c r="X331" i="28" s="1"/>
  <c r="R331" i="28"/>
  <c r="Y331" i="28" s="1"/>
  <c r="S331" i="28"/>
  <c r="Z331" i="28" s="1"/>
  <c r="T331" i="28"/>
  <c r="AA331" i="28" s="1"/>
  <c r="U331" i="28"/>
  <c r="AB331" i="28" s="1"/>
  <c r="V331" i="28"/>
  <c r="AC331" i="28" s="1"/>
  <c r="Q332" i="28"/>
  <c r="X332" i="28" s="1"/>
  <c r="R332" i="28"/>
  <c r="Y332" i="28" s="1"/>
  <c r="S332" i="28"/>
  <c r="Z332" i="28" s="1"/>
  <c r="T332" i="28"/>
  <c r="AA332" i="28" s="1"/>
  <c r="U332" i="28"/>
  <c r="AB332" i="28" s="1"/>
  <c r="V332" i="28"/>
  <c r="AC332" i="28" s="1"/>
  <c r="Q333" i="28"/>
  <c r="X333" i="28" s="1"/>
  <c r="R333" i="28"/>
  <c r="Y333" i="28" s="1"/>
  <c r="S333" i="28"/>
  <c r="Z333" i="28" s="1"/>
  <c r="T333" i="28"/>
  <c r="AA333" i="28" s="1"/>
  <c r="U333" i="28"/>
  <c r="AB333" i="28" s="1"/>
  <c r="V333" i="28"/>
  <c r="AC333" i="28" s="1"/>
  <c r="Q334" i="28"/>
  <c r="X334" i="28" s="1"/>
  <c r="R334" i="28"/>
  <c r="Y334" i="28" s="1"/>
  <c r="S334" i="28"/>
  <c r="Z334" i="28" s="1"/>
  <c r="T334" i="28"/>
  <c r="AA334" i="28" s="1"/>
  <c r="U334" i="28"/>
  <c r="AB334" i="28" s="1"/>
  <c r="V334" i="28"/>
  <c r="AC334" i="28" s="1"/>
  <c r="Q335" i="28"/>
  <c r="X335" i="28" s="1"/>
  <c r="R335" i="28"/>
  <c r="Y335" i="28" s="1"/>
  <c r="S335" i="28"/>
  <c r="Z335" i="28" s="1"/>
  <c r="T335" i="28"/>
  <c r="AA335" i="28" s="1"/>
  <c r="U335" i="28"/>
  <c r="AB335" i="28" s="1"/>
  <c r="V335" i="28"/>
  <c r="AC335" i="28" s="1"/>
  <c r="Q336" i="28"/>
  <c r="X336" i="28" s="1"/>
  <c r="R336" i="28"/>
  <c r="Y336" i="28" s="1"/>
  <c r="S336" i="28"/>
  <c r="Z336" i="28" s="1"/>
  <c r="T336" i="28"/>
  <c r="AA336" i="28" s="1"/>
  <c r="U336" i="28"/>
  <c r="AB336" i="28" s="1"/>
  <c r="Q337" i="28"/>
  <c r="X337" i="28" s="1"/>
  <c r="R337" i="28"/>
  <c r="Y337" i="28" s="1"/>
  <c r="S337" i="28"/>
  <c r="Z337" i="28" s="1"/>
  <c r="T337" i="28"/>
  <c r="AA337" i="28" s="1"/>
  <c r="U337" i="28"/>
  <c r="AB337" i="28" s="1"/>
  <c r="V337" i="28"/>
  <c r="AC337" i="28" s="1"/>
  <c r="Q338" i="28"/>
  <c r="X338" i="28" s="1"/>
  <c r="R338" i="28"/>
  <c r="Y338" i="28" s="1"/>
  <c r="S338" i="28"/>
  <c r="Z338" i="28" s="1"/>
  <c r="T338" i="28"/>
  <c r="AA338" i="28" s="1"/>
  <c r="U338" i="28"/>
  <c r="AB338" i="28" s="1"/>
  <c r="V338" i="28"/>
  <c r="AC338" i="28" s="1"/>
  <c r="Q339" i="28"/>
  <c r="X339" i="28" s="1"/>
  <c r="R339" i="28"/>
  <c r="Y339" i="28" s="1"/>
  <c r="S339" i="28"/>
  <c r="Z339" i="28" s="1"/>
  <c r="T339" i="28"/>
  <c r="AA339" i="28" s="1"/>
  <c r="U339" i="28"/>
  <c r="AB339" i="28" s="1"/>
  <c r="V339" i="28"/>
  <c r="AC339" i="28" s="1"/>
  <c r="Q340" i="28"/>
  <c r="X340" i="28" s="1"/>
  <c r="R340" i="28"/>
  <c r="Y340" i="28" s="1"/>
  <c r="S340" i="28"/>
  <c r="Z340" i="28" s="1"/>
  <c r="T340" i="28"/>
  <c r="AA340" i="28" s="1"/>
  <c r="U340" i="28"/>
  <c r="AB340" i="28" s="1"/>
  <c r="V340" i="28"/>
  <c r="AC340" i="28" s="1"/>
  <c r="Q341" i="28"/>
  <c r="X341" i="28" s="1"/>
  <c r="R341" i="28"/>
  <c r="Y341" i="28" s="1"/>
  <c r="S341" i="28"/>
  <c r="Z341" i="28" s="1"/>
  <c r="T341" i="28"/>
  <c r="AA341" i="28" s="1"/>
  <c r="U341" i="28"/>
  <c r="AB341" i="28" s="1"/>
  <c r="V341" i="28"/>
  <c r="AC341" i="28" s="1"/>
  <c r="Q342" i="28"/>
  <c r="X342" i="28" s="1"/>
  <c r="R342" i="28"/>
  <c r="Y342" i="28" s="1"/>
  <c r="S342" i="28"/>
  <c r="Z342" i="28" s="1"/>
  <c r="T342" i="28"/>
  <c r="AA342" i="28" s="1"/>
  <c r="U342" i="28"/>
  <c r="AB342" i="28" s="1"/>
  <c r="V342" i="28"/>
  <c r="AC342" i="28" s="1"/>
  <c r="Q343" i="28"/>
  <c r="X343" i="28" s="1"/>
  <c r="R343" i="28"/>
  <c r="Y343" i="28" s="1"/>
  <c r="S343" i="28"/>
  <c r="Z343" i="28" s="1"/>
  <c r="T343" i="28"/>
  <c r="AA343" i="28" s="1"/>
  <c r="U343" i="28"/>
  <c r="AB343" i="28" s="1"/>
  <c r="V343" i="28"/>
  <c r="AC343" i="28" s="1"/>
  <c r="Q344" i="28"/>
  <c r="X344" i="28" s="1"/>
  <c r="R344" i="28"/>
  <c r="Y344" i="28" s="1"/>
  <c r="S344" i="28"/>
  <c r="Z344" i="28" s="1"/>
  <c r="T344" i="28"/>
  <c r="AA344" i="28" s="1"/>
  <c r="U344" i="28"/>
  <c r="AB344" i="28" s="1"/>
  <c r="Q345" i="28"/>
  <c r="X345" i="28" s="1"/>
  <c r="R345" i="28"/>
  <c r="Y345" i="28" s="1"/>
  <c r="S345" i="28"/>
  <c r="Z345" i="28" s="1"/>
  <c r="T345" i="28"/>
  <c r="AA345" i="28" s="1"/>
  <c r="U345" i="28"/>
  <c r="AB345" i="28" s="1"/>
  <c r="V345" i="28"/>
  <c r="AC345" i="28" s="1"/>
  <c r="Q346" i="28"/>
  <c r="X346" i="28" s="1"/>
  <c r="R346" i="28"/>
  <c r="Y346" i="28" s="1"/>
  <c r="S346" i="28"/>
  <c r="Z346" i="28" s="1"/>
  <c r="T346" i="28"/>
  <c r="AA346" i="28" s="1"/>
  <c r="U346" i="28"/>
  <c r="AB346" i="28" s="1"/>
  <c r="V346" i="28"/>
  <c r="AC346" i="28" s="1"/>
  <c r="Q347" i="28"/>
  <c r="X347" i="28" s="1"/>
  <c r="R347" i="28"/>
  <c r="Y347" i="28" s="1"/>
  <c r="S347" i="28"/>
  <c r="Z347" i="28" s="1"/>
  <c r="T347" i="28"/>
  <c r="AA347" i="28" s="1"/>
  <c r="U347" i="28"/>
  <c r="AB347" i="28" s="1"/>
  <c r="V347" i="28"/>
  <c r="AC347" i="28" s="1"/>
  <c r="Q348" i="28"/>
  <c r="X348" i="28" s="1"/>
  <c r="R348" i="28"/>
  <c r="Y348" i="28" s="1"/>
  <c r="S348" i="28"/>
  <c r="Z348" i="28" s="1"/>
  <c r="T348" i="28"/>
  <c r="AA348" i="28" s="1"/>
  <c r="U348" i="28"/>
  <c r="AB348" i="28" s="1"/>
  <c r="V348" i="28"/>
  <c r="AC348" i="28" s="1"/>
  <c r="Q349" i="28"/>
  <c r="X349" i="28" s="1"/>
  <c r="R349" i="28"/>
  <c r="Y349" i="28" s="1"/>
  <c r="S349" i="28"/>
  <c r="Z349" i="28" s="1"/>
  <c r="T349" i="28"/>
  <c r="AA349" i="28" s="1"/>
  <c r="U349" i="28"/>
  <c r="AB349" i="28" s="1"/>
  <c r="V349" i="28"/>
  <c r="AC349" i="28" s="1"/>
  <c r="Q350" i="28"/>
  <c r="X350" i="28" s="1"/>
  <c r="R350" i="28"/>
  <c r="Y350" i="28" s="1"/>
  <c r="S350" i="28"/>
  <c r="Z350" i="28" s="1"/>
  <c r="T350" i="28"/>
  <c r="AA350" i="28" s="1"/>
  <c r="U350" i="28"/>
  <c r="AB350" i="28" s="1"/>
  <c r="V350" i="28"/>
  <c r="AC350" i="28" s="1"/>
  <c r="Q351" i="28"/>
  <c r="X351" i="28" s="1"/>
  <c r="R351" i="28"/>
  <c r="Y351" i="28" s="1"/>
  <c r="S351" i="28"/>
  <c r="Z351" i="28" s="1"/>
  <c r="T351" i="28"/>
  <c r="AA351" i="28" s="1"/>
  <c r="U351" i="28"/>
  <c r="AB351" i="28" s="1"/>
  <c r="V351" i="28"/>
  <c r="AC351" i="28" s="1"/>
  <c r="Q352" i="28"/>
  <c r="X352" i="28" s="1"/>
  <c r="R352" i="28"/>
  <c r="Y352" i="28" s="1"/>
  <c r="S352" i="28"/>
  <c r="Z352" i="28" s="1"/>
  <c r="T352" i="28"/>
  <c r="AA352" i="28" s="1"/>
  <c r="U352" i="28"/>
  <c r="AB352" i="28" s="1"/>
  <c r="Q353" i="28"/>
  <c r="X353" i="28" s="1"/>
  <c r="R353" i="28"/>
  <c r="Y353" i="28" s="1"/>
  <c r="S353" i="28"/>
  <c r="Z353" i="28" s="1"/>
  <c r="T353" i="28"/>
  <c r="AA353" i="28" s="1"/>
  <c r="U353" i="28"/>
  <c r="AB353" i="28" s="1"/>
  <c r="V353" i="28"/>
  <c r="AC353" i="28" s="1"/>
  <c r="Q354" i="28"/>
  <c r="X354" i="28" s="1"/>
  <c r="R354" i="28"/>
  <c r="Y354" i="28" s="1"/>
  <c r="S354" i="28"/>
  <c r="Z354" i="28" s="1"/>
  <c r="T354" i="28"/>
  <c r="AA354" i="28" s="1"/>
  <c r="U354" i="28"/>
  <c r="AB354" i="28" s="1"/>
  <c r="V354" i="28"/>
  <c r="AC354" i="28" s="1"/>
  <c r="Q355" i="28"/>
  <c r="X355" i="28" s="1"/>
  <c r="R355" i="28"/>
  <c r="Y355" i="28" s="1"/>
  <c r="S355" i="28"/>
  <c r="Z355" i="28" s="1"/>
  <c r="T355" i="28"/>
  <c r="AA355" i="28" s="1"/>
  <c r="U355" i="28"/>
  <c r="AB355" i="28" s="1"/>
  <c r="V355" i="28"/>
  <c r="AC355" i="28" s="1"/>
  <c r="Q356" i="28"/>
  <c r="X356" i="28" s="1"/>
  <c r="R356" i="28"/>
  <c r="Y356" i="28" s="1"/>
  <c r="S356" i="28"/>
  <c r="Z356" i="28" s="1"/>
  <c r="T356" i="28"/>
  <c r="AA356" i="28" s="1"/>
  <c r="U356" i="28"/>
  <c r="AB356" i="28" s="1"/>
  <c r="V356" i="28"/>
  <c r="AC356" i="28" s="1"/>
  <c r="Q357" i="28"/>
  <c r="X357" i="28" s="1"/>
  <c r="R357" i="28"/>
  <c r="Y357" i="28" s="1"/>
  <c r="S357" i="28"/>
  <c r="Z357" i="28" s="1"/>
  <c r="T357" i="28"/>
  <c r="AA357" i="28" s="1"/>
  <c r="U357" i="28"/>
  <c r="AB357" i="28" s="1"/>
  <c r="V357" i="28"/>
  <c r="AC357" i="28" s="1"/>
  <c r="Q358" i="28"/>
  <c r="X358" i="28" s="1"/>
  <c r="R358" i="28"/>
  <c r="Y358" i="28" s="1"/>
  <c r="S358" i="28"/>
  <c r="Z358" i="28" s="1"/>
  <c r="T358" i="28"/>
  <c r="AA358" i="28" s="1"/>
  <c r="U358" i="28"/>
  <c r="AB358" i="28" s="1"/>
  <c r="V358" i="28"/>
  <c r="AC358" i="28" s="1"/>
  <c r="Q359" i="28"/>
  <c r="X359" i="28" s="1"/>
  <c r="R359" i="28"/>
  <c r="Y359" i="28" s="1"/>
  <c r="S359" i="28"/>
  <c r="Z359" i="28" s="1"/>
  <c r="T359" i="28"/>
  <c r="AA359" i="28" s="1"/>
  <c r="U359" i="28"/>
  <c r="AB359" i="28" s="1"/>
  <c r="V359" i="28"/>
  <c r="AC359" i="28" s="1"/>
  <c r="Q360" i="28"/>
  <c r="X360" i="28" s="1"/>
  <c r="R360" i="28"/>
  <c r="Y360" i="28" s="1"/>
  <c r="S360" i="28"/>
  <c r="Z360" i="28" s="1"/>
  <c r="T360" i="28"/>
  <c r="AA360" i="28" s="1"/>
  <c r="U360" i="28"/>
  <c r="AB360" i="28" s="1"/>
  <c r="Q361" i="28"/>
  <c r="X361" i="28" s="1"/>
  <c r="R361" i="28"/>
  <c r="Y361" i="28" s="1"/>
  <c r="S361" i="28"/>
  <c r="Z361" i="28" s="1"/>
  <c r="T361" i="28"/>
  <c r="AA361" i="28" s="1"/>
  <c r="U361" i="28"/>
  <c r="AB361" i="28" s="1"/>
  <c r="V361" i="28"/>
  <c r="AC361" i="28" s="1"/>
  <c r="Q362" i="28"/>
  <c r="X362" i="28" s="1"/>
  <c r="R362" i="28"/>
  <c r="Y362" i="28" s="1"/>
  <c r="S362" i="28"/>
  <c r="Z362" i="28" s="1"/>
  <c r="T362" i="28"/>
  <c r="AA362" i="28" s="1"/>
  <c r="U362" i="28"/>
  <c r="AB362" i="28" s="1"/>
  <c r="V362" i="28"/>
  <c r="AC362" i="28" s="1"/>
  <c r="Q363" i="28"/>
  <c r="X363" i="28" s="1"/>
  <c r="R363" i="28"/>
  <c r="Y363" i="28" s="1"/>
  <c r="S363" i="28"/>
  <c r="Z363" i="28" s="1"/>
  <c r="T363" i="28"/>
  <c r="AA363" i="28" s="1"/>
  <c r="U363" i="28"/>
  <c r="AB363" i="28" s="1"/>
  <c r="V363" i="28"/>
  <c r="AC363" i="28" s="1"/>
  <c r="Q364" i="28"/>
  <c r="X364" i="28" s="1"/>
  <c r="R364" i="28"/>
  <c r="Y364" i="28" s="1"/>
  <c r="S364" i="28"/>
  <c r="Z364" i="28" s="1"/>
  <c r="T364" i="28"/>
  <c r="AA364" i="28" s="1"/>
  <c r="U364" i="28"/>
  <c r="AB364" i="28" s="1"/>
  <c r="V364" i="28"/>
  <c r="AC364" i="28" s="1"/>
  <c r="Q365" i="28"/>
  <c r="X365" i="28" s="1"/>
  <c r="R365" i="28"/>
  <c r="Y365" i="28" s="1"/>
  <c r="S365" i="28"/>
  <c r="Z365" i="28" s="1"/>
  <c r="T365" i="28"/>
  <c r="AA365" i="28" s="1"/>
  <c r="U365" i="28"/>
  <c r="AB365" i="28" s="1"/>
  <c r="V365" i="28"/>
  <c r="AC365" i="28" s="1"/>
  <c r="Q366" i="28"/>
  <c r="X366" i="28" s="1"/>
  <c r="R366" i="28"/>
  <c r="Y366" i="28" s="1"/>
  <c r="S366" i="28"/>
  <c r="Z366" i="28" s="1"/>
  <c r="T366" i="28"/>
  <c r="AA366" i="28" s="1"/>
  <c r="U366" i="28"/>
  <c r="AB366" i="28" s="1"/>
  <c r="V366" i="28"/>
  <c r="AC366" i="28" s="1"/>
  <c r="Q367" i="28"/>
  <c r="X367" i="28" s="1"/>
  <c r="R367" i="28"/>
  <c r="Y367" i="28" s="1"/>
  <c r="S367" i="28"/>
  <c r="Z367" i="28" s="1"/>
  <c r="T367" i="28"/>
  <c r="AA367" i="28" s="1"/>
  <c r="U367" i="28"/>
  <c r="AB367" i="28" s="1"/>
  <c r="V367" i="28"/>
  <c r="AC367" i="28" s="1"/>
  <c r="Q368" i="28"/>
  <c r="X368" i="28" s="1"/>
  <c r="R368" i="28"/>
  <c r="Y368" i="28" s="1"/>
  <c r="S368" i="28"/>
  <c r="Z368" i="28" s="1"/>
  <c r="T368" i="28"/>
  <c r="AA368" i="28" s="1"/>
  <c r="U368" i="28"/>
  <c r="AB368" i="28" s="1"/>
  <c r="Q369" i="28"/>
  <c r="X369" i="28" s="1"/>
  <c r="R369" i="28"/>
  <c r="Y369" i="28" s="1"/>
  <c r="S369" i="28"/>
  <c r="Z369" i="28" s="1"/>
  <c r="T369" i="28"/>
  <c r="AA369" i="28" s="1"/>
  <c r="U369" i="28"/>
  <c r="AB369" i="28" s="1"/>
  <c r="V369" i="28"/>
  <c r="AC369" i="28" s="1"/>
  <c r="Q370" i="28"/>
  <c r="X370" i="28" s="1"/>
  <c r="R370" i="28"/>
  <c r="Y370" i="28" s="1"/>
  <c r="S370" i="28"/>
  <c r="Z370" i="28" s="1"/>
  <c r="T370" i="28"/>
  <c r="AA370" i="28" s="1"/>
  <c r="U370" i="28"/>
  <c r="AB370" i="28" s="1"/>
  <c r="V370" i="28"/>
  <c r="AC370" i="28" s="1"/>
  <c r="Q371" i="28"/>
  <c r="X371" i="28" s="1"/>
  <c r="R371" i="28"/>
  <c r="Y371" i="28" s="1"/>
  <c r="S371" i="28"/>
  <c r="Z371" i="28" s="1"/>
  <c r="T371" i="28"/>
  <c r="AA371" i="28" s="1"/>
  <c r="U371" i="28"/>
  <c r="AB371" i="28" s="1"/>
  <c r="V371" i="28"/>
  <c r="AC371" i="28" s="1"/>
  <c r="Q372" i="28"/>
  <c r="X372" i="28" s="1"/>
  <c r="R372" i="28"/>
  <c r="Y372" i="28" s="1"/>
  <c r="S372" i="28"/>
  <c r="Z372" i="28" s="1"/>
  <c r="T372" i="28"/>
  <c r="AA372" i="28" s="1"/>
  <c r="U372" i="28"/>
  <c r="AB372" i="28" s="1"/>
  <c r="V372" i="28"/>
  <c r="AC372" i="28" s="1"/>
  <c r="Q373" i="28"/>
  <c r="X373" i="28" s="1"/>
  <c r="R373" i="28"/>
  <c r="Y373" i="28" s="1"/>
  <c r="S373" i="28"/>
  <c r="Z373" i="28" s="1"/>
  <c r="T373" i="28"/>
  <c r="AA373" i="28" s="1"/>
  <c r="U373" i="28"/>
  <c r="AB373" i="28" s="1"/>
  <c r="V373" i="28"/>
  <c r="AC373" i="28" s="1"/>
  <c r="Q374" i="28"/>
  <c r="X374" i="28" s="1"/>
  <c r="R374" i="28"/>
  <c r="Y374" i="28" s="1"/>
  <c r="S374" i="28"/>
  <c r="Z374" i="28" s="1"/>
  <c r="T374" i="28"/>
  <c r="AA374" i="28" s="1"/>
  <c r="U374" i="28"/>
  <c r="AB374" i="28" s="1"/>
  <c r="V374" i="28"/>
  <c r="AC374" i="28" s="1"/>
  <c r="Q375" i="28"/>
  <c r="X375" i="28" s="1"/>
  <c r="R375" i="28"/>
  <c r="Y375" i="28" s="1"/>
  <c r="S375" i="28"/>
  <c r="Z375" i="28" s="1"/>
  <c r="T375" i="28"/>
  <c r="AA375" i="28" s="1"/>
  <c r="U375" i="28"/>
  <c r="AB375" i="28" s="1"/>
  <c r="V375" i="28"/>
  <c r="AC375" i="28" s="1"/>
  <c r="Q376" i="28"/>
  <c r="X376" i="28" s="1"/>
  <c r="R376" i="28"/>
  <c r="Y376" i="28" s="1"/>
  <c r="S376" i="28"/>
  <c r="Z376" i="28" s="1"/>
  <c r="T376" i="28"/>
  <c r="AA376" i="28" s="1"/>
  <c r="U376" i="28"/>
  <c r="AB376" i="28" s="1"/>
  <c r="Q377" i="28"/>
  <c r="X377" i="28" s="1"/>
  <c r="R377" i="28"/>
  <c r="Y377" i="28" s="1"/>
  <c r="S377" i="28"/>
  <c r="Z377" i="28" s="1"/>
  <c r="T377" i="28"/>
  <c r="AA377" i="28" s="1"/>
  <c r="U377" i="28"/>
  <c r="AB377" i="28" s="1"/>
  <c r="V377" i="28"/>
  <c r="AC377" i="28" s="1"/>
  <c r="Q378" i="28"/>
  <c r="X378" i="28" s="1"/>
  <c r="R378" i="28"/>
  <c r="Y378" i="28" s="1"/>
  <c r="S378" i="28"/>
  <c r="Z378" i="28" s="1"/>
  <c r="T378" i="28"/>
  <c r="AA378" i="28" s="1"/>
  <c r="U378" i="28"/>
  <c r="AB378" i="28" s="1"/>
  <c r="V378" i="28"/>
  <c r="AC378" i="28" s="1"/>
  <c r="Q379" i="28"/>
  <c r="X379" i="28" s="1"/>
  <c r="R379" i="28"/>
  <c r="Y379" i="28" s="1"/>
  <c r="S379" i="28"/>
  <c r="Z379" i="28" s="1"/>
  <c r="T379" i="28"/>
  <c r="AA379" i="28" s="1"/>
  <c r="U379" i="28"/>
  <c r="AB379" i="28" s="1"/>
  <c r="V379" i="28"/>
  <c r="AC379" i="28" s="1"/>
  <c r="Q380" i="28"/>
  <c r="X380" i="28" s="1"/>
  <c r="R380" i="28"/>
  <c r="Y380" i="28" s="1"/>
  <c r="S380" i="28"/>
  <c r="Z380" i="28" s="1"/>
  <c r="T380" i="28"/>
  <c r="AA380" i="28" s="1"/>
  <c r="U380" i="28"/>
  <c r="AB380" i="28" s="1"/>
  <c r="V380" i="28"/>
  <c r="AC380" i="28" s="1"/>
  <c r="Q381" i="28"/>
  <c r="X381" i="28" s="1"/>
  <c r="R381" i="28"/>
  <c r="Y381" i="28" s="1"/>
  <c r="S381" i="28"/>
  <c r="Z381" i="28" s="1"/>
  <c r="T381" i="28"/>
  <c r="AA381" i="28" s="1"/>
  <c r="U381" i="28"/>
  <c r="AB381" i="28" s="1"/>
  <c r="V381" i="28"/>
  <c r="AC381" i="28" s="1"/>
  <c r="Q382" i="28"/>
  <c r="X382" i="28" s="1"/>
  <c r="R382" i="28"/>
  <c r="Y382" i="28" s="1"/>
  <c r="S382" i="28"/>
  <c r="Z382" i="28" s="1"/>
  <c r="T382" i="28"/>
  <c r="AA382" i="28" s="1"/>
  <c r="U382" i="28"/>
  <c r="AB382" i="28" s="1"/>
  <c r="V382" i="28"/>
  <c r="AC382" i="28" s="1"/>
  <c r="Q383" i="28"/>
  <c r="X383" i="28" s="1"/>
  <c r="R383" i="28"/>
  <c r="Y383" i="28" s="1"/>
  <c r="S383" i="28"/>
  <c r="Z383" i="28" s="1"/>
  <c r="T383" i="28"/>
  <c r="AA383" i="28" s="1"/>
  <c r="U383" i="28"/>
  <c r="AB383" i="28" s="1"/>
  <c r="V383" i="28"/>
  <c r="AC383" i="28" s="1"/>
  <c r="Q384" i="28"/>
  <c r="X384" i="28" s="1"/>
  <c r="R384" i="28"/>
  <c r="Y384" i="28" s="1"/>
  <c r="S384" i="28"/>
  <c r="Z384" i="28" s="1"/>
  <c r="T384" i="28"/>
  <c r="AA384" i="28" s="1"/>
  <c r="U384" i="28"/>
  <c r="AB384" i="28" s="1"/>
  <c r="Q385" i="28"/>
  <c r="X385" i="28" s="1"/>
  <c r="R385" i="28"/>
  <c r="Y385" i="28" s="1"/>
  <c r="S385" i="28"/>
  <c r="Z385" i="28" s="1"/>
  <c r="T385" i="28"/>
  <c r="AA385" i="28" s="1"/>
  <c r="U385" i="28"/>
  <c r="AB385" i="28" s="1"/>
  <c r="V385" i="28"/>
  <c r="AC385" i="28" s="1"/>
  <c r="Q386" i="28"/>
  <c r="X386" i="28" s="1"/>
  <c r="R386" i="28"/>
  <c r="Y386" i="28" s="1"/>
  <c r="S386" i="28"/>
  <c r="Z386" i="28" s="1"/>
  <c r="T386" i="28"/>
  <c r="AA386" i="28" s="1"/>
  <c r="U386" i="28"/>
  <c r="AB386" i="28" s="1"/>
  <c r="V386" i="28"/>
  <c r="AC386" i="28" s="1"/>
  <c r="Q387" i="28"/>
  <c r="X387" i="28" s="1"/>
  <c r="R387" i="28"/>
  <c r="Y387" i="28" s="1"/>
  <c r="S387" i="28"/>
  <c r="Z387" i="28" s="1"/>
  <c r="T387" i="28"/>
  <c r="AA387" i="28" s="1"/>
  <c r="U387" i="28"/>
  <c r="AB387" i="28" s="1"/>
  <c r="V387" i="28"/>
  <c r="AC387" i="28" s="1"/>
  <c r="Q388" i="28"/>
  <c r="X388" i="28" s="1"/>
  <c r="R388" i="28"/>
  <c r="Y388" i="28" s="1"/>
  <c r="S388" i="28"/>
  <c r="Z388" i="28" s="1"/>
  <c r="T388" i="28"/>
  <c r="AA388" i="28" s="1"/>
  <c r="U388" i="28"/>
  <c r="AB388" i="28" s="1"/>
  <c r="V388" i="28"/>
  <c r="AC388" i="28" s="1"/>
  <c r="Q389" i="28"/>
  <c r="X389" i="28" s="1"/>
  <c r="R389" i="28"/>
  <c r="Y389" i="28" s="1"/>
  <c r="S389" i="28"/>
  <c r="Z389" i="28" s="1"/>
  <c r="T389" i="28"/>
  <c r="AA389" i="28" s="1"/>
  <c r="U389" i="28"/>
  <c r="AB389" i="28" s="1"/>
  <c r="V389" i="28"/>
  <c r="AC389" i="28" s="1"/>
  <c r="Q390" i="28"/>
  <c r="X390" i="28" s="1"/>
  <c r="R390" i="28"/>
  <c r="Y390" i="28" s="1"/>
  <c r="S390" i="28"/>
  <c r="Z390" i="28" s="1"/>
  <c r="T390" i="28"/>
  <c r="AA390" i="28" s="1"/>
  <c r="U390" i="28"/>
  <c r="AB390" i="28" s="1"/>
  <c r="V390" i="28"/>
  <c r="AC390" i="28" s="1"/>
  <c r="Q391" i="28"/>
  <c r="X391" i="28" s="1"/>
  <c r="R391" i="28"/>
  <c r="Y391" i="28" s="1"/>
  <c r="S391" i="28"/>
  <c r="Z391" i="28" s="1"/>
  <c r="T391" i="28"/>
  <c r="AA391" i="28" s="1"/>
  <c r="U391" i="28"/>
  <c r="AB391" i="28" s="1"/>
  <c r="V391" i="28"/>
  <c r="AC391" i="28" s="1"/>
  <c r="Q392" i="28"/>
  <c r="X392" i="28" s="1"/>
  <c r="R392" i="28"/>
  <c r="Y392" i="28" s="1"/>
  <c r="S392" i="28"/>
  <c r="Z392" i="28" s="1"/>
  <c r="T392" i="28"/>
  <c r="AA392" i="28" s="1"/>
  <c r="U392" i="28"/>
  <c r="AB392" i="28" s="1"/>
  <c r="Q393" i="28"/>
  <c r="X393" i="28" s="1"/>
  <c r="R393" i="28"/>
  <c r="Y393" i="28" s="1"/>
  <c r="S393" i="28"/>
  <c r="Z393" i="28" s="1"/>
  <c r="T393" i="28"/>
  <c r="AA393" i="28" s="1"/>
  <c r="U393" i="28"/>
  <c r="AB393" i="28" s="1"/>
  <c r="V393" i="28"/>
  <c r="AC393" i="28" s="1"/>
  <c r="Q394" i="28"/>
  <c r="X394" i="28" s="1"/>
  <c r="R394" i="28"/>
  <c r="Y394" i="28" s="1"/>
  <c r="S394" i="28"/>
  <c r="Z394" i="28" s="1"/>
  <c r="T394" i="28"/>
  <c r="AA394" i="28" s="1"/>
  <c r="U394" i="28"/>
  <c r="AB394" i="28" s="1"/>
  <c r="V394" i="28"/>
  <c r="AC394" i="28" s="1"/>
  <c r="Q395" i="28"/>
  <c r="X395" i="28" s="1"/>
  <c r="R395" i="28"/>
  <c r="Y395" i="28" s="1"/>
  <c r="S395" i="28"/>
  <c r="Z395" i="28" s="1"/>
  <c r="T395" i="28"/>
  <c r="AA395" i="28" s="1"/>
  <c r="U395" i="28"/>
  <c r="AB395" i="28" s="1"/>
  <c r="V395" i="28"/>
  <c r="AC395" i="28" s="1"/>
  <c r="Q396" i="28"/>
  <c r="X396" i="28" s="1"/>
  <c r="R396" i="28"/>
  <c r="Y396" i="28" s="1"/>
  <c r="S396" i="28"/>
  <c r="Z396" i="28" s="1"/>
  <c r="T396" i="28"/>
  <c r="AA396" i="28" s="1"/>
  <c r="U396" i="28"/>
  <c r="AB396" i="28" s="1"/>
  <c r="V396" i="28"/>
  <c r="AC396" i="28" s="1"/>
  <c r="Q397" i="28"/>
  <c r="X397" i="28" s="1"/>
  <c r="R397" i="28"/>
  <c r="Y397" i="28" s="1"/>
  <c r="S397" i="28"/>
  <c r="Z397" i="28" s="1"/>
  <c r="T397" i="28"/>
  <c r="AA397" i="28" s="1"/>
  <c r="U397" i="28"/>
  <c r="AB397" i="28" s="1"/>
  <c r="V397" i="28"/>
  <c r="AC397" i="28" s="1"/>
  <c r="Q398" i="28"/>
  <c r="X398" i="28" s="1"/>
  <c r="R398" i="28"/>
  <c r="Y398" i="28" s="1"/>
  <c r="S398" i="28"/>
  <c r="Z398" i="28" s="1"/>
  <c r="T398" i="28"/>
  <c r="AA398" i="28" s="1"/>
  <c r="U398" i="28"/>
  <c r="AB398" i="28" s="1"/>
  <c r="V398" i="28"/>
  <c r="AC398" i="28" s="1"/>
  <c r="Q399" i="28"/>
  <c r="X399" i="28" s="1"/>
  <c r="R399" i="28"/>
  <c r="Y399" i="28" s="1"/>
  <c r="S399" i="28"/>
  <c r="Z399" i="28" s="1"/>
  <c r="T399" i="28"/>
  <c r="AA399" i="28" s="1"/>
  <c r="U399" i="28"/>
  <c r="AB399" i="28" s="1"/>
  <c r="V399" i="28"/>
  <c r="AC399" i="28" s="1"/>
  <c r="Q400" i="28"/>
  <c r="X400" i="28" s="1"/>
  <c r="R400" i="28"/>
  <c r="Y400" i="28" s="1"/>
  <c r="S400" i="28"/>
  <c r="Z400" i="28" s="1"/>
  <c r="T400" i="28"/>
  <c r="AA400" i="28" s="1"/>
  <c r="U400" i="28"/>
  <c r="AB400" i="28" s="1"/>
  <c r="Q401" i="28"/>
  <c r="X401" i="28" s="1"/>
  <c r="R401" i="28"/>
  <c r="Y401" i="28" s="1"/>
  <c r="S401" i="28"/>
  <c r="Z401" i="28" s="1"/>
  <c r="T401" i="28"/>
  <c r="AA401" i="28" s="1"/>
  <c r="U401" i="28"/>
  <c r="AB401" i="28" s="1"/>
  <c r="V401" i="28"/>
  <c r="AC401" i="28" s="1"/>
  <c r="Q402" i="28"/>
  <c r="X402" i="28" s="1"/>
  <c r="R402" i="28"/>
  <c r="Y402" i="28" s="1"/>
  <c r="S402" i="28"/>
  <c r="Z402" i="28" s="1"/>
  <c r="T402" i="28"/>
  <c r="AA402" i="28" s="1"/>
  <c r="U402" i="28"/>
  <c r="AB402" i="28" s="1"/>
  <c r="V402" i="28"/>
  <c r="AC402" i="28" s="1"/>
  <c r="Q403" i="28"/>
  <c r="X403" i="28" s="1"/>
  <c r="R403" i="28"/>
  <c r="Y403" i="28" s="1"/>
  <c r="S403" i="28"/>
  <c r="Z403" i="28" s="1"/>
  <c r="T403" i="28"/>
  <c r="AA403" i="28" s="1"/>
  <c r="U403" i="28"/>
  <c r="AB403" i="28" s="1"/>
  <c r="V403" i="28"/>
  <c r="AC403" i="28" s="1"/>
  <c r="Q404" i="28"/>
  <c r="X404" i="28" s="1"/>
  <c r="R404" i="28"/>
  <c r="Y404" i="28" s="1"/>
  <c r="S404" i="28"/>
  <c r="Z404" i="28" s="1"/>
  <c r="T404" i="28"/>
  <c r="AA404" i="28" s="1"/>
  <c r="U404" i="28"/>
  <c r="AB404" i="28" s="1"/>
  <c r="V404" i="28"/>
  <c r="AC404" i="28" s="1"/>
  <c r="Q405" i="28"/>
  <c r="X405" i="28" s="1"/>
  <c r="R405" i="28"/>
  <c r="Y405" i="28" s="1"/>
  <c r="S405" i="28"/>
  <c r="Z405" i="28" s="1"/>
  <c r="T405" i="28"/>
  <c r="AA405" i="28" s="1"/>
  <c r="U405" i="28"/>
  <c r="AB405" i="28" s="1"/>
  <c r="V405" i="28"/>
  <c r="AC405" i="28" s="1"/>
  <c r="Q406" i="28"/>
  <c r="X406" i="28" s="1"/>
  <c r="R406" i="28"/>
  <c r="Y406" i="28" s="1"/>
  <c r="S406" i="28"/>
  <c r="Z406" i="28" s="1"/>
  <c r="T406" i="28"/>
  <c r="AA406" i="28" s="1"/>
  <c r="U406" i="28"/>
  <c r="AB406" i="28" s="1"/>
  <c r="V406" i="28"/>
  <c r="AC406" i="28" s="1"/>
  <c r="Q407" i="28"/>
  <c r="X407" i="28" s="1"/>
  <c r="R407" i="28"/>
  <c r="Y407" i="28" s="1"/>
  <c r="S407" i="28"/>
  <c r="Z407" i="28" s="1"/>
  <c r="T407" i="28"/>
  <c r="AA407" i="28" s="1"/>
  <c r="U407" i="28"/>
  <c r="AB407" i="28" s="1"/>
  <c r="V407" i="28"/>
  <c r="AC407" i="28" s="1"/>
  <c r="Q408" i="28"/>
  <c r="X408" i="28" s="1"/>
  <c r="R408" i="28"/>
  <c r="Y408" i="28" s="1"/>
  <c r="S408" i="28"/>
  <c r="Z408" i="28" s="1"/>
  <c r="T408" i="28"/>
  <c r="AA408" i="28" s="1"/>
  <c r="U408" i="28"/>
  <c r="AB408" i="28" s="1"/>
  <c r="Q409" i="28"/>
  <c r="X409" i="28" s="1"/>
  <c r="R409" i="28"/>
  <c r="Y409" i="28" s="1"/>
  <c r="S409" i="28"/>
  <c r="Z409" i="28" s="1"/>
  <c r="T409" i="28"/>
  <c r="AA409" i="28" s="1"/>
  <c r="U409" i="28"/>
  <c r="AB409" i="28" s="1"/>
  <c r="V409" i="28"/>
  <c r="AC409" i="28" s="1"/>
  <c r="Q410" i="28"/>
  <c r="X410" i="28" s="1"/>
  <c r="R410" i="28"/>
  <c r="Y410" i="28" s="1"/>
  <c r="S410" i="28"/>
  <c r="Z410" i="28" s="1"/>
  <c r="T410" i="28"/>
  <c r="AA410" i="28" s="1"/>
  <c r="U410" i="28"/>
  <c r="AB410" i="28" s="1"/>
  <c r="V410" i="28"/>
  <c r="AC410" i="28" s="1"/>
  <c r="Q411" i="28"/>
  <c r="X411" i="28" s="1"/>
  <c r="R411" i="28"/>
  <c r="Y411" i="28" s="1"/>
  <c r="S411" i="28"/>
  <c r="Z411" i="28" s="1"/>
  <c r="T411" i="28"/>
  <c r="AA411" i="28" s="1"/>
  <c r="U411" i="28"/>
  <c r="AB411" i="28" s="1"/>
  <c r="V411" i="28"/>
  <c r="AC411" i="28" s="1"/>
  <c r="Q412" i="28"/>
  <c r="X412" i="28" s="1"/>
  <c r="R412" i="28"/>
  <c r="Y412" i="28" s="1"/>
  <c r="S412" i="28"/>
  <c r="Z412" i="28" s="1"/>
  <c r="T412" i="28"/>
  <c r="AA412" i="28" s="1"/>
  <c r="U412" i="28"/>
  <c r="AB412" i="28" s="1"/>
  <c r="V412" i="28"/>
  <c r="AC412" i="28" s="1"/>
  <c r="Q413" i="28"/>
  <c r="X413" i="28" s="1"/>
  <c r="R413" i="28"/>
  <c r="Y413" i="28" s="1"/>
  <c r="S413" i="28"/>
  <c r="Z413" i="28" s="1"/>
  <c r="T413" i="28"/>
  <c r="AA413" i="28" s="1"/>
  <c r="U413" i="28"/>
  <c r="AB413" i="28" s="1"/>
  <c r="V413" i="28"/>
  <c r="AC413" i="28" s="1"/>
  <c r="Q414" i="28"/>
  <c r="X414" i="28" s="1"/>
  <c r="R414" i="28"/>
  <c r="Y414" i="28" s="1"/>
  <c r="S414" i="28"/>
  <c r="Z414" i="28" s="1"/>
  <c r="T414" i="28"/>
  <c r="AA414" i="28" s="1"/>
  <c r="U414" i="28"/>
  <c r="AB414" i="28" s="1"/>
  <c r="V414" i="28"/>
  <c r="AC414" i="28" s="1"/>
  <c r="Q415" i="28"/>
  <c r="X415" i="28" s="1"/>
  <c r="R415" i="28"/>
  <c r="Y415" i="28" s="1"/>
  <c r="S415" i="28"/>
  <c r="Z415" i="28" s="1"/>
  <c r="T415" i="28"/>
  <c r="AA415" i="28" s="1"/>
  <c r="U415" i="28"/>
  <c r="AB415" i="28" s="1"/>
  <c r="V415" i="28"/>
  <c r="AC415" i="28" s="1"/>
  <c r="Q416" i="28"/>
  <c r="X416" i="28" s="1"/>
  <c r="R416" i="28"/>
  <c r="Y416" i="28" s="1"/>
  <c r="S416" i="28"/>
  <c r="Z416" i="28" s="1"/>
  <c r="T416" i="28"/>
  <c r="AA416" i="28" s="1"/>
  <c r="U416" i="28"/>
  <c r="AB416" i="28" s="1"/>
  <c r="Q417" i="28"/>
  <c r="X417" i="28" s="1"/>
  <c r="R417" i="28"/>
  <c r="Y417" i="28" s="1"/>
  <c r="S417" i="28"/>
  <c r="Z417" i="28" s="1"/>
  <c r="T417" i="28"/>
  <c r="AA417" i="28" s="1"/>
  <c r="U417" i="28"/>
  <c r="AB417" i="28" s="1"/>
  <c r="V417" i="28"/>
  <c r="AC417" i="28" s="1"/>
  <c r="Q418" i="28"/>
  <c r="X418" i="28" s="1"/>
  <c r="R418" i="28"/>
  <c r="Y418" i="28" s="1"/>
  <c r="S418" i="28"/>
  <c r="Z418" i="28" s="1"/>
  <c r="T418" i="28"/>
  <c r="AA418" i="28" s="1"/>
  <c r="U418" i="28"/>
  <c r="AB418" i="28" s="1"/>
  <c r="V418" i="28"/>
  <c r="AC418" i="28" s="1"/>
  <c r="Q419" i="28"/>
  <c r="X419" i="28" s="1"/>
  <c r="R419" i="28"/>
  <c r="Y419" i="28" s="1"/>
  <c r="S419" i="28"/>
  <c r="Z419" i="28" s="1"/>
  <c r="T419" i="28"/>
  <c r="AA419" i="28" s="1"/>
  <c r="U419" i="28"/>
  <c r="AB419" i="28" s="1"/>
  <c r="V419" i="28"/>
  <c r="AC419" i="28" s="1"/>
  <c r="Q420" i="28"/>
  <c r="X420" i="28" s="1"/>
  <c r="R420" i="28"/>
  <c r="Y420" i="28" s="1"/>
  <c r="S420" i="28"/>
  <c r="Z420" i="28" s="1"/>
  <c r="T420" i="28"/>
  <c r="AA420" i="28" s="1"/>
  <c r="U420" i="28"/>
  <c r="AB420" i="28" s="1"/>
  <c r="V420" i="28"/>
  <c r="AC420" i="28" s="1"/>
  <c r="Q421" i="28"/>
  <c r="X421" i="28" s="1"/>
  <c r="R421" i="28"/>
  <c r="Y421" i="28" s="1"/>
  <c r="S421" i="28"/>
  <c r="Z421" i="28" s="1"/>
  <c r="T421" i="28"/>
  <c r="AA421" i="28" s="1"/>
  <c r="U421" i="28"/>
  <c r="AB421" i="28" s="1"/>
  <c r="V421" i="28"/>
  <c r="AC421" i="28" s="1"/>
  <c r="Q422" i="28"/>
  <c r="X422" i="28" s="1"/>
  <c r="R422" i="28"/>
  <c r="Y422" i="28" s="1"/>
  <c r="S422" i="28"/>
  <c r="Z422" i="28" s="1"/>
  <c r="T422" i="28"/>
  <c r="AA422" i="28" s="1"/>
  <c r="U422" i="28"/>
  <c r="AB422" i="28" s="1"/>
  <c r="V422" i="28"/>
  <c r="AC422" i="28" s="1"/>
  <c r="Q423" i="28"/>
  <c r="X423" i="28" s="1"/>
  <c r="R423" i="28"/>
  <c r="Y423" i="28" s="1"/>
  <c r="S423" i="28"/>
  <c r="Z423" i="28" s="1"/>
  <c r="T423" i="28"/>
  <c r="AA423" i="28" s="1"/>
  <c r="U423" i="28"/>
  <c r="AB423" i="28" s="1"/>
  <c r="V423" i="28"/>
  <c r="AC423" i="28" s="1"/>
  <c r="Q424" i="28"/>
  <c r="X424" i="28" s="1"/>
  <c r="R424" i="28"/>
  <c r="Y424" i="28" s="1"/>
  <c r="S424" i="28"/>
  <c r="Z424" i="28" s="1"/>
  <c r="T424" i="28"/>
  <c r="AA424" i="28" s="1"/>
  <c r="U424" i="28"/>
  <c r="AB424" i="28" s="1"/>
  <c r="Q425" i="28"/>
  <c r="X425" i="28" s="1"/>
  <c r="R425" i="28"/>
  <c r="Y425" i="28" s="1"/>
  <c r="S425" i="28"/>
  <c r="Z425" i="28" s="1"/>
  <c r="T425" i="28"/>
  <c r="AA425" i="28" s="1"/>
  <c r="U425" i="28"/>
  <c r="AB425" i="28" s="1"/>
  <c r="V425" i="28"/>
  <c r="AC425" i="28" s="1"/>
  <c r="Q426" i="28"/>
  <c r="X426" i="28" s="1"/>
  <c r="R426" i="28"/>
  <c r="Y426" i="28" s="1"/>
  <c r="S426" i="28"/>
  <c r="Z426" i="28" s="1"/>
  <c r="T426" i="28"/>
  <c r="AA426" i="28" s="1"/>
  <c r="U426" i="28"/>
  <c r="AB426" i="28" s="1"/>
  <c r="V426" i="28"/>
  <c r="AC426" i="28" s="1"/>
  <c r="Q427" i="28"/>
  <c r="X427" i="28" s="1"/>
  <c r="R427" i="28"/>
  <c r="Y427" i="28" s="1"/>
  <c r="S427" i="28"/>
  <c r="Z427" i="28" s="1"/>
  <c r="T427" i="28"/>
  <c r="AA427" i="28" s="1"/>
  <c r="U427" i="28"/>
  <c r="AB427" i="28" s="1"/>
  <c r="V427" i="28"/>
  <c r="AC427" i="28" s="1"/>
  <c r="Q428" i="28"/>
  <c r="X428" i="28" s="1"/>
  <c r="R428" i="28"/>
  <c r="Y428" i="28" s="1"/>
  <c r="S428" i="28"/>
  <c r="Z428" i="28" s="1"/>
  <c r="T428" i="28"/>
  <c r="AA428" i="28" s="1"/>
  <c r="U428" i="28"/>
  <c r="AB428" i="28" s="1"/>
  <c r="V428" i="28"/>
  <c r="AC428" i="28" s="1"/>
  <c r="Q429" i="28"/>
  <c r="X429" i="28" s="1"/>
  <c r="R429" i="28"/>
  <c r="Y429" i="28" s="1"/>
  <c r="S429" i="28"/>
  <c r="Z429" i="28" s="1"/>
  <c r="T429" i="28"/>
  <c r="AA429" i="28" s="1"/>
  <c r="U429" i="28"/>
  <c r="AB429" i="28" s="1"/>
  <c r="V429" i="28"/>
  <c r="AC429" i="28" s="1"/>
  <c r="Q430" i="28"/>
  <c r="X430" i="28" s="1"/>
  <c r="R430" i="28"/>
  <c r="Y430" i="28" s="1"/>
  <c r="S430" i="28"/>
  <c r="Z430" i="28" s="1"/>
  <c r="T430" i="28"/>
  <c r="AA430" i="28" s="1"/>
  <c r="U430" i="28"/>
  <c r="AB430" i="28" s="1"/>
  <c r="V430" i="28"/>
  <c r="AC430" i="28" s="1"/>
  <c r="Q431" i="28"/>
  <c r="X431" i="28" s="1"/>
  <c r="R431" i="28"/>
  <c r="Y431" i="28" s="1"/>
  <c r="S431" i="28"/>
  <c r="Z431" i="28" s="1"/>
  <c r="T431" i="28"/>
  <c r="AA431" i="28" s="1"/>
  <c r="U431" i="28"/>
  <c r="AB431" i="28" s="1"/>
  <c r="V431" i="28"/>
  <c r="AC431" i="28" s="1"/>
  <c r="Q432" i="28"/>
  <c r="X432" i="28" s="1"/>
  <c r="R432" i="28"/>
  <c r="Y432" i="28" s="1"/>
  <c r="S432" i="28"/>
  <c r="Z432" i="28" s="1"/>
  <c r="T432" i="28"/>
  <c r="AA432" i="28" s="1"/>
  <c r="U432" i="28"/>
  <c r="AB432" i="28" s="1"/>
  <c r="Q433" i="28"/>
  <c r="X433" i="28" s="1"/>
  <c r="R433" i="28"/>
  <c r="Y433" i="28" s="1"/>
  <c r="S433" i="28"/>
  <c r="Z433" i="28" s="1"/>
  <c r="T433" i="28"/>
  <c r="AA433" i="28" s="1"/>
  <c r="U433" i="28"/>
  <c r="AB433" i="28" s="1"/>
  <c r="V433" i="28"/>
  <c r="AC433" i="28" s="1"/>
  <c r="Q434" i="28"/>
  <c r="X434" i="28" s="1"/>
  <c r="R434" i="28"/>
  <c r="Y434" i="28" s="1"/>
  <c r="S434" i="28"/>
  <c r="Z434" i="28" s="1"/>
  <c r="T434" i="28"/>
  <c r="AA434" i="28" s="1"/>
  <c r="U434" i="28"/>
  <c r="AB434" i="28" s="1"/>
  <c r="V434" i="28"/>
  <c r="AC434" i="28" s="1"/>
  <c r="Q435" i="28"/>
  <c r="X435" i="28" s="1"/>
  <c r="R435" i="28"/>
  <c r="Y435" i="28" s="1"/>
  <c r="S435" i="28"/>
  <c r="Z435" i="28" s="1"/>
  <c r="T435" i="28"/>
  <c r="AA435" i="28" s="1"/>
  <c r="U435" i="28"/>
  <c r="AB435" i="28" s="1"/>
  <c r="V435" i="28"/>
  <c r="AC435" i="28" s="1"/>
  <c r="Q436" i="28"/>
  <c r="X436" i="28" s="1"/>
  <c r="R436" i="28"/>
  <c r="Y436" i="28" s="1"/>
  <c r="S436" i="28"/>
  <c r="Z436" i="28" s="1"/>
  <c r="T436" i="28"/>
  <c r="AA436" i="28" s="1"/>
  <c r="U436" i="28"/>
  <c r="AB436" i="28" s="1"/>
  <c r="V436" i="28"/>
  <c r="AC436" i="28" s="1"/>
  <c r="Q437" i="28"/>
  <c r="X437" i="28" s="1"/>
  <c r="R437" i="28"/>
  <c r="Y437" i="28" s="1"/>
  <c r="S437" i="28"/>
  <c r="Z437" i="28" s="1"/>
  <c r="T437" i="28"/>
  <c r="AA437" i="28" s="1"/>
  <c r="U437" i="28"/>
  <c r="AB437" i="28" s="1"/>
  <c r="V437" i="28"/>
  <c r="AC437" i="28" s="1"/>
  <c r="Q438" i="28"/>
  <c r="X438" i="28" s="1"/>
  <c r="R438" i="28"/>
  <c r="Y438" i="28" s="1"/>
  <c r="S438" i="28"/>
  <c r="Z438" i="28" s="1"/>
  <c r="T438" i="28"/>
  <c r="AA438" i="28" s="1"/>
  <c r="U438" i="28"/>
  <c r="AB438" i="28" s="1"/>
  <c r="V438" i="28"/>
  <c r="AC438" i="28" s="1"/>
  <c r="Q439" i="28"/>
  <c r="X439" i="28" s="1"/>
  <c r="R439" i="28"/>
  <c r="Y439" i="28" s="1"/>
  <c r="S439" i="28"/>
  <c r="Z439" i="28" s="1"/>
  <c r="T439" i="28"/>
  <c r="AA439" i="28" s="1"/>
  <c r="U439" i="28"/>
  <c r="AB439" i="28" s="1"/>
  <c r="V439" i="28"/>
  <c r="AC439" i="28" s="1"/>
  <c r="Q440" i="28"/>
  <c r="X440" i="28" s="1"/>
  <c r="R440" i="28"/>
  <c r="Y440" i="28" s="1"/>
  <c r="S440" i="28"/>
  <c r="Z440" i="28" s="1"/>
  <c r="T440" i="28"/>
  <c r="AA440" i="28" s="1"/>
  <c r="U440" i="28"/>
  <c r="AB440" i="28" s="1"/>
  <c r="Q441" i="28"/>
  <c r="X441" i="28" s="1"/>
  <c r="R441" i="28"/>
  <c r="Y441" i="28" s="1"/>
  <c r="S441" i="28"/>
  <c r="Z441" i="28" s="1"/>
  <c r="T441" i="28"/>
  <c r="AA441" i="28" s="1"/>
  <c r="U441" i="28"/>
  <c r="AB441" i="28" s="1"/>
  <c r="V441" i="28"/>
  <c r="AC441" i="28" s="1"/>
  <c r="Q442" i="28"/>
  <c r="X442" i="28" s="1"/>
  <c r="R442" i="28"/>
  <c r="Y442" i="28" s="1"/>
  <c r="S442" i="28"/>
  <c r="Z442" i="28" s="1"/>
  <c r="T442" i="28"/>
  <c r="AA442" i="28" s="1"/>
  <c r="U442" i="28"/>
  <c r="AB442" i="28" s="1"/>
  <c r="V442" i="28"/>
  <c r="AC442" i="28" s="1"/>
  <c r="Q443" i="28"/>
  <c r="X443" i="28" s="1"/>
  <c r="R443" i="28"/>
  <c r="Y443" i="28" s="1"/>
  <c r="S443" i="28"/>
  <c r="Z443" i="28" s="1"/>
  <c r="T443" i="28"/>
  <c r="AA443" i="28" s="1"/>
  <c r="U443" i="28"/>
  <c r="AB443" i="28" s="1"/>
  <c r="V443" i="28"/>
  <c r="AC443" i="28" s="1"/>
  <c r="Q444" i="28"/>
  <c r="X444" i="28" s="1"/>
  <c r="R444" i="28"/>
  <c r="Y444" i="28" s="1"/>
  <c r="S444" i="28"/>
  <c r="Z444" i="28" s="1"/>
  <c r="T444" i="28"/>
  <c r="AA444" i="28" s="1"/>
  <c r="U444" i="28"/>
  <c r="AB444" i="28" s="1"/>
  <c r="V444" i="28"/>
  <c r="AC444" i="28" s="1"/>
  <c r="Q445" i="28"/>
  <c r="X445" i="28" s="1"/>
  <c r="R445" i="28"/>
  <c r="Y445" i="28" s="1"/>
  <c r="S445" i="28"/>
  <c r="Z445" i="28" s="1"/>
  <c r="T445" i="28"/>
  <c r="AA445" i="28" s="1"/>
  <c r="U445" i="28"/>
  <c r="AB445" i="28" s="1"/>
  <c r="V445" i="28"/>
  <c r="AC445" i="28" s="1"/>
  <c r="Q446" i="28"/>
  <c r="X446" i="28" s="1"/>
  <c r="R446" i="28"/>
  <c r="Y446" i="28" s="1"/>
  <c r="S446" i="28"/>
  <c r="Z446" i="28" s="1"/>
  <c r="T446" i="28"/>
  <c r="AA446" i="28" s="1"/>
  <c r="U446" i="28"/>
  <c r="AB446" i="28" s="1"/>
  <c r="V446" i="28"/>
  <c r="AC446" i="28" s="1"/>
  <c r="Q447" i="28"/>
  <c r="X447" i="28" s="1"/>
  <c r="R447" i="28"/>
  <c r="Y447" i="28" s="1"/>
  <c r="S447" i="28"/>
  <c r="Z447" i="28" s="1"/>
  <c r="T447" i="28"/>
  <c r="AA447" i="28" s="1"/>
  <c r="U447" i="28"/>
  <c r="AB447" i="28" s="1"/>
  <c r="V447" i="28"/>
  <c r="AC447" i="28" s="1"/>
  <c r="Q448" i="28"/>
  <c r="X448" i="28" s="1"/>
  <c r="R448" i="28"/>
  <c r="Y448" i="28" s="1"/>
  <c r="S448" i="28"/>
  <c r="Z448" i="28" s="1"/>
  <c r="T448" i="28"/>
  <c r="AA448" i="28" s="1"/>
  <c r="U448" i="28"/>
  <c r="AB448" i="28" s="1"/>
  <c r="Q449" i="28"/>
  <c r="X449" i="28" s="1"/>
  <c r="R449" i="28"/>
  <c r="Y449" i="28" s="1"/>
  <c r="S449" i="28"/>
  <c r="Z449" i="28" s="1"/>
  <c r="T449" i="28"/>
  <c r="AA449" i="28" s="1"/>
  <c r="U449" i="28"/>
  <c r="AB449" i="28" s="1"/>
  <c r="V449" i="28"/>
  <c r="AC449" i="28" s="1"/>
  <c r="Q450" i="28"/>
  <c r="X450" i="28" s="1"/>
  <c r="R450" i="28"/>
  <c r="Y450" i="28" s="1"/>
  <c r="S450" i="28"/>
  <c r="Z450" i="28" s="1"/>
  <c r="T450" i="28"/>
  <c r="AA450" i="28" s="1"/>
  <c r="U450" i="28"/>
  <c r="AB450" i="28" s="1"/>
  <c r="V450" i="28"/>
  <c r="AC450" i="28" s="1"/>
  <c r="Q451" i="28"/>
  <c r="X451" i="28" s="1"/>
  <c r="R451" i="28"/>
  <c r="Y451" i="28" s="1"/>
  <c r="S451" i="28"/>
  <c r="Z451" i="28" s="1"/>
  <c r="T451" i="28"/>
  <c r="AA451" i="28" s="1"/>
  <c r="U451" i="28"/>
  <c r="AB451" i="28" s="1"/>
  <c r="V451" i="28"/>
  <c r="AC451" i="28" s="1"/>
  <c r="Q452" i="28"/>
  <c r="X452" i="28" s="1"/>
  <c r="R452" i="28"/>
  <c r="Y452" i="28" s="1"/>
  <c r="S452" i="28"/>
  <c r="Z452" i="28" s="1"/>
  <c r="T452" i="28"/>
  <c r="AA452" i="28" s="1"/>
  <c r="U452" i="28"/>
  <c r="AB452" i="28" s="1"/>
  <c r="V452" i="28"/>
  <c r="AC452" i="28" s="1"/>
  <c r="Q453" i="28"/>
  <c r="X453" i="28" s="1"/>
  <c r="R453" i="28"/>
  <c r="Y453" i="28" s="1"/>
  <c r="S453" i="28"/>
  <c r="Z453" i="28" s="1"/>
  <c r="T453" i="28"/>
  <c r="AA453" i="28" s="1"/>
  <c r="U453" i="28"/>
  <c r="AB453" i="28" s="1"/>
  <c r="V453" i="28"/>
  <c r="AC453" i="28" s="1"/>
  <c r="Q454" i="28"/>
  <c r="X454" i="28" s="1"/>
  <c r="R454" i="28"/>
  <c r="Y454" i="28" s="1"/>
  <c r="S454" i="28"/>
  <c r="Z454" i="28" s="1"/>
  <c r="T454" i="28"/>
  <c r="AA454" i="28" s="1"/>
  <c r="U454" i="28"/>
  <c r="AB454" i="28" s="1"/>
  <c r="V454" i="28"/>
  <c r="AC454" i="28" s="1"/>
  <c r="Q455" i="28"/>
  <c r="X455" i="28" s="1"/>
  <c r="R455" i="28"/>
  <c r="Y455" i="28" s="1"/>
  <c r="S455" i="28"/>
  <c r="Z455" i="28" s="1"/>
  <c r="T455" i="28"/>
  <c r="AA455" i="28" s="1"/>
  <c r="U455" i="28"/>
  <c r="AB455" i="28" s="1"/>
  <c r="V455" i="28"/>
  <c r="AC455" i="28" s="1"/>
  <c r="Q456" i="28"/>
  <c r="X456" i="28" s="1"/>
  <c r="R456" i="28"/>
  <c r="Y456" i="28" s="1"/>
  <c r="S456" i="28"/>
  <c r="Z456" i="28" s="1"/>
  <c r="T456" i="28"/>
  <c r="AA456" i="28" s="1"/>
  <c r="U456" i="28"/>
  <c r="AB456" i="28" s="1"/>
  <c r="Q457" i="28"/>
  <c r="X457" i="28" s="1"/>
  <c r="R457" i="28"/>
  <c r="Y457" i="28" s="1"/>
  <c r="S457" i="28"/>
  <c r="Z457" i="28" s="1"/>
  <c r="T457" i="28"/>
  <c r="AA457" i="28" s="1"/>
  <c r="U457" i="28"/>
  <c r="AB457" i="28" s="1"/>
  <c r="V457" i="28"/>
  <c r="AC457" i="28" s="1"/>
  <c r="Q458" i="28"/>
  <c r="X458" i="28" s="1"/>
  <c r="R458" i="28"/>
  <c r="Y458" i="28" s="1"/>
  <c r="S458" i="28"/>
  <c r="Z458" i="28" s="1"/>
  <c r="T458" i="28"/>
  <c r="AA458" i="28" s="1"/>
  <c r="U458" i="28"/>
  <c r="AB458" i="28" s="1"/>
  <c r="V458" i="28"/>
  <c r="AC458" i="28" s="1"/>
  <c r="Q459" i="28"/>
  <c r="X459" i="28" s="1"/>
  <c r="R459" i="28"/>
  <c r="Y459" i="28" s="1"/>
  <c r="S459" i="28"/>
  <c r="Z459" i="28" s="1"/>
  <c r="T459" i="28"/>
  <c r="AA459" i="28" s="1"/>
  <c r="U459" i="28"/>
  <c r="AB459" i="28" s="1"/>
  <c r="V459" i="28"/>
  <c r="AC459" i="28" s="1"/>
  <c r="Q460" i="28"/>
  <c r="X460" i="28" s="1"/>
  <c r="R460" i="28"/>
  <c r="Y460" i="28" s="1"/>
  <c r="S460" i="28"/>
  <c r="Z460" i="28" s="1"/>
  <c r="T460" i="28"/>
  <c r="AA460" i="28" s="1"/>
  <c r="U460" i="28"/>
  <c r="AB460" i="28" s="1"/>
  <c r="V460" i="28"/>
  <c r="AC460" i="28" s="1"/>
  <c r="Q461" i="28"/>
  <c r="X461" i="28" s="1"/>
  <c r="R461" i="28"/>
  <c r="Y461" i="28" s="1"/>
  <c r="S461" i="28"/>
  <c r="Z461" i="28" s="1"/>
  <c r="T461" i="28"/>
  <c r="AA461" i="28" s="1"/>
  <c r="U461" i="28"/>
  <c r="AB461" i="28" s="1"/>
  <c r="V461" i="28"/>
  <c r="AC461" i="28" s="1"/>
  <c r="Q462" i="28"/>
  <c r="X462" i="28" s="1"/>
  <c r="R462" i="28"/>
  <c r="Y462" i="28" s="1"/>
  <c r="S462" i="28"/>
  <c r="Z462" i="28" s="1"/>
  <c r="T462" i="28"/>
  <c r="AA462" i="28" s="1"/>
  <c r="U462" i="28"/>
  <c r="AB462" i="28" s="1"/>
  <c r="V462" i="28"/>
  <c r="AC462" i="28" s="1"/>
  <c r="Q463" i="28"/>
  <c r="X463" i="28" s="1"/>
  <c r="R463" i="28"/>
  <c r="Y463" i="28" s="1"/>
  <c r="S463" i="28"/>
  <c r="Z463" i="28" s="1"/>
  <c r="T463" i="28"/>
  <c r="AA463" i="28" s="1"/>
  <c r="U463" i="28"/>
  <c r="AB463" i="28" s="1"/>
  <c r="V463" i="28"/>
  <c r="AC463" i="28" s="1"/>
  <c r="Q464" i="28"/>
  <c r="X464" i="28" s="1"/>
  <c r="R464" i="28"/>
  <c r="Y464" i="28" s="1"/>
  <c r="S464" i="28"/>
  <c r="Z464" i="28" s="1"/>
  <c r="T464" i="28"/>
  <c r="AA464" i="28" s="1"/>
  <c r="U464" i="28"/>
  <c r="AB464" i="28" s="1"/>
  <c r="Q465" i="28"/>
  <c r="X465" i="28" s="1"/>
  <c r="R465" i="28"/>
  <c r="Y465" i="28" s="1"/>
  <c r="S465" i="28"/>
  <c r="Z465" i="28" s="1"/>
  <c r="T465" i="28"/>
  <c r="AA465" i="28" s="1"/>
  <c r="U465" i="28"/>
  <c r="AB465" i="28" s="1"/>
  <c r="V465" i="28"/>
  <c r="AC465" i="28" s="1"/>
  <c r="Q466" i="28"/>
  <c r="X466" i="28" s="1"/>
  <c r="R466" i="28"/>
  <c r="Y466" i="28" s="1"/>
  <c r="S466" i="28"/>
  <c r="Z466" i="28" s="1"/>
  <c r="T466" i="28"/>
  <c r="AA466" i="28" s="1"/>
  <c r="U466" i="28"/>
  <c r="AB466" i="28" s="1"/>
  <c r="V466" i="28"/>
  <c r="AC466" i="28" s="1"/>
  <c r="Q467" i="28"/>
  <c r="X467" i="28" s="1"/>
  <c r="R467" i="28"/>
  <c r="Y467" i="28" s="1"/>
  <c r="S467" i="28"/>
  <c r="Z467" i="28" s="1"/>
  <c r="T467" i="28"/>
  <c r="AA467" i="28" s="1"/>
  <c r="U467" i="28"/>
  <c r="AB467" i="28" s="1"/>
  <c r="V467" i="28"/>
  <c r="AC467" i="28" s="1"/>
  <c r="Q468" i="28"/>
  <c r="X468" i="28" s="1"/>
  <c r="R468" i="28"/>
  <c r="Y468" i="28" s="1"/>
  <c r="S468" i="28"/>
  <c r="Z468" i="28" s="1"/>
  <c r="T468" i="28"/>
  <c r="AA468" i="28" s="1"/>
  <c r="U468" i="28"/>
  <c r="AB468" i="28" s="1"/>
  <c r="V468" i="28"/>
  <c r="AC468" i="28" s="1"/>
  <c r="Q469" i="28"/>
  <c r="X469" i="28" s="1"/>
  <c r="R469" i="28"/>
  <c r="Y469" i="28" s="1"/>
  <c r="S469" i="28"/>
  <c r="Z469" i="28" s="1"/>
  <c r="T469" i="28"/>
  <c r="AA469" i="28" s="1"/>
  <c r="U469" i="28"/>
  <c r="AB469" i="28" s="1"/>
  <c r="V469" i="28"/>
  <c r="AC469" i="28" s="1"/>
  <c r="Q470" i="28"/>
  <c r="X470" i="28" s="1"/>
  <c r="R470" i="28"/>
  <c r="Y470" i="28" s="1"/>
  <c r="S470" i="28"/>
  <c r="Z470" i="28" s="1"/>
  <c r="T470" i="28"/>
  <c r="AA470" i="28" s="1"/>
  <c r="U470" i="28"/>
  <c r="AB470" i="28" s="1"/>
  <c r="V470" i="28"/>
  <c r="AC470" i="28" s="1"/>
  <c r="Q471" i="28"/>
  <c r="X471" i="28" s="1"/>
  <c r="R471" i="28"/>
  <c r="Y471" i="28" s="1"/>
  <c r="S471" i="28"/>
  <c r="Z471" i="28" s="1"/>
  <c r="T471" i="28"/>
  <c r="AA471" i="28" s="1"/>
  <c r="U471" i="28"/>
  <c r="AB471" i="28" s="1"/>
  <c r="V471" i="28"/>
  <c r="AC471" i="28" s="1"/>
  <c r="Q472" i="28"/>
  <c r="X472" i="28" s="1"/>
  <c r="R472" i="28"/>
  <c r="Y472" i="28" s="1"/>
  <c r="S472" i="28"/>
  <c r="Z472" i="28" s="1"/>
  <c r="T472" i="28"/>
  <c r="AA472" i="28" s="1"/>
  <c r="U472" i="28"/>
  <c r="AB472" i="28" s="1"/>
  <c r="Q473" i="28"/>
  <c r="X473" i="28" s="1"/>
  <c r="R473" i="28"/>
  <c r="Y473" i="28" s="1"/>
  <c r="S473" i="28"/>
  <c r="Z473" i="28" s="1"/>
  <c r="T473" i="28"/>
  <c r="AA473" i="28" s="1"/>
  <c r="U473" i="28"/>
  <c r="AB473" i="28" s="1"/>
  <c r="V473" i="28"/>
  <c r="AC473" i="28" s="1"/>
  <c r="Q474" i="28"/>
  <c r="X474" i="28" s="1"/>
  <c r="R474" i="28"/>
  <c r="Y474" i="28" s="1"/>
  <c r="S474" i="28"/>
  <c r="Z474" i="28" s="1"/>
  <c r="T474" i="28"/>
  <c r="AA474" i="28" s="1"/>
  <c r="U474" i="28"/>
  <c r="AB474" i="28" s="1"/>
  <c r="V474" i="28"/>
  <c r="AC474" i="28" s="1"/>
  <c r="Q475" i="28"/>
  <c r="X475" i="28" s="1"/>
  <c r="R475" i="28"/>
  <c r="Y475" i="28" s="1"/>
  <c r="S475" i="28"/>
  <c r="Z475" i="28" s="1"/>
  <c r="T475" i="28"/>
  <c r="AA475" i="28" s="1"/>
  <c r="U475" i="28"/>
  <c r="AB475" i="28" s="1"/>
  <c r="V475" i="28"/>
  <c r="AC475" i="28" s="1"/>
  <c r="Q476" i="28"/>
  <c r="X476" i="28" s="1"/>
  <c r="R476" i="28"/>
  <c r="Y476" i="28" s="1"/>
  <c r="S476" i="28"/>
  <c r="Z476" i="28" s="1"/>
  <c r="T476" i="28"/>
  <c r="AA476" i="28" s="1"/>
  <c r="U476" i="28"/>
  <c r="AB476" i="28" s="1"/>
  <c r="V476" i="28"/>
  <c r="AC476" i="28" s="1"/>
  <c r="Q477" i="28"/>
  <c r="X477" i="28" s="1"/>
  <c r="R477" i="28"/>
  <c r="Y477" i="28" s="1"/>
  <c r="S477" i="28"/>
  <c r="Z477" i="28" s="1"/>
  <c r="T477" i="28"/>
  <c r="AA477" i="28" s="1"/>
  <c r="U477" i="28"/>
  <c r="AB477" i="28" s="1"/>
  <c r="V477" i="28"/>
  <c r="AC477" i="28" s="1"/>
  <c r="Q478" i="28"/>
  <c r="X478" i="28" s="1"/>
  <c r="R478" i="28"/>
  <c r="Y478" i="28" s="1"/>
  <c r="S478" i="28"/>
  <c r="Z478" i="28" s="1"/>
  <c r="T478" i="28"/>
  <c r="AA478" i="28" s="1"/>
  <c r="U478" i="28"/>
  <c r="AB478" i="28" s="1"/>
  <c r="V478" i="28"/>
  <c r="AC478" i="28" s="1"/>
  <c r="Q479" i="28"/>
  <c r="X479" i="28" s="1"/>
  <c r="R479" i="28"/>
  <c r="Y479" i="28" s="1"/>
  <c r="S479" i="28"/>
  <c r="Z479" i="28" s="1"/>
  <c r="T479" i="28"/>
  <c r="AA479" i="28" s="1"/>
  <c r="U479" i="28"/>
  <c r="AB479" i="28" s="1"/>
  <c r="V479" i="28"/>
  <c r="AC479" i="28" s="1"/>
  <c r="Q480" i="28"/>
  <c r="X480" i="28" s="1"/>
  <c r="R480" i="28"/>
  <c r="Y480" i="28" s="1"/>
  <c r="S480" i="28"/>
  <c r="Z480" i="28" s="1"/>
  <c r="T480" i="28"/>
  <c r="AA480" i="28" s="1"/>
  <c r="U480" i="28"/>
  <c r="AB480" i="28" s="1"/>
  <c r="Q481" i="28"/>
  <c r="X481" i="28" s="1"/>
  <c r="R481" i="28"/>
  <c r="Y481" i="28" s="1"/>
  <c r="S481" i="28"/>
  <c r="Z481" i="28" s="1"/>
  <c r="T481" i="28"/>
  <c r="AA481" i="28" s="1"/>
  <c r="U481" i="28"/>
  <c r="AB481" i="28" s="1"/>
  <c r="V481" i="28"/>
  <c r="AC481" i="28" s="1"/>
  <c r="Q482" i="28"/>
  <c r="X482" i="28" s="1"/>
  <c r="R482" i="28"/>
  <c r="Y482" i="28" s="1"/>
  <c r="S482" i="28"/>
  <c r="Z482" i="28" s="1"/>
  <c r="T482" i="28"/>
  <c r="AA482" i="28" s="1"/>
  <c r="U482" i="28"/>
  <c r="AB482" i="28" s="1"/>
  <c r="V482" i="28"/>
  <c r="AC482" i="28" s="1"/>
  <c r="Q483" i="28"/>
  <c r="X483" i="28" s="1"/>
  <c r="R483" i="28"/>
  <c r="Y483" i="28" s="1"/>
  <c r="S483" i="28"/>
  <c r="Z483" i="28" s="1"/>
  <c r="T483" i="28"/>
  <c r="AA483" i="28" s="1"/>
  <c r="U483" i="28"/>
  <c r="AB483" i="28" s="1"/>
  <c r="V483" i="28"/>
  <c r="AC483" i="28" s="1"/>
  <c r="Q484" i="28"/>
  <c r="X484" i="28" s="1"/>
  <c r="R484" i="28"/>
  <c r="Y484" i="28" s="1"/>
  <c r="S484" i="28"/>
  <c r="Z484" i="28" s="1"/>
  <c r="T484" i="28"/>
  <c r="AA484" i="28" s="1"/>
  <c r="U484" i="28"/>
  <c r="AB484" i="28" s="1"/>
  <c r="V484" i="28"/>
  <c r="AC484" i="28" s="1"/>
  <c r="Q485" i="28"/>
  <c r="X485" i="28" s="1"/>
  <c r="R485" i="28"/>
  <c r="Y485" i="28" s="1"/>
  <c r="S485" i="28"/>
  <c r="Z485" i="28" s="1"/>
  <c r="T485" i="28"/>
  <c r="AA485" i="28" s="1"/>
  <c r="U485" i="28"/>
  <c r="AB485" i="28" s="1"/>
  <c r="V485" i="28"/>
  <c r="AC485" i="28" s="1"/>
  <c r="Q486" i="28"/>
  <c r="X486" i="28" s="1"/>
  <c r="R486" i="28"/>
  <c r="Y486" i="28" s="1"/>
  <c r="S486" i="28"/>
  <c r="Z486" i="28" s="1"/>
  <c r="T486" i="28"/>
  <c r="AA486" i="28" s="1"/>
  <c r="U486" i="28"/>
  <c r="AB486" i="28" s="1"/>
  <c r="V486" i="28"/>
  <c r="AC486" i="28" s="1"/>
  <c r="Q487" i="28"/>
  <c r="X487" i="28" s="1"/>
  <c r="R487" i="28"/>
  <c r="Y487" i="28" s="1"/>
  <c r="S487" i="28"/>
  <c r="Z487" i="28" s="1"/>
  <c r="T487" i="28"/>
  <c r="AA487" i="28" s="1"/>
  <c r="U487" i="28"/>
  <c r="AB487" i="28" s="1"/>
  <c r="V487" i="28"/>
  <c r="AC487" i="28" s="1"/>
  <c r="Q488" i="28"/>
  <c r="X488" i="28" s="1"/>
  <c r="R488" i="28"/>
  <c r="Y488" i="28" s="1"/>
  <c r="S488" i="28"/>
  <c r="Z488" i="28" s="1"/>
  <c r="T488" i="28"/>
  <c r="AA488" i="28" s="1"/>
  <c r="U488" i="28"/>
  <c r="AB488" i="28" s="1"/>
  <c r="Q489" i="28"/>
  <c r="X489" i="28" s="1"/>
  <c r="R489" i="28"/>
  <c r="Y489" i="28" s="1"/>
  <c r="S489" i="28"/>
  <c r="Z489" i="28" s="1"/>
  <c r="T489" i="28"/>
  <c r="AA489" i="28" s="1"/>
  <c r="U489" i="28"/>
  <c r="AB489" i="28" s="1"/>
  <c r="V489" i="28"/>
  <c r="AC489" i="28" s="1"/>
  <c r="Q490" i="28"/>
  <c r="X490" i="28" s="1"/>
  <c r="R490" i="28"/>
  <c r="Y490" i="28" s="1"/>
  <c r="S490" i="28"/>
  <c r="Z490" i="28" s="1"/>
  <c r="T490" i="28"/>
  <c r="AA490" i="28" s="1"/>
  <c r="U490" i="28"/>
  <c r="AB490" i="28" s="1"/>
  <c r="V490" i="28"/>
  <c r="AC490" i="28" s="1"/>
  <c r="Q491" i="28"/>
  <c r="X491" i="28" s="1"/>
  <c r="R491" i="28"/>
  <c r="Y491" i="28" s="1"/>
  <c r="S491" i="28"/>
  <c r="Z491" i="28" s="1"/>
  <c r="T491" i="28"/>
  <c r="AA491" i="28" s="1"/>
  <c r="U491" i="28"/>
  <c r="AB491" i="28" s="1"/>
  <c r="V491" i="28"/>
  <c r="AC491" i="28" s="1"/>
  <c r="Q492" i="28"/>
  <c r="X492" i="28" s="1"/>
  <c r="R492" i="28"/>
  <c r="Y492" i="28" s="1"/>
  <c r="S492" i="28"/>
  <c r="Z492" i="28" s="1"/>
  <c r="T492" i="28"/>
  <c r="AA492" i="28" s="1"/>
  <c r="U492" i="28"/>
  <c r="AB492" i="28" s="1"/>
  <c r="V492" i="28"/>
  <c r="AC492" i="28" s="1"/>
  <c r="Q493" i="28"/>
  <c r="X493" i="28" s="1"/>
  <c r="R493" i="28"/>
  <c r="Y493" i="28" s="1"/>
  <c r="S493" i="28"/>
  <c r="Z493" i="28" s="1"/>
  <c r="T493" i="28"/>
  <c r="AA493" i="28" s="1"/>
  <c r="U493" i="28"/>
  <c r="AB493" i="28" s="1"/>
  <c r="V493" i="28"/>
  <c r="AC493" i="28" s="1"/>
  <c r="Q494" i="28"/>
  <c r="X494" i="28" s="1"/>
  <c r="R494" i="28"/>
  <c r="Y494" i="28" s="1"/>
  <c r="S494" i="28"/>
  <c r="Z494" i="28" s="1"/>
  <c r="T494" i="28"/>
  <c r="AA494" i="28" s="1"/>
  <c r="U494" i="28"/>
  <c r="AB494" i="28" s="1"/>
  <c r="V494" i="28"/>
  <c r="AC494" i="28" s="1"/>
  <c r="Q495" i="28"/>
  <c r="X495" i="28" s="1"/>
  <c r="R495" i="28"/>
  <c r="Y495" i="28" s="1"/>
  <c r="S495" i="28"/>
  <c r="Z495" i="28" s="1"/>
  <c r="T495" i="28"/>
  <c r="AA495" i="28" s="1"/>
  <c r="U495" i="28"/>
  <c r="AB495" i="28" s="1"/>
  <c r="V495" i="28"/>
  <c r="AC495" i="28" s="1"/>
  <c r="Q496" i="28"/>
  <c r="X496" i="28" s="1"/>
  <c r="R496" i="28"/>
  <c r="Y496" i="28" s="1"/>
  <c r="S496" i="28"/>
  <c r="Z496" i="28" s="1"/>
  <c r="T496" i="28"/>
  <c r="AA496" i="28" s="1"/>
  <c r="U496" i="28"/>
  <c r="AB496" i="28" s="1"/>
  <c r="Q497" i="28"/>
  <c r="X497" i="28" s="1"/>
  <c r="R497" i="28"/>
  <c r="Y497" i="28" s="1"/>
  <c r="S497" i="28"/>
  <c r="Z497" i="28" s="1"/>
  <c r="T497" i="28"/>
  <c r="AA497" i="28" s="1"/>
  <c r="U497" i="28"/>
  <c r="AB497" i="28" s="1"/>
  <c r="V497" i="28"/>
  <c r="AC497" i="28" s="1"/>
  <c r="Q498" i="28"/>
  <c r="X498" i="28" s="1"/>
  <c r="R498" i="28"/>
  <c r="Y498" i="28" s="1"/>
  <c r="S498" i="28"/>
  <c r="Z498" i="28" s="1"/>
  <c r="T498" i="28"/>
  <c r="AA498" i="28" s="1"/>
  <c r="U498" i="28"/>
  <c r="AB498" i="28" s="1"/>
  <c r="V498" i="28"/>
  <c r="AC498" i="28" s="1"/>
  <c r="Q499" i="28"/>
  <c r="X499" i="28" s="1"/>
  <c r="R499" i="28"/>
  <c r="Y499" i="28" s="1"/>
  <c r="S499" i="28"/>
  <c r="Z499" i="28" s="1"/>
  <c r="T499" i="28"/>
  <c r="AA499" i="28" s="1"/>
  <c r="U499" i="28"/>
  <c r="AB499" i="28" s="1"/>
  <c r="V499" i="28"/>
  <c r="AC499" i="28" s="1"/>
  <c r="Q500" i="28"/>
  <c r="X500" i="28" s="1"/>
  <c r="R500" i="28"/>
  <c r="Y500" i="28" s="1"/>
  <c r="S500" i="28"/>
  <c r="Z500" i="28" s="1"/>
  <c r="T500" i="28"/>
  <c r="AA500" i="28" s="1"/>
  <c r="U500" i="28"/>
  <c r="AB500" i="28" s="1"/>
  <c r="V500" i="28"/>
  <c r="AC500" i="28" s="1"/>
  <c r="Q501" i="28"/>
  <c r="X501" i="28" s="1"/>
  <c r="R501" i="28"/>
  <c r="Y501" i="28" s="1"/>
  <c r="S501" i="28"/>
  <c r="Z501" i="28" s="1"/>
  <c r="T501" i="28"/>
  <c r="AA501" i="28" s="1"/>
  <c r="U501" i="28"/>
  <c r="AB501" i="28" s="1"/>
  <c r="V501" i="28"/>
  <c r="AC501" i="28" s="1"/>
  <c r="Q502" i="28"/>
  <c r="X502" i="28" s="1"/>
  <c r="R502" i="28"/>
  <c r="Y502" i="28" s="1"/>
  <c r="S502" i="28"/>
  <c r="Z502" i="28" s="1"/>
  <c r="T502" i="28"/>
  <c r="AA502" i="28" s="1"/>
  <c r="U502" i="28"/>
  <c r="AB502" i="28" s="1"/>
  <c r="V502" i="28"/>
  <c r="AC502" i="28" s="1"/>
  <c r="Q503" i="28"/>
  <c r="X503" i="28" s="1"/>
  <c r="R503" i="28"/>
  <c r="Y503" i="28" s="1"/>
  <c r="S503" i="28"/>
  <c r="Z503" i="28" s="1"/>
  <c r="T503" i="28"/>
  <c r="AA503" i="28" s="1"/>
  <c r="U503" i="28"/>
  <c r="AB503" i="28" s="1"/>
  <c r="V503" i="28"/>
  <c r="AC503" i="28" s="1"/>
  <c r="Q504" i="28"/>
  <c r="X504" i="28" s="1"/>
  <c r="R504" i="28"/>
  <c r="Y504" i="28" s="1"/>
  <c r="S504" i="28"/>
  <c r="Z504" i="28" s="1"/>
  <c r="T504" i="28"/>
  <c r="AA504" i="28" s="1"/>
  <c r="U504" i="28"/>
  <c r="AB504" i="28" s="1"/>
  <c r="Q505" i="28"/>
  <c r="X505" i="28" s="1"/>
  <c r="R505" i="28"/>
  <c r="Y505" i="28" s="1"/>
  <c r="S505" i="28"/>
  <c r="Z505" i="28" s="1"/>
  <c r="T505" i="28"/>
  <c r="AA505" i="28" s="1"/>
  <c r="U505" i="28"/>
  <c r="AB505" i="28" s="1"/>
  <c r="V505" i="28"/>
  <c r="AC505" i="28" s="1"/>
  <c r="Q506" i="28"/>
  <c r="X506" i="28" s="1"/>
  <c r="R506" i="28"/>
  <c r="Y506" i="28" s="1"/>
  <c r="S506" i="28"/>
  <c r="Z506" i="28" s="1"/>
  <c r="T506" i="28"/>
  <c r="AA506" i="28" s="1"/>
  <c r="U506" i="28"/>
  <c r="AB506" i="28" s="1"/>
  <c r="V506" i="28"/>
  <c r="AC506" i="28" s="1"/>
  <c r="Q507" i="28"/>
  <c r="X507" i="28" s="1"/>
  <c r="R507" i="28"/>
  <c r="Y507" i="28" s="1"/>
  <c r="S507" i="28"/>
  <c r="Z507" i="28" s="1"/>
  <c r="T507" i="28"/>
  <c r="AA507" i="28" s="1"/>
  <c r="U507" i="28"/>
  <c r="AB507" i="28" s="1"/>
  <c r="V507" i="28"/>
  <c r="AC507" i="28" s="1"/>
  <c r="Q508" i="28"/>
  <c r="X508" i="28" s="1"/>
  <c r="R508" i="28"/>
  <c r="Y508" i="28" s="1"/>
  <c r="S508" i="28"/>
  <c r="Z508" i="28" s="1"/>
  <c r="T508" i="28"/>
  <c r="AA508" i="28" s="1"/>
  <c r="U508" i="28"/>
  <c r="AB508" i="28" s="1"/>
  <c r="V508" i="28"/>
  <c r="AC508" i="28" s="1"/>
  <c r="Q509" i="28"/>
  <c r="X509" i="28" s="1"/>
  <c r="R509" i="28"/>
  <c r="Y509" i="28" s="1"/>
  <c r="S509" i="28"/>
  <c r="Z509" i="28" s="1"/>
  <c r="T509" i="28"/>
  <c r="AA509" i="28" s="1"/>
  <c r="U509" i="28"/>
  <c r="AB509" i="28" s="1"/>
  <c r="V509" i="28"/>
  <c r="AC509" i="28" s="1"/>
  <c r="Q510" i="28"/>
  <c r="X510" i="28" s="1"/>
  <c r="R510" i="28"/>
  <c r="Y510" i="28" s="1"/>
  <c r="S510" i="28"/>
  <c r="Z510" i="28" s="1"/>
  <c r="T510" i="28"/>
  <c r="AA510" i="28" s="1"/>
  <c r="U510" i="28"/>
  <c r="AB510" i="28" s="1"/>
  <c r="V510" i="28"/>
  <c r="AC510" i="28" s="1"/>
  <c r="Q511" i="28"/>
  <c r="X511" i="28" s="1"/>
  <c r="R511" i="28"/>
  <c r="Y511" i="28" s="1"/>
  <c r="S511" i="28"/>
  <c r="Z511" i="28" s="1"/>
  <c r="T511" i="28"/>
  <c r="AA511" i="28" s="1"/>
  <c r="U511" i="28"/>
  <c r="AB511" i="28" s="1"/>
  <c r="V511" i="28"/>
  <c r="AC511" i="28" s="1"/>
  <c r="Q512" i="28"/>
  <c r="X512" i="28" s="1"/>
  <c r="R512" i="28"/>
  <c r="Y512" i="28" s="1"/>
  <c r="S512" i="28"/>
  <c r="Z512" i="28" s="1"/>
  <c r="T512" i="28"/>
  <c r="AA512" i="28" s="1"/>
  <c r="U512" i="28"/>
  <c r="AB512" i="28" s="1"/>
  <c r="Q513" i="28"/>
  <c r="X513" i="28" s="1"/>
  <c r="R513" i="28"/>
  <c r="Y513" i="28" s="1"/>
  <c r="S513" i="28"/>
  <c r="Z513" i="28" s="1"/>
  <c r="T513" i="28"/>
  <c r="AA513" i="28" s="1"/>
  <c r="U513" i="28"/>
  <c r="AB513" i="28" s="1"/>
  <c r="V513" i="28"/>
  <c r="AC513" i="28" s="1"/>
  <c r="Q514" i="28"/>
  <c r="X514" i="28" s="1"/>
  <c r="R514" i="28"/>
  <c r="Y514" i="28" s="1"/>
  <c r="S514" i="28"/>
  <c r="Z514" i="28" s="1"/>
  <c r="T514" i="28"/>
  <c r="AA514" i="28" s="1"/>
  <c r="U514" i="28"/>
  <c r="AB514" i="28" s="1"/>
  <c r="V514" i="28"/>
  <c r="AC514" i="28" s="1"/>
  <c r="Q515" i="28"/>
  <c r="X515" i="28" s="1"/>
  <c r="R515" i="28"/>
  <c r="Y515" i="28" s="1"/>
  <c r="S515" i="28"/>
  <c r="Z515" i="28" s="1"/>
  <c r="T515" i="28"/>
  <c r="AA515" i="28" s="1"/>
  <c r="U515" i="28"/>
  <c r="AB515" i="28" s="1"/>
  <c r="V515" i="28"/>
  <c r="AC515" i="28" s="1"/>
  <c r="Q516" i="28"/>
  <c r="X516" i="28" s="1"/>
  <c r="R516" i="28"/>
  <c r="Y516" i="28" s="1"/>
  <c r="S516" i="28"/>
  <c r="Z516" i="28" s="1"/>
  <c r="T516" i="28"/>
  <c r="AA516" i="28" s="1"/>
  <c r="U516" i="28"/>
  <c r="AB516" i="28" s="1"/>
  <c r="V516" i="28"/>
  <c r="AC516" i="28" s="1"/>
  <c r="Q517" i="28"/>
  <c r="X517" i="28" s="1"/>
  <c r="R517" i="28"/>
  <c r="Y517" i="28" s="1"/>
  <c r="S517" i="28"/>
  <c r="Z517" i="28" s="1"/>
  <c r="T517" i="28"/>
  <c r="AA517" i="28" s="1"/>
  <c r="U517" i="28"/>
  <c r="AB517" i="28" s="1"/>
  <c r="V517" i="28"/>
  <c r="AC517" i="28" s="1"/>
  <c r="Q518" i="28"/>
  <c r="X518" i="28" s="1"/>
  <c r="R518" i="28"/>
  <c r="Y518" i="28" s="1"/>
  <c r="S518" i="28"/>
  <c r="Z518" i="28" s="1"/>
  <c r="T518" i="28"/>
  <c r="AA518" i="28" s="1"/>
  <c r="U518" i="28"/>
  <c r="AB518" i="28" s="1"/>
  <c r="V518" i="28"/>
  <c r="AC518" i="28" s="1"/>
  <c r="Q519" i="28"/>
  <c r="X519" i="28" s="1"/>
  <c r="R519" i="28"/>
  <c r="Y519" i="28" s="1"/>
  <c r="S519" i="28"/>
  <c r="Z519" i="28" s="1"/>
  <c r="T519" i="28"/>
  <c r="AA519" i="28" s="1"/>
  <c r="U519" i="28"/>
  <c r="AB519" i="28" s="1"/>
  <c r="V519" i="28"/>
  <c r="AC519" i="28" s="1"/>
  <c r="Q520" i="28"/>
  <c r="X520" i="28" s="1"/>
  <c r="R520" i="28"/>
  <c r="Y520" i="28" s="1"/>
  <c r="S520" i="28"/>
  <c r="Z520" i="28" s="1"/>
  <c r="T520" i="28"/>
  <c r="AA520" i="28" s="1"/>
  <c r="U520" i="28"/>
  <c r="AB520" i="28" s="1"/>
  <c r="Q521" i="28"/>
  <c r="X521" i="28" s="1"/>
  <c r="R521" i="28"/>
  <c r="Y521" i="28" s="1"/>
  <c r="S521" i="28"/>
  <c r="Z521" i="28" s="1"/>
  <c r="T521" i="28"/>
  <c r="AA521" i="28" s="1"/>
  <c r="U521" i="28"/>
  <c r="AB521" i="28" s="1"/>
  <c r="V521" i="28"/>
  <c r="AC521" i="28" s="1"/>
  <c r="Q522" i="28"/>
  <c r="X522" i="28" s="1"/>
  <c r="R522" i="28"/>
  <c r="Y522" i="28" s="1"/>
  <c r="S522" i="28"/>
  <c r="Z522" i="28" s="1"/>
  <c r="T522" i="28"/>
  <c r="AA522" i="28" s="1"/>
  <c r="U522" i="28"/>
  <c r="AB522" i="28" s="1"/>
  <c r="V522" i="28"/>
  <c r="AC522" i="28" s="1"/>
  <c r="Q523" i="28"/>
  <c r="X523" i="28" s="1"/>
  <c r="R523" i="28"/>
  <c r="Y523" i="28" s="1"/>
  <c r="S523" i="28"/>
  <c r="Z523" i="28" s="1"/>
  <c r="T523" i="28"/>
  <c r="AA523" i="28" s="1"/>
  <c r="U523" i="28"/>
  <c r="AB523" i="28" s="1"/>
  <c r="V523" i="28"/>
  <c r="AC523" i="28" s="1"/>
  <c r="Q524" i="28"/>
  <c r="X524" i="28" s="1"/>
  <c r="R524" i="28"/>
  <c r="Y524" i="28" s="1"/>
  <c r="S524" i="28"/>
  <c r="Z524" i="28" s="1"/>
  <c r="T524" i="28"/>
  <c r="AA524" i="28" s="1"/>
  <c r="U524" i="28"/>
  <c r="AB524" i="28" s="1"/>
  <c r="V524" i="28"/>
  <c r="AC524" i="28" s="1"/>
  <c r="Q525" i="28"/>
  <c r="X525" i="28" s="1"/>
  <c r="R525" i="28"/>
  <c r="Y525" i="28" s="1"/>
  <c r="S525" i="28"/>
  <c r="Z525" i="28" s="1"/>
  <c r="T525" i="28"/>
  <c r="AA525" i="28" s="1"/>
  <c r="U525" i="28"/>
  <c r="AB525" i="28" s="1"/>
  <c r="V525" i="28"/>
  <c r="AC525" i="28" s="1"/>
  <c r="Q526" i="28"/>
  <c r="X526" i="28" s="1"/>
  <c r="R526" i="28"/>
  <c r="Y526" i="28" s="1"/>
  <c r="S526" i="28"/>
  <c r="Z526" i="28" s="1"/>
  <c r="T526" i="28"/>
  <c r="AA526" i="28" s="1"/>
  <c r="U526" i="28"/>
  <c r="AB526" i="28" s="1"/>
  <c r="V526" i="28"/>
  <c r="AC526" i="28" s="1"/>
  <c r="Q527" i="28"/>
  <c r="X527" i="28" s="1"/>
  <c r="R527" i="28"/>
  <c r="Y527" i="28" s="1"/>
  <c r="S527" i="28"/>
  <c r="Z527" i="28" s="1"/>
  <c r="T527" i="28"/>
  <c r="AA527" i="28" s="1"/>
  <c r="U527" i="28"/>
  <c r="AB527" i="28" s="1"/>
  <c r="V527" i="28"/>
  <c r="AC527" i="28" s="1"/>
  <c r="Q528" i="28"/>
  <c r="X528" i="28" s="1"/>
  <c r="R528" i="28"/>
  <c r="Y528" i="28" s="1"/>
  <c r="S528" i="28"/>
  <c r="Z528" i="28" s="1"/>
  <c r="T528" i="28"/>
  <c r="AA528" i="28" s="1"/>
  <c r="U528" i="28"/>
  <c r="AB528" i="28" s="1"/>
  <c r="Q529" i="28"/>
  <c r="X529" i="28" s="1"/>
  <c r="R529" i="28"/>
  <c r="Y529" i="28" s="1"/>
  <c r="S529" i="28"/>
  <c r="Z529" i="28" s="1"/>
  <c r="T529" i="28"/>
  <c r="AA529" i="28" s="1"/>
  <c r="U529" i="28"/>
  <c r="AB529" i="28" s="1"/>
  <c r="V529" i="28"/>
  <c r="AC529" i="28" s="1"/>
  <c r="Q530" i="28"/>
  <c r="X530" i="28" s="1"/>
  <c r="R530" i="28"/>
  <c r="Y530" i="28" s="1"/>
  <c r="S530" i="28"/>
  <c r="Z530" i="28" s="1"/>
  <c r="T530" i="28"/>
  <c r="AA530" i="28" s="1"/>
  <c r="U530" i="28"/>
  <c r="AB530" i="28" s="1"/>
  <c r="V530" i="28"/>
  <c r="AC530" i="28" s="1"/>
  <c r="Q531" i="28"/>
  <c r="X531" i="28" s="1"/>
  <c r="R531" i="28"/>
  <c r="Y531" i="28" s="1"/>
  <c r="S531" i="28"/>
  <c r="Z531" i="28" s="1"/>
  <c r="T531" i="28"/>
  <c r="AA531" i="28" s="1"/>
  <c r="U531" i="28"/>
  <c r="AB531" i="28" s="1"/>
  <c r="V531" i="28"/>
  <c r="AC531" i="28" s="1"/>
  <c r="Q532" i="28"/>
  <c r="X532" i="28" s="1"/>
  <c r="R532" i="28"/>
  <c r="Y532" i="28" s="1"/>
  <c r="S532" i="28"/>
  <c r="Z532" i="28" s="1"/>
  <c r="T532" i="28"/>
  <c r="AA532" i="28" s="1"/>
  <c r="U532" i="28"/>
  <c r="AB532" i="28" s="1"/>
  <c r="V532" i="28"/>
  <c r="AC532" i="28" s="1"/>
  <c r="Q533" i="28"/>
  <c r="X533" i="28" s="1"/>
  <c r="R533" i="28"/>
  <c r="Y533" i="28" s="1"/>
  <c r="S533" i="28"/>
  <c r="Z533" i="28" s="1"/>
  <c r="T533" i="28"/>
  <c r="AA533" i="28" s="1"/>
  <c r="U533" i="28"/>
  <c r="AB533" i="28" s="1"/>
  <c r="V533" i="28"/>
  <c r="AC533" i="28" s="1"/>
  <c r="Q534" i="28"/>
  <c r="X534" i="28" s="1"/>
  <c r="R534" i="28"/>
  <c r="Y534" i="28" s="1"/>
  <c r="S534" i="28"/>
  <c r="Z534" i="28" s="1"/>
  <c r="T534" i="28"/>
  <c r="AA534" i="28" s="1"/>
  <c r="U534" i="28"/>
  <c r="AB534" i="28" s="1"/>
  <c r="V534" i="28"/>
  <c r="AC534" i="28" s="1"/>
  <c r="Q535" i="28"/>
  <c r="X535" i="28" s="1"/>
  <c r="R535" i="28"/>
  <c r="Y535" i="28" s="1"/>
  <c r="S535" i="28"/>
  <c r="Z535" i="28" s="1"/>
  <c r="T535" i="28"/>
  <c r="AA535" i="28" s="1"/>
  <c r="U535" i="28"/>
  <c r="AB535" i="28" s="1"/>
  <c r="V535" i="28"/>
  <c r="AC535" i="28" s="1"/>
  <c r="Q536" i="28"/>
  <c r="X536" i="28" s="1"/>
  <c r="R536" i="28"/>
  <c r="Y536" i="28" s="1"/>
  <c r="S536" i="28"/>
  <c r="Z536" i="28" s="1"/>
  <c r="T536" i="28"/>
  <c r="AA536" i="28" s="1"/>
  <c r="U536" i="28"/>
  <c r="AB536" i="28" s="1"/>
  <c r="Q537" i="28"/>
  <c r="X537" i="28" s="1"/>
  <c r="R537" i="28"/>
  <c r="Y537" i="28" s="1"/>
  <c r="S537" i="28"/>
  <c r="Z537" i="28" s="1"/>
  <c r="T537" i="28"/>
  <c r="AA537" i="28" s="1"/>
  <c r="U537" i="28"/>
  <c r="AB537" i="28" s="1"/>
  <c r="V537" i="28"/>
  <c r="AC537" i="28" s="1"/>
  <c r="Q538" i="28"/>
  <c r="X538" i="28" s="1"/>
  <c r="R538" i="28"/>
  <c r="Y538" i="28" s="1"/>
  <c r="S538" i="28"/>
  <c r="Z538" i="28" s="1"/>
  <c r="T538" i="28"/>
  <c r="AA538" i="28" s="1"/>
  <c r="U538" i="28"/>
  <c r="AB538" i="28" s="1"/>
  <c r="V538" i="28"/>
  <c r="AC538" i="28" s="1"/>
  <c r="Q539" i="28"/>
  <c r="X539" i="28" s="1"/>
  <c r="R539" i="28"/>
  <c r="Y539" i="28" s="1"/>
  <c r="S539" i="28"/>
  <c r="Z539" i="28" s="1"/>
  <c r="T539" i="28"/>
  <c r="AA539" i="28" s="1"/>
  <c r="U539" i="28"/>
  <c r="AB539" i="28" s="1"/>
  <c r="V539" i="28"/>
  <c r="AC539" i="28" s="1"/>
  <c r="Q540" i="28"/>
  <c r="X540" i="28" s="1"/>
  <c r="R540" i="28"/>
  <c r="Y540" i="28" s="1"/>
  <c r="S540" i="28"/>
  <c r="Z540" i="28" s="1"/>
  <c r="T540" i="28"/>
  <c r="AA540" i="28" s="1"/>
  <c r="U540" i="28"/>
  <c r="AB540" i="28" s="1"/>
  <c r="V540" i="28"/>
  <c r="AC540" i="28" s="1"/>
  <c r="Q541" i="28"/>
  <c r="X541" i="28" s="1"/>
  <c r="R541" i="28"/>
  <c r="Y541" i="28" s="1"/>
  <c r="S541" i="28"/>
  <c r="Z541" i="28" s="1"/>
  <c r="T541" i="28"/>
  <c r="AA541" i="28" s="1"/>
  <c r="U541" i="28"/>
  <c r="AB541" i="28" s="1"/>
  <c r="V541" i="28"/>
  <c r="AC541" i="28" s="1"/>
  <c r="Q542" i="28"/>
  <c r="X542" i="28" s="1"/>
  <c r="R542" i="28"/>
  <c r="Y542" i="28" s="1"/>
  <c r="S542" i="28"/>
  <c r="Z542" i="28" s="1"/>
  <c r="T542" i="28"/>
  <c r="AA542" i="28" s="1"/>
  <c r="U542" i="28"/>
  <c r="AB542" i="28" s="1"/>
  <c r="V542" i="28"/>
  <c r="AC542" i="28" s="1"/>
  <c r="Q543" i="28"/>
  <c r="X543" i="28" s="1"/>
  <c r="R543" i="28"/>
  <c r="Y543" i="28" s="1"/>
  <c r="S543" i="28"/>
  <c r="Z543" i="28" s="1"/>
  <c r="T543" i="28"/>
  <c r="AA543" i="28" s="1"/>
  <c r="U543" i="28"/>
  <c r="AB543" i="28" s="1"/>
  <c r="V543" i="28"/>
  <c r="AC543" i="28" s="1"/>
  <c r="Q544" i="28"/>
  <c r="X544" i="28" s="1"/>
  <c r="R544" i="28"/>
  <c r="Y544" i="28" s="1"/>
  <c r="S544" i="28"/>
  <c r="Z544" i="28" s="1"/>
  <c r="T544" i="28"/>
  <c r="AA544" i="28" s="1"/>
  <c r="U544" i="28"/>
  <c r="AB544" i="28" s="1"/>
  <c r="Q545" i="28"/>
  <c r="X545" i="28" s="1"/>
  <c r="R545" i="28"/>
  <c r="Y545" i="28" s="1"/>
  <c r="S545" i="28"/>
  <c r="Z545" i="28" s="1"/>
  <c r="T545" i="28"/>
  <c r="AA545" i="28" s="1"/>
  <c r="U545" i="28"/>
  <c r="AB545" i="28" s="1"/>
  <c r="V545" i="28"/>
  <c r="AC545" i="28" s="1"/>
  <c r="Q546" i="28"/>
  <c r="X546" i="28" s="1"/>
  <c r="R546" i="28"/>
  <c r="Y546" i="28" s="1"/>
  <c r="S546" i="28"/>
  <c r="Z546" i="28" s="1"/>
  <c r="T546" i="28"/>
  <c r="AA546" i="28" s="1"/>
  <c r="U546" i="28"/>
  <c r="AB546" i="28" s="1"/>
  <c r="V546" i="28"/>
  <c r="AC546" i="28" s="1"/>
  <c r="Q547" i="28"/>
  <c r="X547" i="28" s="1"/>
  <c r="R547" i="28"/>
  <c r="Y547" i="28" s="1"/>
  <c r="S547" i="28"/>
  <c r="Z547" i="28" s="1"/>
  <c r="T547" i="28"/>
  <c r="AA547" i="28" s="1"/>
  <c r="U547" i="28"/>
  <c r="AB547" i="28" s="1"/>
  <c r="V547" i="28"/>
  <c r="AC547" i="28" s="1"/>
  <c r="Q548" i="28"/>
  <c r="X548" i="28" s="1"/>
  <c r="R548" i="28"/>
  <c r="Y548" i="28" s="1"/>
  <c r="S548" i="28"/>
  <c r="Z548" i="28" s="1"/>
  <c r="T548" i="28"/>
  <c r="AA548" i="28" s="1"/>
  <c r="U548" i="28"/>
  <c r="AB548" i="28" s="1"/>
  <c r="V548" i="28"/>
  <c r="AC548" i="28" s="1"/>
  <c r="Q549" i="28"/>
  <c r="X549" i="28" s="1"/>
  <c r="R549" i="28"/>
  <c r="Y549" i="28" s="1"/>
  <c r="S549" i="28"/>
  <c r="Z549" i="28" s="1"/>
  <c r="T549" i="28"/>
  <c r="AA549" i="28" s="1"/>
  <c r="U549" i="28"/>
  <c r="AB549" i="28" s="1"/>
  <c r="V549" i="28"/>
  <c r="AC549" i="28" s="1"/>
  <c r="Q550" i="28"/>
  <c r="X550" i="28" s="1"/>
  <c r="R550" i="28"/>
  <c r="Y550" i="28" s="1"/>
  <c r="S550" i="28"/>
  <c r="Z550" i="28" s="1"/>
  <c r="T550" i="28"/>
  <c r="AA550" i="28" s="1"/>
  <c r="U550" i="28"/>
  <c r="AB550" i="28" s="1"/>
  <c r="V550" i="28"/>
  <c r="AC550" i="28" s="1"/>
  <c r="Q551" i="28"/>
  <c r="X551" i="28" s="1"/>
  <c r="R551" i="28"/>
  <c r="Y551" i="28" s="1"/>
  <c r="S551" i="28"/>
  <c r="Z551" i="28" s="1"/>
  <c r="T551" i="28"/>
  <c r="AA551" i="28" s="1"/>
  <c r="U551" i="28"/>
  <c r="AB551" i="28" s="1"/>
  <c r="V551" i="28"/>
  <c r="AC551" i="28" s="1"/>
  <c r="Q552" i="28"/>
  <c r="X552" i="28" s="1"/>
  <c r="R552" i="28"/>
  <c r="Y552" i="28" s="1"/>
  <c r="S552" i="28"/>
  <c r="Z552" i="28" s="1"/>
  <c r="T552" i="28"/>
  <c r="AA552" i="28" s="1"/>
  <c r="U552" i="28"/>
  <c r="AB552" i="28" s="1"/>
  <c r="Q553" i="28"/>
  <c r="X553" i="28" s="1"/>
  <c r="R553" i="28"/>
  <c r="Y553" i="28" s="1"/>
  <c r="S553" i="28"/>
  <c r="Z553" i="28" s="1"/>
  <c r="T553" i="28"/>
  <c r="AA553" i="28" s="1"/>
  <c r="U553" i="28"/>
  <c r="AB553" i="28" s="1"/>
  <c r="V553" i="28"/>
  <c r="AC553" i="28" s="1"/>
  <c r="Q554" i="28"/>
  <c r="X554" i="28" s="1"/>
  <c r="R554" i="28"/>
  <c r="Y554" i="28" s="1"/>
  <c r="S554" i="28"/>
  <c r="Z554" i="28" s="1"/>
  <c r="T554" i="28"/>
  <c r="AA554" i="28" s="1"/>
  <c r="U554" i="28"/>
  <c r="AB554" i="28" s="1"/>
  <c r="V554" i="28"/>
  <c r="AC554" i="28" s="1"/>
  <c r="Q555" i="28"/>
  <c r="X555" i="28" s="1"/>
  <c r="R555" i="28"/>
  <c r="Y555" i="28" s="1"/>
  <c r="S555" i="28"/>
  <c r="Z555" i="28" s="1"/>
  <c r="T555" i="28"/>
  <c r="AA555" i="28" s="1"/>
  <c r="U555" i="28"/>
  <c r="AB555" i="28" s="1"/>
  <c r="V555" i="28"/>
  <c r="AC555" i="28" s="1"/>
  <c r="Q556" i="28"/>
  <c r="X556" i="28" s="1"/>
  <c r="R556" i="28"/>
  <c r="Y556" i="28" s="1"/>
  <c r="S556" i="28"/>
  <c r="Z556" i="28" s="1"/>
  <c r="T556" i="28"/>
  <c r="AA556" i="28" s="1"/>
  <c r="U556" i="28"/>
  <c r="AB556" i="28" s="1"/>
  <c r="V556" i="28"/>
  <c r="AC556" i="28" s="1"/>
  <c r="Q557" i="28"/>
  <c r="X557" i="28" s="1"/>
  <c r="R557" i="28"/>
  <c r="Y557" i="28" s="1"/>
  <c r="S557" i="28"/>
  <c r="Z557" i="28" s="1"/>
  <c r="T557" i="28"/>
  <c r="AA557" i="28" s="1"/>
  <c r="U557" i="28"/>
  <c r="AB557" i="28" s="1"/>
  <c r="V557" i="28"/>
  <c r="AC557" i="28" s="1"/>
  <c r="Q558" i="28"/>
  <c r="X558" i="28" s="1"/>
  <c r="R558" i="28"/>
  <c r="Y558" i="28" s="1"/>
  <c r="S558" i="28"/>
  <c r="Z558" i="28" s="1"/>
  <c r="T558" i="28"/>
  <c r="AA558" i="28" s="1"/>
  <c r="U558" i="28"/>
  <c r="AB558" i="28" s="1"/>
  <c r="V558" i="28"/>
  <c r="AC558" i="28" s="1"/>
  <c r="Q559" i="28"/>
  <c r="X559" i="28" s="1"/>
  <c r="R559" i="28"/>
  <c r="Y559" i="28" s="1"/>
  <c r="S559" i="28"/>
  <c r="Z559" i="28" s="1"/>
  <c r="T559" i="28"/>
  <c r="AA559" i="28" s="1"/>
  <c r="U559" i="28"/>
  <c r="AB559" i="28" s="1"/>
  <c r="V559" i="28"/>
  <c r="AC559" i="28" s="1"/>
  <c r="Q560" i="28"/>
  <c r="X560" i="28" s="1"/>
  <c r="R560" i="28"/>
  <c r="Y560" i="28" s="1"/>
  <c r="S560" i="28"/>
  <c r="Z560" i="28" s="1"/>
  <c r="T560" i="28"/>
  <c r="AA560" i="28" s="1"/>
  <c r="U560" i="28"/>
  <c r="AB560" i="28" s="1"/>
  <c r="Q561" i="28"/>
  <c r="X561" i="28" s="1"/>
  <c r="R561" i="28"/>
  <c r="Y561" i="28" s="1"/>
  <c r="S561" i="28"/>
  <c r="Z561" i="28" s="1"/>
  <c r="T561" i="28"/>
  <c r="AA561" i="28" s="1"/>
  <c r="U561" i="28"/>
  <c r="AB561" i="28" s="1"/>
  <c r="V561" i="28"/>
  <c r="AC561" i="28" s="1"/>
  <c r="Q562" i="28"/>
  <c r="X562" i="28" s="1"/>
  <c r="R562" i="28"/>
  <c r="Y562" i="28" s="1"/>
  <c r="S562" i="28"/>
  <c r="Z562" i="28" s="1"/>
  <c r="T562" i="28"/>
  <c r="AA562" i="28" s="1"/>
  <c r="U562" i="28"/>
  <c r="AB562" i="28" s="1"/>
  <c r="V562" i="28"/>
  <c r="AC562" i="28" s="1"/>
  <c r="Q563" i="28"/>
  <c r="X563" i="28" s="1"/>
  <c r="R563" i="28"/>
  <c r="Y563" i="28" s="1"/>
  <c r="S563" i="28"/>
  <c r="Z563" i="28" s="1"/>
  <c r="T563" i="28"/>
  <c r="AA563" i="28" s="1"/>
  <c r="U563" i="28"/>
  <c r="AB563" i="28" s="1"/>
  <c r="V563" i="28"/>
  <c r="AC563" i="28" s="1"/>
  <c r="Q564" i="28"/>
  <c r="X564" i="28" s="1"/>
  <c r="R564" i="28"/>
  <c r="Y564" i="28" s="1"/>
  <c r="S564" i="28"/>
  <c r="Z564" i="28" s="1"/>
  <c r="T564" i="28"/>
  <c r="AA564" i="28" s="1"/>
  <c r="U564" i="28"/>
  <c r="AB564" i="28" s="1"/>
  <c r="V564" i="28"/>
  <c r="AC564" i="28" s="1"/>
  <c r="Q565" i="28"/>
  <c r="X565" i="28" s="1"/>
  <c r="R565" i="28"/>
  <c r="Y565" i="28" s="1"/>
  <c r="S565" i="28"/>
  <c r="Z565" i="28" s="1"/>
  <c r="T565" i="28"/>
  <c r="AA565" i="28" s="1"/>
  <c r="U565" i="28"/>
  <c r="AB565" i="28" s="1"/>
  <c r="V565" i="28"/>
  <c r="AC565" i="28" s="1"/>
  <c r="Q566" i="28"/>
  <c r="X566" i="28" s="1"/>
  <c r="R566" i="28"/>
  <c r="Y566" i="28" s="1"/>
  <c r="S566" i="28"/>
  <c r="Z566" i="28" s="1"/>
  <c r="T566" i="28"/>
  <c r="AA566" i="28" s="1"/>
  <c r="U566" i="28"/>
  <c r="AB566" i="28" s="1"/>
  <c r="V566" i="28"/>
  <c r="AC566" i="28" s="1"/>
  <c r="Q567" i="28"/>
  <c r="X567" i="28" s="1"/>
  <c r="R567" i="28"/>
  <c r="Y567" i="28" s="1"/>
  <c r="S567" i="28"/>
  <c r="Z567" i="28" s="1"/>
  <c r="T567" i="28"/>
  <c r="AA567" i="28" s="1"/>
  <c r="U567" i="28"/>
  <c r="AB567" i="28" s="1"/>
  <c r="V567" i="28"/>
  <c r="AC567" i="28" s="1"/>
  <c r="Q568" i="28"/>
  <c r="X568" i="28" s="1"/>
  <c r="R568" i="28"/>
  <c r="Y568" i="28" s="1"/>
  <c r="S568" i="28"/>
  <c r="Z568" i="28" s="1"/>
  <c r="T568" i="28"/>
  <c r="AA568" i="28" s="1"/>
  <c r="U568" i="28"/>
  <c r="AB568" i="28" s="1"/>
  <c r="Q569" i="28"/>
  <c r="X569" i="28" s="1"/>
  <c r="R569" i="28"/>
  <c r="Y569" i="28" s="1"/>
  <c r="S569" i="28"/>
  <c r="Z569" i="28" s="1"/>
  <c r="T569" i="28"/>
  <c r="AA569" i="28" s="1"/>
  <c r="U569" i="28"/>
  <c r="AB569" i="28" s="1"/>
  <c r="V569" i="28"/>
  <c r="AC569" i="28" s="1"/>
  <c r="Q570" i="28"/>
  <c r="X570" i="28" s="1"/>
  <c r="R570" i="28"/>
  <c r="Y570" i="28" s="1"/>
  <c r="S570" i="28"/>
  <c r="Z570" i="28" s="1"/>
  <c r="T570" i="28"/>
  <c r="AA570" i="28" s="1"/>
  <c r="U570" i="28"/>
  <c r="AB570" i="28" s="1"/>
  <c r="V570" i="28"/>
  <c r="AC570" i="28" s="1"/>
  <c r="Q571" i="28"/>
  <c r="X571" i="28" s="1"/>
  <c r="R571" i="28"/>
  <c r="Y571" i="28" s="1"/>
  <c r="S571" i="28"/>
  <c r="Z571" i="28" s="1"/>
  <c r="T571" i="28"/>
  <c r="AA571" i="28" s="1"/>
  <c r="U571" i="28"/>
  <c r="AB571" i="28" s="1"/>
  <c r="V571" i="28"/>
  <c r="AC571" i="28" s="1"/>
  <c r="Q572" i="28"/>
  <c r="X572" i="28" s="1"/>
  <c r="R572" i="28"/>
  <c r="Y572" i="28" s="1"/>
  <c r="S572" i="28"/>
  <c r="Z572" i="28" s="1"/>
  <c r="T572" i="28"/>
  <c r="AA572" i="28" s="1"/>
  <c r="U572" i="28"/>
  <c r="AB572" i="28" s="1"/>
  <c r="V572" i="28"/>
  <c r="AC572" i="28" s="1"/>
  <c r="Q573" i="28"/>
  <c r="X573" i="28" s="1"/>
  <c r="R573" i="28"/>
  <c r="Y573" i="28" s="1"/>
  <c r="S573" i="28"/>
  <c r="Z573" i="28" s="1"/>
  <c r="T573" i="28"/>
  <c r="AA573" i="28" s="1"/>
  <c r="U573" i="28"/>
  <c r="AB573" i="28" s="1"/>
  <c r="V573" i="28"/>
  <c r="AC573" i="28" s="1"/>
  <c r="Q574" i="28"/>
  <c r="X574" i="28" s="1"/>
  <c r="R574" i="28"/>
  <c r="Y574" i="28" s="1"/>
  <c r="S574" i="28"/>
  <c r="Z574" i="28" s="1"/>
  <c r="T574" i="28"/>
  <c r="AA574" i="28" s="1"/>
  <c r="U574" i="28"/>
  <c r="AB574" i="28" s="1"/>
  <c r="V574" i="28"/>
  <c r="AC574" i="28" s="1"/>
  <c r="Q575" i="28"/>
  <c r="X575" i="28" s="1"/>
  <c r="R575" i="28"/>
  <c r="Y575" i="28" s="1"/>
  <c r="S575" i="28"/>
  <c r="Z575" i="28" s="1"/>
  <c r="T575" i="28"/>
  <c r="AA575" i="28" s="1"/>
  <c r="U575" i="28"/>
  <c r="AB575" i="28" s="1"/>
  <c r="V575" i="28"/>
  <c r="AC575" i="28" s="1"/>
  <c r="Q576" i="28"/>
  <c r="X576" i="28" s="1"/>
  <c r="R576" i="28"/>
  <c r="Y576" i="28" s="1"/>
  <c r="S576" i="28"/>
  <c r="Z576" i="28" s="1"/>
  <c r="T576" i="28"/>
  <c r="AA576" i="28" s="1"/>
  <c r="U576" i="28"/>
  <c r="AB576" i="28" s="1"/>
  <c r="Q577" i="28"/>
  <c r="X577" i="28" s="1"/>
  <c r="R577" i="28"/>
  <c r="Y577" i="28" s="1"/>
  <c r="S577" i="28"/>
  <c r="Z577" i="28" s="1"/>
  <c r="T577" i="28"/>
  <c r="AA577" i="28" s="1"/>
  <c r="U577" i="28"/>
  <c r="AB577" i="28" s="1"/>
  <c r="V577" i="28"/>
  <c r="AC577" i="28" s="1"/>
  <c r="Q578" i="28"/>
  <c r="X578" i="28" s="1"/>
  <c r="R578" i="28"/>
  <c r="Y578" i="28" s="1"/>
  <c r="S578" i="28"/>
  <c r="Z578" i="28" s="1"/>
  <c r="T578" i="28"/>
  <c r="AA578" i="28" s="1"/>
  <c r="U578" i="28"/>
  <c r="AB578" i="28" s="1"/>
  <c r="V578" i="28"/>
  <c r="AC578" i="28" s="1"/>
  <c r="Q579" i="28"/>
  <c r="X579" i="28" s="1"/>
  <c r="R579" i="28"/>
  <c r="Y579" i="28" s="1"/>
  <c r="S579" i="28"/>
  <c r="Z579" i="28" s="1"/>
  <c r="T579" i="28"/>
  <c r="AA579" i="28" s="1"/>
  <c r="U579" i="28"/>
  <c r="AB579" i="28" s="1"/>
  <c r="V579" i="28"/>
  <c r="AC579" i="28" s="1"/>
  <c r="Q580" i="28"/>
  <c r="X580" i="28" s="1"/>
  <c r="R580" i="28"/>
  <c r="Y580" i="28" s="1"/>
  <c r="S580" i="28"/>
  <c r="Z580" i="28" s="1"/>
  <c r="T580" i="28"/>
  <c r="AA580" i="28" s="1"/>
  <c r="U580" i="28"/>
  <c r="AB580" i="28" s="1"/>
  <c r="V580" i="28"/>
  <c r="AC580" i="28" s="1"/>
  <c r="Q581" i="28"/>
  <c r="X581" i="28" s="1"/>
  <c r="R581" i="28"/>
  <c r="Y581" i="28" s="1"/>
  <c r="S581" i="28"/>
  <c r="Z581" i="28" s="1"/>
  <c r="T581" i="28"/>
  <c r="AA581" i="28" s="1"/>
  <c r="U581" i="28"/>
  <c r="AB581" i="28" s="1"/>
  <c r="V581" i="28"/>
  <c r="AC581" i="28" s="1"/>
  <c r="Q582" i="28"/>
  <c r="X582" i="28" s="1"/>
  <c r="R582" i="28"/>
  <c r="Y582" i="28" s="1"/>
  <c r="S582" i="28"/>
  <c r="Z582" i="28" s="1"/>
  <c r="T582" i="28"/>
  <c r="AA582" i="28" s="1"/>
  <c r="U582" i="28"/>
  <c r="AB582" i="28" s="1"/>
  <c r="V582" i="28"/>
  <c r="AC582" i="28" s="1"/>
  <c r="Q583" i="28"/>
  <c r="X583" i="28" s="1"/>
  <c r="R583" i="28"/>
  <c r="Y583" i="28" s="1"/>
  <c r="S583" i="28"/>
  <c r="Z583" i="28" s="1"/>
  <c r="T583" i="28"/>
  <c r="AA583" i="28" s="1"/>
  <c r="U583" i="28"/>
  <c r="AB583" i="28" s="1"/>
  <c r="V583" i="28"/>
  <c r="AC583" i="28" s="1"/>
  <c r="Q584" i="28"/>
  <c r="X584" i="28" s="1"/>
  <c r="R584" i="28"/>
  <c r="Y584" i="28" s="1"/>
  <c r="S584" i="28"/>
  <c r="Z584" i="28" s="1"/>
  <c r="T584" i="28"/>
  <c r="AA584" i="28" s="1"/>
  <c r="U584" i="28"/>
  <c r="AB584" i="28" s="1"/>
  <c r="Q585" i="28"/>
  <c r="X585" i="28" s="1"/>
  <c r="R585" i="28"/>
  <c r="Y585" i="28" s="1"/>
  <c r="S585" i="28"/>
  <c r="Z585" i="28" s="1"/>
  <c r="T585" i="28"/>
  <c r="AA585" i="28" s="1"/>
  <c r="U585" i="28"/>
  <c r="AB585" i="28" s="1"/>
  <c r="V585" i="28"/>
  <c r="AC585" i="28" s="1"/>
  <c r="Q586" i="28"/>
  <c r="X586" i="28" s="1"/>
  <c r="R586" i="28"/>
  <c r="Y586" i="28" s="1"/>
  <c r="S586" i="28"/>
  <c r="Z586" i="28" s="1"/>
  <c r="T586" i="28"/>
  <c r="AA586" i="28" s="1"/>
  <c r="U586" i="28"/>
  <c r="AB586" i="28" s="1"/>
  <c r="V586" i="28"/>
  <c r="AC586" i="28" s="1"/>
  <c r="Q587" i="28"/>
  <c r="X587" i="28" s="1"/>
  <c r="R587" i="28"/>
  <c r="Y587" i="28" s="1"/>
  <c r="S587" i="28"/>
  <c r="Z587" i="28" s="1"/>
  <c r="T587" i="28"/>
  <c r="AA587" i="28" s="1"/>
  <c r="U587" i="28"/>
  <c r="AB587" i="28" s="1"/>
  <c r="V587" i="28"/>
  <c r="AC587" i="28" s="1"/>
  <c r="Q588" i="28"/>
  <c r="X588" i="28" s="1"/>
  <c r="R588" i="28"/>
  <c r="Y588" i="28" s="1"/>
  <c r="S588" i="28"/>
  <c r="Z588" i="28" s="1"/>
  <c r="T588" i="28"/>
  <c r="AA588" i="28" s="1"/>
  <c r="U588" i="28"/>
  <c r="AB588" i="28" s="1"/>
  <c r="V588" i="28"/>
  <c r="AC588" i="28" s="1"/>
  <c r="Q589" i="28"/>
  <c r="X589" i="28" s="1"/>
  <c r="R589" i="28"/>
  <c r="Y589" i="28" s="1"/>
  <c r="S589" i="28"/>
  <c r="Z589" i="28" s="1"/>
  <c r="T589" i="28"/>
  <c r="AA589" i="28" s="1"/>
  <c r="U589" i="28"/>
  <c r="AB589" i="28" s="1"/>
  <c r="V589" i="28"/>
  <c r="AC589" i="28" s="1"/>
  <c r="Q590" i="28"/>
  <c r="X590" i="28" s="1"/>
  <c r="R590" i="28"/>
  <c r="Y590" i="28" s="1"/>
  <c r="S590" i="28"/>
  <c r="Z590" i="28" s="1"/>
  <c r="T590" i="28"/>
  <c r="AA590" i="28" s="1"/>
  <c r="U590" i="28"/>
  <c r="AB590" i="28" s="1"/>
  <c r="V590" i="28"/>
  <c r="AC590" i="28" s="1"/>
  <c r="Q591" i="28"/>
  <c r="X591" i="28" s="1"/>
  <c r="R591" i="28"/>
  <c r="Y591" i="28" s="1"/>
  <c r="S591" i="28"/>
  <c r="Z591" i="28" s="1"/>
  <c r="T591" i="28"/>
  <c r="AA591" i="28" s="1"/>
  <c r="U591" i="28"/>
  <c r="AB591" i="28" s="1"/>
  <c r="V591" i="28"/>
  <c r="AC591" i="28" s="1"/>
  <c r="Q592" i="28"/>
  <c r="X592" i="28" s="1"/>
  <c r="R592" i="28"/>
  <c r="Y592" i="28" s="1"/>
  <c r="S592" i="28"/>
  <c r="Z592" i="28" s="1"/>
  <c r="T592" i="28"/>
  <c r="AA592" i="28" s="1"/>
  <c r="U592" i="28"/>
  <c r="AB592" i="28" s="1"/>
  <c r="Q593" i="28"/>
  <c r="X593" i="28" s="1"/>
  <c r="R593" i="28"/>
  <c r="Y593" i="28" s="1"/>
  <c r="S593" i="28"/>
  <c r="Z593" i="28" s="1"/>
  <c r="T593" i="28"/>
  <c r="AA593" i="28" s="1"/>
  <c r="U593" i="28"/>
  <c r="AB593" i="28" s="1"/>
  <c r="V593" i="28"/>
  <c r="AC593" i="28" s="1"/>
  <c r="Q594" i="28"/>
  <c r="X594" i="28" s="1"/>
  <c r="R594" i="28"/>
  <c r="Y594" i="28" s="1"/>
  <c r="S594" i="28"/>
  <c r="Z594" i="28" s="1"/>
  <c r="T594" i="28"/>
  <c r="AA594" i="28" s="1"/>
  <c r="U594" i="28"/>
  <c r="AB594" i="28" s="1"/>
  <c r="V594" i="28"/>
  <c r="AC594" i="28" s="1"/>
  <c r="Q595" i="28"/>
  <c r="X595" i="28" s="1"/>
  <c r="R595" i="28"/>
  <c r="Y595" i="28" s="1"/>
  <c r="S595" i="28"/>
  <c r="Z595" i="28" s="1"/>
  <c r="T595" i="28"/>
  <c r="AA595" i="28" s="1"/>
  <c r="U595" i="28"/>
  <c r="AB595" i="28" s="1"/>
  <c r="V595" i="28"/>
  <c r="AC595" i="28" s="1"/>
  <c r="Q596" i="28"/>
  <c r="X596" i="28" s="1"/>
  <c r="R596" i="28"/>
  <c r="Y596" i="28" s="1"/>
  <c r="S596" i="28"/>
  <c r="Z596" i="28" s="1"/>
  <c r="T596" i="28"/>
  <c r="AA596" i="28" s="1"/>
  <c r="U596" i="28"/>
  <c r="AB596" i="28" s="1"/>
  <c r="V596" i="28"/>
  <c r="AC596" i="28" s="1"/>
  <c r="Q597" i="28"/>
  <c r="X597" i="28" s="1"/>
  <c r="R597" i="28"/>
  <c r="Y597" i="28" s="1"/>
  <c r="S597" i="28"/>
  <c r="Z597" i="28" s="1"/>
  <c r="T597" i="28"/>
  <c r="AA597" i="28" s="1"/>
  <c r="U597" i="28"/>
  <c r="AB597" i="28" s="1"/>
  <c r="V597" i="28"/>
  <c r="AC597" i="28" s="1"/>
  <c r="Q598" i="28"/>
  <c r="X598" i="28" s="1"/>
  <c r="R598" i="28"/>
  <c r="Y598" i="28" s="1"/>
  <c r="S598" i="28"/>
  <c r="Z598" i="28" s="1"/>
  <c r="T598" i="28"/>
  <c r="AA598" i="28" s="1"/>
  <c r="U598" i="28"/>
  <c r="AB598" i="28" s="1"/>
  <c r="V598" i="28"/>
  <c r="AC598" i="28" s="1"/>
  <c r="Q599" i="28"/>
  <c r="X599" i="28" s="1"/>
  <c r="R599" i="28"/>
  <c r="Y599" i="28" s="1"/>
  <c r="S599" i="28"/>
  <c r="Z599" i="28" s="1"/>
  <c r="T599" i="28"/>
  <c r="AA599" i="28" s="1"/>
  <c r="U599" i="28"/>
  <c r="AB599" i="28" s="1"/>
  <c r="V599" i="28"/>
  <c r="AC599" i="28" s="1"/>
  <c r="Q600" i="28"/>
  <c r="X600" i="28" s="1"/>
  <c r="R600" i="28"/>
  <c r="Y600" i="28" s="1"/>
  <c r="S600" i="28"/>
  <c r="Z600" i="28" s="1"/>
  <c r="T600" i="28"/>
  <c r="AA600" i="28" s="1"/>
  <c r="U600" i="28"/>
  <c r="AB600" i="28" s="1"/>
  <c r="Q601" i="28"/>
  <c r="X601" i="28" s="1"/>
  <c r="R601" i="28"/>
  <c r="Y601" i="28" s="1"/>
  <c r="S601" i="28"/>
  <c r="Z601" i="28" s="1"/>
  <c r="T601" i="28"/>
  <c r="AA601" i="28" s="1"/>
  <c r="U601" i="28"/>
  <c r="AB601" i="28" s="1"/>
  <c r="V601" i="28"/>
  <c r="AC601" i="28" s="1"/>
  <c r="Q602" i="28"/>
  <c r="X602" i="28" s="1"/>
  <c r="R602" i="28"/>
  <c r="Y602" i="28" s="1"/>
  <c r="S602" i="28"/>
  <c r="Z602" i="28" s="1"/>
  <c r="T602" i="28"/>
  <c r="AA602" i="28" s="1"/>
  <c r="U602" i="28"/>
  <c r="AB602" i="28" s="1"/>
  <c r="V602" i="28"/>
  <c r="AC602" i="28" s="1"/>
  <c r="Q603" i="28"/>
  <c r="X603" i="28" s="1"/>
  <c r="R603" i="28"/>
  <c r="Y603" i="28" s="1"/>
  <c r="S603" i="28"/>
  <c r="Z603" i="28" s="1"/>
  <c r="T603" i="28"/>
  <c r="AA603" i="28" s="1"/>
  <c r="U603" i="28"/>
  <c r="AB603" i="28" s="1"/>
  <c r="V603" i="28"/>
  <c r="AC603" i="28" s="1"/>
  <c r="Q604" i="28"/>
  <c r="X604" i="28" s="1"/>
  <c r="R604" i="28"/>
  <c r="Y604" i="28" s="1"/>
  <c r="S604" i="28"/>
  <c r="Z604" i="28" s="1"/>
  <c r="T604" i="28"/>
  <c r="AA604" i="28" s="1"/>
  <c r="U604" i="28"/>
  <c r="AB604" i="28" s="1"/>
  <c r="V604" i="28"/>
  <c r="AC604" i="28" s="1"/>
  <c r="Q605" i="28"/>
  <c r="X605" i="28" s="1"/>
  <c r="R605" i="28"/>
  <c r="Y605" i="28" s="1"/>
  <c r="S605" i="28"/>
  <c r="Z605" i="28" s="1"/>
  <c r="T605" i="28"/>
  <c r="AA605" i="28" s="1"/>
  <c r="U605" i="28"/>
  <c r="AB605" i="28" s="1"/>
  <c r="V605" i="28"/>
  <c r="AC605" i="28" s="1"/>
  <c r="Q606" i="28"/>
  <c r="X606" i="28" s="1"/>
  <c r="R606" i="28"/>
  <c r="Y606" i="28" s="1"/>
  <c r="S606" i="28"/>
  <c r="Z606" i="28" s="1"/>
  <c r="T606" i="28"/>
  <c r="AA606" i="28" s="1"/>
  <c r="U606" i="28"/>
  <c r="AB606" i="28" s="1"/>
  <c r="V606" i="28"/>
  <c r="AC606" i="28" s="1"/>
  <c r="Q607" i="28"/>
  <c r="X607" i="28" s="1"/>
  <c r="R607" i="28"/>
  <c r="Y607" i="28" s="1"/>
  <c r="S607" i="28"/>
  <c r="Z607" i="28" s="1"/>
  <c r="T607" i="28"/>
  <c r="AA607" i="28" s="1"/>
  <c r="U607" i="28"/>
  <c r="AB607" i="28" s="1"/>
  <c r="V607" i="28"/>
  <c r="AC607" i="28" s="1"/>
  <c r="Q608" i="28"/>
  <c r="X608" i="28" s="1"/>
  <c r="R608" i="28"/>
  <c r="Y608" i="28" s="1"/>
  <c r="S608" i="28"/>
  <c r="Z608" i="28" s="1"/>
  <c r="T608" i="28"/>
  <c r="AA608" i="28" s="1"/>
  <c r="U608" i="28"/>
  <c r="AB608" i="28" s="1"/>
  <c r="Q609" i="28"/>
  <c r="X609" i="28" s="1"/>
  <c r="R609" i="28"/>
  <c r="Y609" i="28" s="1"/>
  <c r="S609" i="28"/>
  <c r="Z609" i="28" s="1"/>
  <c r="T609" i="28"/>
  <c r="AA609" i="28" s="1"/>
  <c r="U609" i="28"/>
  <c r="AB609" i="28" s="1"/>
  <c r="V609" i="28"/>
  <c r="AC609" i="28" s="1"/>
  <c r="Q610" i="28"/>
  <c r="X610" i="28" s="1"/>
  <c r="R610" i="28"/>
  <c r="Y610" i="28" s="1"/>
  <c r="S610" i="28"/>
  <c r="Z610" i="28" s="1"/>
  <c r="T610" i="28"/>
  <c r="AA610" i="28" s="1"/>
  <c r="U610" i="28"/>
  <c r="AB610" i="28" s="1"/>
  <c r="V610" i="28"/>
  <c r="AC610" i="28" s="1"/>
  <c r="Q611" i="28"/>
  <c r="X611" i="28" s="1"/>
  <c r="R611" i="28"/>
  <c r="Y611" i="28" s="1"/>
  <c r="S611" i="28"/>
  <c r="Z611" i="28" s="1"/>
  <c r="T611" i="28"/>
  <c r="AA611" i="28" s="1"/>
  <c r="U611" i="28"/>
  <c r="AB611" i="28" s="1"/>
  <c r="V611" i="28"/>
  <c r="AC611" i="28" s="1"/>
  <c r="Q612" i="28"/>
  <c r="X612" i="28" s="1"/>
  <c r="R612" i="28"/>
  <c r="Y612" i="28" s="1"/>
  <c r="S612" i="28"/>
  <c r="Z612" i="28" s="1"/>
  <c r="T612" i="28"/>
  <c r="AA612" i="28" s="1"/>
  <c r="U612" i="28"/>
  <c r="AB612" i="28" s="1"/>
  <c r="V612" i="28"/>
  <c r="AC612" i="28" s="1"/>
  <c r="Q613" i="28"/>
  <c r="X613" i="28" s="1"/>
  <c r="R613" i="28"/>
  <c r="Y613" i="28" s="1"/>
  <c r="S613" i="28"/>
  <c r="Z613" i="28" s="1"/>
  <c r="T613" i="28"/>
  <c r="AA613" i="28" s="1"/>
  <c r="U613" i="28"/>
  <c r="AB613" i="28" s="1"/>
  <c r="V613" i="28"/>
  <c r="AC613" i="28" s="1"/>
  <c r="Q614" i="28"/>
  <c r="X614" i="28" s="1"/>
  <c r="R614" i="28"/>
  <c r="Y614" i="28" s="1"/>
  <c r="S614" i="28"/>
  <c r="Z614" i="28" s="1"/>
  <c r="T614" i="28"/>
  <c r="AA614" i="28" s="1"/>
  <c r="U614" i="28"/>
  <c r="AB614" i="28" s="1"/>
  <c r="V614" i="28"/>
  <c r="AC614" i="28" s="1"/>
  <c r="Q615" i="28"/>
  <c r="X615" i="28" s="1"/>
  <c r="R615" i="28"/>
  <c r="Y615" i="28" s="1"/>
  <c r="S615" i="28"/>
  <c r="Z615" i="28" s="1"/>
  <c r="T615" i="28"/>
  <c r="AA615" i="28" s="1"/>
  <c r="U615" i="28"/>
  <c r="AB615" i="28" s="1"/>
  <c r="V615" i="28"/>
  <c r="AC615" i="28" s="1"/>
  <c r="Q616" i="28"/>
  <c r="X616" i="28" s="1"/>
  <c r="R616" i="28"/>
  <c r="Y616" i="28" s="1"/>
  <c r="S616" i="28"/>
  <c r="Z616" i="28" s="1"/>
  <c r="T616" i="28"/>
  <c r="AA616" i="28" s="1"/>
  <c r="U616" i="28"/>
  <c r="AB616" i="28" s="1"/>
  <c r="Q617" i="28"/>
  <c r="X617" i="28" s="1"/>
  <c r="R617" i="28"/>
  <c r="Y617" i="28" s="1"/>
  <c r="S617" i="28"/>
  <c r="Z617" i="28" s="1"/>
  <c r="T617" i="28"/>
  <c r="AA617" i="28" s="1"/>
  <c r="U617" i="28"/>
  <c r="AB617" i="28" s="1"/>
  <c r="V617" i="28"/>
  <c r="AC617" i="28" s="1"/>
  <c r="Q618" i="28"/>
  <c r="X618" i="28" s="1"/>
  <c r="R618" i="28"/>
  <c r="Y618" i="28" s="1"/>
  <c r="S618" i="28"/>
  <c r="Z618" i="28" s="1"/>
  <c r="T618" i="28"/>
  <c r="AA618" i="28" s="1"/>
  <c r="U618" i="28"/>
  <c r="AB618" i="28" s="1"/>
  <c r="V618" i="28"/>
  <c r="AC618" i="28" s="1"/>
  <c r="Q619" i="28"/>
  <c r="X619" i="28" s="1"/>
  <c r="R619" i="28"/>
  <c r="Y619" i="28" s="1"/>
  <c r="S619" i="28"/>
  <c r="Z619" i="28" s="1"/>
  <c r="T619" i="28"/>
  <c r="AA619" i="28" s="1"/>
  <c r="U619" i="28"/>
  <c r="AB619" i="28" s="1"/>
  <c r="V619" i="28"/>
  <c r="AC619" i="28" s="1"/>
  <c r="Q620" i="28"/>
  <c r="X620" i="28" s="1"/>
  <c r="R620" i="28"/>
  <c r="Y620" i="28" s="1"/>
  <c r="S620" i="28"/>
  <c r="Z620" i="28" s="1"/>
  <c r="T620" i="28"/>
  <c r="AA620" i="28" s="1"/>
  <c r="U620" i="28"/>
  <c r="AB620" i="28" s="1"/>
  <c r="V620" i="28"/>
  <c r="AC620" i="28" s="1"/>
  <c r="Q621" i="28"/>
  <c r="X621" i="28" s="1"/>
  <c r="R621" i="28"/>
  <c r="Y621" i="28" s="1"/>
  <c r="S621" i="28"/>
  <c r="Z621" i="28" s="1"/>
  <c r="T621" i="28"/>
  <c r="AA621" i="28" s="1"/>
  <c r="U621" i="28"/>
  <c r="AB621" i="28" s="1"/>
  <c r="V621" i="28"/>
  <c r="AC621" i="28" s="1"/>
  <c r="Q622" i="28"/>
  <c r="X622" i="28" s="1"/>
  <c r="R622" i="28"/>
  <c r="Y622" i="28" s="1"/>
  <c r="S622" i="28"/>
  <c r="Z622" i="28" s="1"/>
  <c r="T622" i="28"/>
  <c r="AA622" i="28" s="1"/>
  <c r="U622" i="28"/>
  <c r="AB622" i="28" s="1"/>
  <c r="V622" i="28"/>
  <c r="AC622" i="28" s="1"/>
  <c r="Q623" i="28"/>
  <c r="X623" i="28" s="1"/>
  <c r="R623" i="28"/>
  <c r="Y623" i="28" s="1"/>
  <c r="S623" i="28"/>
  <c r="Z623" i="28" s="1"/>
  <c r="T623" i="28"/>
  <c r="AA623" i="28" s="1"/>
  <c r="U623" i="28"/>
  <c r="AB623" i="28" s="1"/>
  <c r="V623" i="28"/>
  <c r="AC623" i="28" s="1"/>
  <c r="Q624" i="28"/>
  <c r="X624" i="28" s="1"/>
  <c r="R624" i="28"/>
  <c r="Y624" i="28" s="1"/>
  <c r="S624" i="28"/>
  <c r="Z624" i="28" s="1"/>
  <c r="T624" i="28"/>
  <c r="AA624" i="28" s="1"/>
  <c r="U624" i="28"/>
  <c r="AB624" i="28" s="1"/>
  <c r="Q625" i="28"/>
  <c r="X625" i="28" s="1"/>
  <c r="R625" i="28"/>
  <c r="Y625" i="28" s="1"/>
  <c r="S625" i="28"/>
  <c r="Z625" i="28" s="1"/>
  <c r="T625" i="28"/>
  <c r="AA625" i="28" s="1"/>
  <c r="U625" i="28"/>
  <c r="AB625" i="28" s="1"/>
  <c r="V625" i="28"/>
  <c r="AC625" i="28" s="1"/>
  <c r="Q626" i="28"/>
  <c r="X626" i="28" s="1"/>
  <c r="R626" i="28"/>
  <c r="Y626" i="28" s="1"/>
  <c r="S626" i="28"/>
  <c r="Z626" i="28" s="1"/>
  <c r="T626" i="28"/>
  <c r="AA626" i="28" s="1"/>
  <c r="U626" i="28"/>
  <c r="AB626" i="28" s="1"/>
  <c r="V626" i="28"/>
  <c r="AC626" i="28" s="1"/>
  <c r="Q627" i="28"/>
  <c r="X627" i="28" s="1"/>
  <c r="R627" i="28"/>
  <c r="Y627" i="28" s="1"/>
  <c r="S627" i="28"/>
  <c r="Z627" i="28" s="1"/>
  <c r="T627" i="28"/>
  <c r="AA627" i="28" s="1"/>
  <c r="U627" i="28"/>
  <c r="AB627" i="28" s="1"/>
  <c r="V627" i="28"/>
  <c r="AC627" i="28" s="1"/>
  <c r="Q628" i="28"/>
  <c r="X628" i="28" s="1"/>
  <c r="R628" i="28"/>
  <c r="Y628" i="28" s="1"/>
  <c r="S628" i="28"/>
  <c r="Z628" i="28" s="1"/>
  <c r="T628" i="28"/>
  <c r="AA628" i="28" s="1"/>
  <c r="U628" i="28"/>
  <c r="AB628" i="28" s="1"/>
  <c r="V628" i="28"/>
  <c r="AC628" i="28" s="1"/>
  <c r="Q629" i="28"/>
  <c r="X629" i="28" s="1"/>
  <c r="R629" i="28"/>
  <c r="Y629" i="28" s="1"/>
  <c r="S629" i="28"/>
  <c r="Z629" i="28" s="1"/>
  <c r="T629" i="28"/>
  <c r="AA629" i="28" s="1"/>
  <c r="U629" i="28"/>
  <c r="AB629" i="28" s="1"/>
  <c r="V629" i="28"/>
  <c r="AC629" i="28" s="1"/>
  <c r="Q630" i="28"/>
  <c r="X630" i="28" s="1"/>
  <c r="R630" i="28"/>
  <c r="Y630" i="28" s="1"/>
  <c r="S630" i="28"/>
  <c r="Z630" i="28" s="1"/>
  <c r="T630" i="28"/>
  <c r="AA630" i="28" s="1"/>
  <c r="U630" i="28"/>
  <c r="AB630" i="28" s="1"/>
  <c r="V630" i="28"/>
  <c r="AC630" i="28" s="1"/>
  <c r="Q631" i="28"/>
  <c r="X631" i="28" s="1"/>
  <c r="R631" i="28"/>
  <c r="Y631" i="28" s="1"/>
  <c r="S631" i="28"/>
  <c r="Z631" i="28" s="1"/>
  <c r="T631" i="28"/>
  <c r="AA631" i="28" s="1"/>
  <c r="U631" i="28"/>
  <c r="AB631" i="28" s="1"/>
  <c r="V631" i="28"/>
  <c r="AC631" i="28" s="1"/>
  <c r="Q632" i="28"/>
  <c r="X632" i="28" s="1"/>
  <c r="R632" i="28"/>
  <c r="Y632" i="28" s="1"/>
  <c r="S632" i="28"/>
  <c r="Z632" i="28" s="1"/>
  <c r="T632" i="28"/>
  <c r="AA632" i="28" s="1"/>
  <c r="U632" i="28"/>
  <c r="AB632" i="28" s="1"/>
  <c r="Q633" i="28"/>
  <c r="X633" i="28" s="1"/>
  <c r="R633" i="28"/>
  <c r="Y633" i="28" s="1"/>
  <c r="S633" i="28"/>
  <c r="Z633" i="28" s="1"/>
  <c r="T633" i="28"/>
  <c r="AA633" i="28" s="1"/>
  <c r="U633" i="28"/>
  <c r="AB633" i="28" s="1"/>
  <c r="V633" i="28"/>
  <c r="AC633" i="28" s="1"/>
  <c r="Q634" i="28"/>
  <c r="X634" i="28" s="1"/>
  <c r="R634" i="28"/>
  <c r="Y634" i="28" s="1"/>
  <c r="S634" i="28"/>
  <c r="Z634" i="28" s="1"/>
  <c r="T634" i="28"/>
  <c r="AA634" i="28" s="1"/>
  <c r="U634" i="28"/>
  <c r="AB634" i="28" s="1"/>
  <c r="V634" i="28"/>
  <c r="AC634" i="28" s="1"/>
  <c r="Q635" i="28"/>
  <c r="X635" i="28" s="1"/>
  <c r="R635" i="28"/>
  <c r="Y635" i="28" s="1"/>
  <c r="S635" i="28"/>
  <c r="Z635" i="28" s="1"/>
  <c r="T635" i="28"/>
  <c r="AA635" i="28" s="1"/>
  <c r="U635" i="28"/>
  <c r="AB635" i="28" s="1"/>
  <c r="V635" i="28"/>
  <c r="AC635" i="28" s="1"/>
  <c r="Q636" i="28"/>
  <c r="X636" i="28" s="1"/>
  <c r="R636" i="28"/>
  <c r="Y636" i="28" s="1"/>
  <c r="S636" i="28"/>
  <c r="Z636" i="28" s="1"/>
  <c r="T636" i="28"/>
  <c r="AA636" i="28" s="1"/>
  <c r="U636" i="28"/>
  <c r="AB636" i="28" s="1"/>
  <c r="V636" i="28"/>
  <c r="AC636" i="28" s="1"/>
  <c r="Q637" i="28"/>
  <c r="X637" i="28" s="1"/>
  <c r="R637" i="28"/>
  <c r="Y637" i="28" s="1"/>
  <c r="S637" i="28"/>
  <c r="Z637" i="28" s="1"/>
  <c r="T637" i="28"/>
  <c r="AA637" i="28" s="1"/>
  <c r="U637" i="28"/>
  <c r="AB637" i="28" s="1"/>
  <c r="V637" i="28"/>
  <c r="AC637" i="28" s="1"/>
  <c r="Q638" i="28"/>
  <c r="X638" i="28" s="1"/>
  <c r="R638" i="28"/>
  <c r="Y638" i="28" s="1"/>
  <c r="S638" i="28"/>
  <c r="Z638" i="28" s="1"/>
  <c r="T638" i="28"/>
  <c r="AA638" i="28" s="1"/>
  <c r="U638" i="28"/>
  <c r="AB638" i="28" s="1"/>
  <c r="V638" i="28"/>
  <c r="AC638" i="28" s="1"/>
  <c r="Q639" i="28"/>
  <c r="X639" i="28" s="1"/>
  <c r="R639" i="28"/>
  <c r="Y639" i="28" s="1"/>
  <c r="S639" i="28"/>
  <c r="Z639" i="28" s="1"/>
  <c r="T639" i="28"/>
  <c r="AA639" i="28" s="1"/>
  <c r="U639" i="28"/>
  <c r="AB639" i="28" s="1"/>
  <c r="V639" i="28"/>
  <c r="AC639" i="28" s="1"/>
  <c r="Q640" i="28"/>
  <c r="X640" i="28" s="1"/>
  <c r="R640" i="28"/>
  <c r="Y640" i="28" s="1"/>
  <c r="S640" i="28"/>
  <c r="Z640" i="28" s="1"/>
  <c r="T640" i="28"/>
  <c r="AA640" i="28" s="1"/>
  <c r="U640" i="28"/>
  <c r="AB640" i="28" s="1"/>
  <c r="Q641" i="28"/>
  <c r="X641" i="28" s="1"/>
  <c r="R641" i="28"/>
  <c r="Y641" i="28" s="1"/>
  <c r="S641" i="28"/>
  <c r="Z641" i="28" s="1"/>
  <c r="T641" i="28"/>
  <c r="AA641" i="28" s="1"/>
  <c r="U641" i="28"/>
  <c r="AB641" i="28" s="1"/>
  <c r="V641" i="28"/>
  <c r="AC641" i="28" s="1"/>
  <c r="Q642" i="28"/>
  <c r="X642" i="28" s="1"/>
  <c r="R642" i="28"/>
  <c r="Y642" i="28" s="1"/>
  <c r="S642" i="28"/>
  <c r="Z642" i="28" s="1"/>
  <c r="T642" i="28"/>
  <c r="AA642" i="28" s="1"/>
  <c r="U642" i="28"/>
  <c r="AB642" i="28" s="1"/>
  <c r="V642" i="28"/>
  <c r="AC642" i="28" s="1"/>
  <c r="Q643" i="28"/>
  <c r="X643" i="28" s="1"/>
  <c r="R643" i="28"/>
  <c r="Y643" i="28" s="1"/>
  <c r="S643" i="28"/>
  <c r="Z643" i="28" s="1"/>
  <c r="T643" i="28"/>
  <c r="AA643" i="28" s="1"/>
  <c r="U643" i="28"/>
  <c r="AB643" i="28" s="1"/>
  <c r="V643" i="28"/>
  <c r="AC643" i="28" s="1"/>
  <c r="Q644" i="28"/>
  <c r="X644" i="28" s="1"/>
  <c r="R644" i="28"/>
  <c r="Y644" i="28" s="1"/>
  <c r="S644" i="28"/>
  <c r="Z644" i="28" s="1"/>
  <c r="T644" i="28"/>
  <c r="AA644" i="28" s="1"/>
  <c r="U644" i="28"/>
  <c r="AB644" i="28" s="1"/>
  <c r="V644" i="28"/>
  <c r="AC644" i="28" s="1"/>
  <c r="Q645" i="28"/>
  <c r="X645" i="28" s="1"/>
  <c r="R645" i="28"/>
  <c r="Y645" i="28" s="1"/>
  <c r="S645" i="28"/>
  <c r="Z645" i="28" s="1"/>
  <c r="T645" i="28"/>
  <c r="AA645" i="28" s="1"/>
  <c r="U645" i="28"/>
  <c r="AB645" i="28" s="1"/>
  <c r="V645" i="28"/>
  <c r="AC645" i="28" s="1"/>
  <c r="Q646" i="28"/>
  <c r="X646" i="28" s="1"/>
  <c r="R646" i="28"/>
  <c r="Y646" i="28" s="1"/>
  <c r="S646" i="28"/>
  <c r="Z646" i="28" s="1"/>
  <c r="T646" i="28"/>
  <c r="AA646" i="28" s="1"/>
  <c r="U646" i="28"/>
  <c r="AB646" i="28" s="1"/>
  <c r="V646" i="28"/>
  <c r="AC646" i="28" s="1"/>
  <c r="Q647" i="28"/>
  <c r="X647" i="28" s="1"/>
  <c r="R647" i="28"/>
  <c r="Y647" i="28" s="1"/>
  <c r="S647" i="28"/>
  <c r="Z647" i="28" s="1"/>
  <c r="T647" i="28"/>
  <c r="AA647" i="28" s="1"/>
  <c r="U647" i="28"/>
  <c r="AB647" i="28" s="1"/>
  <c r="V647" i="28"/>
  <c r="AC647" i="28" s="1"/>
  <c r="Q648" i="28"/>
  <c r="X648" i="28" s="1"/>
  <c r="R648" i="28"/>
  <c r="Y648" i="28" s="1"/>
  <c r="S648" i="28"/>
  <c r="Z648" i="28" s="1"/>
  <c r="T648" i="28"/>
  <c r="AA648" i="28" s="1"/>
  <c r="U648" i="28"/>
  <c r="AB648" i="28" s="1"/>
  <c r="Q649" i="28"/>
  <c r="X649" i="28" s="1"/>
  <c r="R649" i="28"/>
  <c r="Y649" i="28" s="1"/>
  <c r="S649" i="28"/>
  <c r="Z649" i="28" s="1"/>
  <c r="T649" i="28"/>
  <c r="AA649" i="28" s="1"/>
  <c r="U649" i="28"/>
  <c r="AB649" i="28" s="1"/>
  <c r="V649" i="28"/>
  <c r="AC649" i="28" s="1"/>
  <c r="Q650" i="28"/>
  <c r="X650" i="28" s="1"/>
  <c r="R650" i="28"/>
  <c r="Y650" i="28" s="1"/>
  <c r="S650" i="28"/>
  <c r="Z650" i="28" s="1"/>
  <c r="T650" i="28"/>
  <c r="AA650" i="28" s="1"/>
  <c r="U650" i="28"/>
  <c r="AB650" i="28" s="1"/>
  <c r="V650" i="28"/>
  <c r="AC650" i="28" s="1"/>
  <c r="Q651" i="28"/>
  <c r="X651" i="28" s="1"/>
  <c r="R651" i="28"/>
  <c r="Y651" i="28" s="1"/>
  <c r="S651" i="28"/>
  <c r="Z651" i="28" s="1"/>
  <c r="T651" i="28"/>
  <c r="AA651" i="28" s="1"/>
  <c r="U651" i="28"/>
  <c r="AB651" i="28" s="1"/>
  <c r="V651" i="28"/>
  <c r="AC651" i="28" s="1"/>
  <c r="Q652" i="28"/>
  <c r="X652" i="28" s="1"/>
  <c r="R652" i="28"/>
  <c r="Y652" i="28" s="1"/>
  <c r="S652" i="28"/>
  <c r="Z652" i="28" s="1"/>
  <c r="T652" i="28"/>
  <c r="AA652" i="28" s="1"/>
  <c r="U652" i="28"/>
  <c r="AB652" i="28" s="1"/>
  <c r="V652" i="28"/>
  <c r="AC652" i="28" s="1"/>
  <c r="Q653" i="28"/>
  <c r="X653" i="28" s="1"/>
  <c r="R653" i="28"/>
  <c r="Y653" i="28" s="1"/>
  <c r="S653" i="28"/>
  <c r="Z653" i="28" s="1"/>
  <c r="T653" i="28"/>
  <c r="AA653" i="28" s="1"/>
  <c r="U653" i="28"/>
  <c r="AB653" i="28" s="1"/>
  <c r="V653" i="28"/>
  <c r="AC653" i="28" s="1"/>
  <c r="Q654" i="28"/>
  <c r="X654" i="28" s="1"/>
  <c r="R654" i="28"/>
  <c r="Y654" i="28" s="1"/>
  <c r="S654" i="28"/>
  <c r="Z654" i="28" s="1"/>
  <c r="T654" i="28"/>
  <c r="AA654" i="28" s="1"/>
  <c r="U654" i="28"/>
  <c r="AB654" i="28" s="1"/>
  <c r="V654" i="28"/>
  <c r="AC654" i="28" s="1"/>
  <c r="Q655" i="28"/>
  <c r="X655" i="28" s="1"/>
  <c r="R655" i="28"/>
  <c r="Y655" i="28" s="1"/>
  <c r="S655" i="28"/>
  <c r="Z655" i="28" s="1"/>
  <c r="T655" i="28"/>
  <c r="AA655" i="28" s="1"/>
  <c r="U655" i="28"/>
  <c r="AB655" i="28" s="1"/>
  <c r="V655" i="28"/>
  <c r="AC655" i="28" s="1"/>
  <c r="Q656" i="28"/>
  <c r="X656" i="28" s="1"/>
  <c r="R656" i="28"/>
  <c r="Y656" i="28" s="1"/>
  <c r="S656" i="28"/>
  <c r="Z656" i="28" s="1"/>
  <c r="T656" i="28"/>
  <c r="AA656" i="28" s="1"/>
  <c r="U656" i="28"/>
  <c r="AB656" i="28" s="1"/>
  <c r="Q657" i="28"/>
  <c r="X657" i="28" s="1"/>
  <c r="R657" i="28"/>
  <c r="Y657" i="28" s="1"/>
  <c r="S657" i="28"/>
  <c r="Z657" i="28" s="1"/>
  <c r="T657" i="28"/>
  <c r="AA657" i="28" s="1"/>
  <c r="U657" i="28"/>
  <c r="AB657" i="28" s="1"/>
  <c r="V657" i="28"/>
  <c r="AC657" i="28" s="1"/>
  <c r="Q658" i="28"/>
  <c r="X658" i="28" s="1"/>
  <c r="R658" i="28"/>
  <c r="Y658" i="28" s="1"/>
  <c r="S658" i="28"/>
  <c r="Z658" i="28" s="1"/>
  <c r="T658" i="28"/>
  <c r="AA658" i="28" s="1"/>
  <c r="U658" i="28"/>
  <c r="AB658" i="28" s="1"/>
  <c r="V658" i="28"/>
  <c r="AC658" i="28" s="1"/>
  <c r="Q659" i="28"/>
  <c r="X659" i="28" s="1"/>
  <c r="R659" i="28"/>
  <c r="Y659" i="28" s="1"/>
  <c r="S659" i="28"/>
  <c r="Z659" i="28" s="1"/>
  <c r="T659" i="28"/>
  <c r="AA659" i="28" s="1"/>
  <c r="U659" i="28"/>
  <c r="AB659" i="28" s="1"/>
  <c r="V659" i="28"/>
  <c r="AC659" i="28" s="1"/>
  <c r="Q660" i="28"/>
  <c r="X660" i="28" s="1"/>
  <c r="R660" i="28"/>
  <c r="Y660" i="28" s="1"/>
  <c r="S660" i="28"/>
  <c r="Z660" i="28" s="1"/>
  <c r="T660" i="28"/>
  <c r="AA660" i="28" s="1"/>
  <c r="U660" i="28"/>
  <c r="AB660" i="28" s="1"/>
  <c r="V660" i="28"/>
  <c r="AC660" i="28" s="1"/>
  <c r="Q661" i="28"/>
  <c r="X661" i="28" s="1"/>
  <c r="R661" i="28"/>
  <c r="Y661" i="28" s="1"/>
  <c r="S661" i="28"/>
  <c r="Z661" i="28" s="1"/>
  <c r="T661" i="28"/>
  <c r="AA661" i="28" s="1"/>
  <c r="U661" i="28"/>
  <c r="AB661" i="28" s="1"/>
  <c r="V661" i="28"/>
  <c r="AC661" i="28" s="1"/>
  <c r="Q662" i="28"/>
  <c r="X662" i="28" s="1"/>
  <c r="R662" i="28"/>
  <c r="Y662" i="28" s="1"/>
  <c r="S662" i="28"/>
  <c r="Z662" i="28" s="1"/>
  <c r="T662" i="28"/>
  <c r="AA662" i="28" s="1"/>
  <c r="U662" i="28"/>
  <c r="AB662" i="28" s="1"/>
  <c r="V662" i="28"/>
  <c r="AC662" i="28" s="1"/>
  <c r="Q663" i="28"/>
  <c r="X663" i="28" s="1"/>
  <c r="R663" i="28"/>
  <c r="Y663" i="28" s="1"/>
  <c r="S663" i="28"/>
  <c r="Z663" i="28" s="1"/>
  <c r="T663" i="28"/>
  <c r="AA663" i="28" s="1"/>
  <c r="U663" i="28"/>
  <c r="AB663" i="28" s="1"/>
  <c r="V663" i="28"/>
  <c r="AC663" i="28" s="1"/>
  <c r="Q664" i="28"/>
  <c r="X664" i="28" s="1"/>
  <c r="R664" i="28"/>
  <c r="Y664" i="28" s="1"/>
  <c r="S664" i="28"/>
  <c r="Z664" i="28" s="1"/>
  <c r="T664" i="28"/>
  <c r="AA664" i="28" s="1"/>
  <c r="U664" i="28"/>
  <c r="AB664" i="28" s="1"/>
  <c r="Q665" i="28"/>
  <c r="X665" i="28" s="1"/>
  <c r="R665" i="28"/>
  <c r="Y665" i="28" s="1"/>
  <c r="S665" i="28"/>
  <c r="Z665" i="28" s="1"/>
  <c r="T665" i="28"/>
  <c r="AA665" i="28" s="1"/>
  <c r="U665" i="28"/>
  <c r="AB665" i="28" s="1"/>
  <c r="V665" i="28"/>
  <c r="AC665" i="28" s="1"/>
  <c r="Q666" i="28"/>
  <c r="X666" i="28" s="1"/>
  <c r="R666" i="28"/>
  <c r="Y666" i="28" s="1"/>
  <c r="S666" i="28"/>
  <c r="Z666" i="28" s="1"/>
  <c r="T666" i="28"/>
  <c r="AA666" i="28" s="1"/>
  <c r="U666" i="28"/>
  <c r="AB666" i="28" s="1"/>
  <c r="V666" i="28"/>
  <c r="AC666" i="28" s="1"/>
  <c r="Q667" i="28"/>
  <c r="X667" i="28" s="1"/>
  <c r="R667" i="28"/>
  <c r="Y667" i="28" s="1"/>
  <c r="S667" i="28"/>
  <c r="Z667" i="28" s="1"/>
  <c r="T667" i="28"/>
  <c r="AA667" i="28" s="1"/>
  <c r="U667" i="28"/>
  <c r="AB667" i="28" s="1"/>
  <c r="V667" i="28"/>
  <c r="AC667" i="28" s="1"/>
  <c r="Q668" i="28"/>
  <c r="X668" i="28" s="1"/>
  <c r="R668" i="28"/>
  <c r="Y668" i="28" s="1"/>
  <c r="S668" i="28"/>
  <c r="Z668" i="28" s="1"/>
  <c r="T668" i="28"/>
  <c r="AA668" i="28" s="1"/>
  <c r="U668" i="28"/>
  <c r="AB668" i="28" s="1"/>
  <c r="V668" i="28"/>
  <c r="AC668" i="28" s="1"/>
  <c r="Q669" i="28"/>
  <c r="X669" i="28" s="1"/>
  <c r="R669" i="28"/>
  <c r="Y669" i="28" s="1"/>
  <c r="S669" i="28"/>
  <c r="Z669" i="28" s="1"/>
  <c r="T669" i="28"/>
  <c r="AA669" i="28" s="1"/>
  <c r="U669" i="28"/>
  <c r="AB669" i="28" s="1"/>
  <c r="V669" i="28"/>
  <c r="AC669" i="28" s="1"/>
  <c r="Q670" i="28"/>
  <c r="X670" i="28" s="1"/>
  <c r="R670" i="28"/>
  <c r="Y670" i="28" s="1"/>
  <c r="S670" i="28"/>
  <c r="Z670" i="28" s="1"/>
  <c r="T670" i="28"/>
  <c r="AA670" i="28" s="1"/>
  <c r="U670" i="28"/>
  <c r="AB670" i="28" s="1"/>
  <c r="V670" i="28"/>
  <c r="AC670" i="28" s="1"/>
  <c r="Q671" i="28"/>
  <c r="X671" i="28" s="1"/>
  <c r="R671" i="28"/>
  <c r="Y671" i="28" s="1"/>
  <c r="S671" i="28"/>
  <c r="Z671" i="28" s="1"/>
  <c r="T671" i="28"/>
  <c r="AA671" i="28" s="1"/>
  <c r="U671" i="28"/>
  <c r="AB671" i="28" s="1"/>
  <c r="V671" i="28"/>
  <c r="AC671" i="28" s="1"/>
  <c r="Q672" i="28"/>
  <c r="X672" i="28" s="1"/>
  <c r="R672" i="28"/>
  <c r="Y672" i="28" s="1"/>
  <c r="S672" i="28"/>
  <c r="Z672" i="28" s="1"/>
  <c r="T672" i="28"/>
  <c r="AA672" i="28" s="1"/>
  <c r="U672" i="28"/>
  <c r="AB672" i="28" s="1"/>
  <c r="Q673" i="28"/>
  <c r="X673" i="28" s="1"/>
  <c r="R673" i="28"/>
  <c r="Y673" i="28" s="1"/>
  <c r="S673" i="28"/>
  <c r="Z673" i="28" s="1"/>
  <c r="T673" i="28"/>
  <c r="AA673" i="28" s="1"/>
  <c r="U673" i="28"/>
  <c r="AB673" i="28" s="1"/>
  <c r="V673" i="28"/>
  <c r="AC673" i="28" s="1"/>
  <c r="Q674" i="28"/>
  <c r="X674" i="28" s="1"/>
  <c r="R674" i="28"/>
  <c r="Y674" i="28" s="1"/>
  <c r="S674" i="28"/>
  <c r="Z674" i="28" s="1"/>
  <c r="T674" i="28"/>
  <c r="AA674" i="28" s="1"/>
  <c r="U674" i="28"/>
  <c r="AB674" i="28" s="1"/>
  <c r="V674" i="28"/>
  <c r="AC674" i="28" s="1"/>
  <c r="Q675" i="28"/>
  <c r="X675" i="28" s="1"/>
  <c r="R675" i="28"/>
  <c r="Y675" i="28" s="1"/>
  <c r="S675" i="28"/>
  <c r="Z675" i="28" s="1"/>
  <c r="T675" i="28"/>
  <c r="AA675" i="28" s="1"/>
  <c r="U675" i="28"/>
  <c r="AB675" i="28" s="1"/>
  <c r="V675" i="28"/>
  <c r="AC675" i="28" s="1"/>
  <c r="Q676" i="28"/>
  <c r="X676" i="28" s="1"/>
  <c r="R676" i="28"/>
  <c r="Y676" i="28" s="1"/>
  <c r="S676" i="28"/>
  <c r="Z676" i="28" s="1"/>
  <c r="T676" i="28"/>
  <c r="AA676" i="28" s="1"/>
  <c r="U676" i="28"/>
  <c r="AB676" i="28" s="1"/>
  <c r="V676" i="28"/>
  <c r="AC676" i="28" s="1"/>
  <c r="Q677" i="28"/>
  <c r="X677" i="28" s="1"/>
  <c r="R677" i="28"/>
  <c r="Y677" i="28" s="1"/>
  <c r="S677" i="28"/>
  <c r="Z677" i="28" s="1"/>
  <c r="T677" i="28"/>
  <c r="AA677" i="28" s="1"/>
  <c r="U677" i="28"/>
  <c r="AB677" i="28" s="1"/>
  <c r="V677" i="28"/>
  <c r="AC677" i="28" s="1"/>
  <c r="Q678" i="28"/>
  <c r="X678" i="28" s="1"/>
  <c r="R678" i="28"/>
  <c r="Y678" i="28" s="1"/>
  <c r="S678" i="28"/>
  <c r="Z678" i="28" s="1"/>
  <c r="T678" i="28"/>
  <c r="AA678" i="28" s="1"/>
  <c r="U678" i="28"/>
  <c r="AB678" i="28" s="1"/>
  <c r="V678" i="28"/>
  <c r="AC678" i="28" s="1"/>
  <c r="Q679" i="28"/>
  <c r="X679" i="28" s="1"/>
  <c r="R679" i="28"/>
  <c r="Y679" i="28" s="1"/>
  <c r="S679" i="28"/>
  <c r="Z679" i="28" s="1"/>
  <c r="T679" i="28"/>
  <c r="AA679" i="28" s="1"/>
  <c r="U679" i="28"/>
  <c r="AB679" i="28" s="1"/>
  <c r="V679" i="28"/>
  <c r="AC679" i="28" s="1"/>
  <c r="Q680" i="28"/>
  <c r="X680" i="28" s="1"/>
  <c r="R680" i="28"/>
  <c r="Y680" i="28" s="1"/>
  <c r="S680" i="28"/>
  <c r="Z680" i="28" s="1"/>
  <c r="T680" i="28"/>
  <c r="AA680" i="28" s="1"/>
  <c r="U680" i="28"/>
  <c r="AB680" i="28" s="1"/>
  <c r="Q681" i="28"/>
  <c r="X681" i="28" s="1"/>
  <c r="R681" i="28"/>
  <c r="Y681" i="28" s="1"/>
  <c r="S681" i="28"/>
  <c r="Z681" i="28" s="1"/>
  <c r="T681" i="28"/>
  <c r="AA681" i="28" s="1"/>
  <c r="U681" i="28"/>
  <c r="AB681" i="28" s="1"/>
  <c r="V681" i="28"/>
  <c r="AC681" i="28" s="1"/>
  <c r="Q682" i="28"/>
  <c r="X682" i="28" s="1"/>
  <c r="R682" i="28"/>
  <c r="Y682" i="28" s="1"/>
  <c r="S682" i="28"/>
  <c r="Z682" i="28" s="1"/>
  <c r="T682" i="28"/>
  <c r="AA682" i="28" s="1"/>
  <c r="U682" i="28"/>
  <c r="AB682" i="28" s="1"/>
  <c r="V682" i="28"/>
  <c r="AC682" i="28" s="1"/>
  <c r="Q683" i="28"/>
  <c r="X683" i="28" s="1"/>
  <c r="R683" i="28"/>
  <c r="Y683" i="28" s="1"/>
  <c r="S683" i="28"/>
  <c r="Z683" i="28" s="1"/>
  <c r="T683" i="28"/>
  <c r="AA683" i="28" s="1"/>
  <c r="U683" i="28"/>
  <c r="AB683" i="28" s="1"/>
  <c r="V683" i="28"/>
  <c r="AC683" i="28" s="1"/>
  <c r="Q684" i="28"/>
  <c r="X684" i="28" s="1"/>
  <c r="R684" i="28"/>
  <c r="Y684" i="28" s="1"/>
  <c r="S684" i="28"/>
  <c r="Z684" i="28" s="1"/>
  <c r="T684" i="28"/>
  <c r="AA684" i="28" s="1"/>
  <c r="U684" i="28"/>
  <c r="AB684" i="28" s="1"/>
  <c r="V684" i="28"/>
  <c r="AC684" i="28" s="1"/>
  <c r="Q685" i="28"/>
  <c r="X685" i="28" s="1"/>
  <c r="R685" i="28"/>
  <c r="Y685" i="28" s="1"/>
  <c r="S685" i="28"/>
  <c r="Z685" i="28" s="1"/>
  <c r="T685" i="28"/>
  <c r="AA685" i="28" s="1"/>
  <c r="U685" i="28"/>
  <c r="AB685" i="28" s="1"/>
  <c r="V685" i="28"/>
  <c r="AC685" i="28" s="1"/>
  <c r="Q686" i="28"/>
  <c r="X686" i="28" s="1"/>
  <c r="R686" i="28"/>
  <c r="Y686" i="28" s="1"/>
  <c r="S686" i="28"/>
  <c r="Z686" i="28" s="1"/>
  <c r="T686" i="28"/>
  <c r="AA686" i="28" s="1"/>
  <c r="U686" i="28"/>
  <c r="AB686" i="28" s="1"/>
  <c r="V686" i="28"/>
  <c r="AC686" i="28" s="1"/>
  <c r="Q687" i="28"/>
  <c r="X687" i="28" s="1"/>
  <c r="R687" i="28"/>
  <c r="Y687" i="28" s="1"/>
  <c r="S687" i="28"/>
  <c r="Z687" i="28" s="1"/>
  <c r="T687" i="28"/>
  <c r="AA687" i="28" s="1"/>
  <c r="U687" i="28"/>
  <c r="AB687" i="28" s="1"/>
  <c r="V687" i="28"/>
  <c r="AC687" i="28" s="1"/>
  <c r="Q688" i="28"/>
  <c r="X688" i="28" s="1"/>
  <c r="R688" i="28"/>
  <c r="Y688" i="28" s="1"/>
  <c r="S688" i="28"/>
  <c r="Z688" i="28" s="1"/>
  <c r="T688" i="28"/>
  <c r="AA688" i="28" s="1"/>
  <c r="U688" i="28"/>
  <c r="AB688" i="28" s="1"/>
  <c r="Q689" i="28"/>
  <c r="X689" i="28" s="1"/>
  <c r="R689" i="28"/>
  <c r="Y689" i="28" s="1"/>
  <c r="S689" i="28"/>
  <c r="Z689" i="28" s="1"/>
  <c r="T689" i="28"/>
  <c r="AA689" i="28" s="1"/>
  <c r="U689" i="28"/>
  <c r="AB689" i="28" s="1"/>
  <c r="V689" i="28"/>
  <c r="AC689" i="28" s="1"/>
  <c r="Q690" i="28"/>
  <c r="X690" i="28" s="1"/>
  <c r="R690" i="28"/>
  <c r="Y690" i="28" s="1"/>
  <c r="S690" i="28"/>
  <c r="Z690" i="28" s="1"/>
  <c r="T690" i="28"/>
  <c r="AA690" i="28" s="1"/>
  <c r="U690" i="28"/>
  <c r="AB690" i="28" s="1"/>
  <c r="V690" i="28"/>
  <c r="AC690" i="28" s="1"/>
  <c r="Q691" i="28"/>
  <c r="X691" i="28" s="1"/>
  <c r="R691" i="28"/>
  <c r="Y691" i="28" s="1"/>
  <c r="S691" i="28"/>
  <c r="Z691" i="28" s="1"/>
  <c r="T691" i="28"/>
  <c r="AA691" i="28" s="1"/>
  <c r="U691" i="28"/>
  <c r="AB691" i="28" s="1"/>
  <c r="V691" i="28"/>
  <c r="AC691" i="28" s="1"/>
  <c r="Q692" i="28"/>
  <c r="X692" i="28" s="1"/>
  <c r="R692" i="28"/>
  <c r="Y692" i="28" s="1"/>
  <c r="S692" i="28"/>
  <c r="Z692" i="28" s="1"/>
  <c r="T692" i="28"/>
  <c r="AA692" i="28" s="1"/>
  <c r="U692" i="28"/>
  <c r="AB692" i="28" s="1"/>
  <c r="V692" i="28"/>
  <c r="AC692" i="28" s="1"/>
  <c r="Q693" i="28"/>
  <c r="X693" i="28" s="1"/>
  <c r="R693" i="28"/>
  <c r="Y693" i="28" s="1"/>
  <c r="S693" i="28"/>
  <c r="Z693" i="28" s="1"/>
  <c r="T693" i="28"/>
  <c r="AA693" i="28" s="1"/>
  <c r="U693" i="28"/>
  <c r="AB693" i="28" s="1"/>
  <c r="V693" i="28"/>
  <c r="AC693" i="28" s="1"/>
  <c r="Q694" i="28"/>
  <c r="X694" i="28" s="1"/>
  <c r="R694" i="28"/>
  <c r="Y694" i="28" s="1"/>
  <c r="S694" i="28"/>
  <c r="Z694" i="28" s="1"/>
  <c r="T694" i="28"/>
  <c r="AA694" i="28" s="1"/>
  <c r="U694" i="28"/>
  <c r="AB694" i="28" s="1"/>
  <c r="V694" i="28"/>
  <c r="AC694" i="28" s="1"/>
  <c r="Q695" i="28"/>
  <c r="X695" i="28" s="1"/>
  <c r="R695" i="28"/>
  <c r="Y695" i="28" s="1"/>
  <c r="S695" i="28"/>
  <c r="Z695" i="28" s="1"/>
  <c r="T695" i="28"/>
  <c r="AA695" i="28" s="1"/>
  <c r="U695" i="28"/>
  <c r="AB695" i="28" s="1"/>
  <c r="V695" i="28"/>
  <c r="AC695" i="28" s="1"/>
  <c r="Q696" i="28"/>
  <c r="X696" i="28" s="1"/>
  <c r="R696" i="28"/>
  <c r="Y696" i="28" s="1"/>
  <c r="S696" i="28"/>
  <c r="Z696" i="28" s="1"/>
  <c r="T696" i="28"/>
  <c r="AA696" i="28" s="1"/>
  <c r="U696" i="28"/>
  <c r="AB696" i="28" s="1"/>
  <c r="Q697" i="28"/>
  <c r="X697" i="28" s="1"/>
  <c r="R697" i="28"/>
  <c r="Y697" i="28" s="1"/>
  <c r="S697" i="28"/>
  <c r="Z697" i="28" s="1"/>
  <c r="T697" i="28"/>
  <c r="AA697" i="28" s="1"/>
  <c r="U697" i="28"/>
  <c r="AB697" i="28" s="1"/>
  <c r="V697" i="28"/>
  <c r="AC697" i="28" s="1"/>
  <c r="Q698" i="28"/>
  <c r="X698" i="28" s="1"/>
  <c r="R698" i="28"/>
  <c r="Y698" i="28" s="1"/>
  <c r="S698" i="28"/>
  <c r="Z698" i="28" s="1"/>
  <c r="T698" i="28"/>
  <c r="AA698" i="28" s="1"/>
  <c r="U698" i="28"/>
  <c r="AB698" i="28" s="1"/>
  <c r="V698" i="28"/>
  <c r="AC698" i="28" s="1"/>
  <c r="Q699" i="28"/>
  <c r="X699" i="28" s="1"/>
  <c r="R699" i="28"/>
  <c r="Y699" i="28" s="1"/>
  <c r="S699" i="28"/>
  <c r="Z699" i="28" s="1"/>
  <c r="T699" i="28"/>
  <c r="AA699" i="28" s="1"/>
  <c r="U699" i="28"/>
  <c r="AB699" i="28" s="1"/>
  <c r="V699" i="28"/>
  <c r="AC699" i="28" s="1"/>
  <c r="Q700" i="28"/>
  <c r="X700" i="28" s="1"/>
  <c r="R700" i="28"/>
  <c r="Y700" i="28" s="1"/>
  <c r="S700" i="28"/>
  <c r="Z700" i="28" s="1"/>
  <c r="T700" i="28"/>
  <c r="AA700" i="28" s="1"/>
  <c r="U700" i="28"/>
  <c r="AB700" i="28" s="1"/>
  <c r="V700" i="28"/>
  <c r="AC700" i="28" s="1"/>
  <c r="Q701" i="28"/>
  <c r="X701" i="28" s="1"/>
  <c r="R701" i="28"/>
  <c r="Y701" i="28" s="1"/>
  <c r="S701" i="28"/>
  <c r="Z701" i="28" s="1"/>
  <c r="T701" i="28"/>
  <c r="AA701" i="28" s="1"/>
  <c r="U701" i="28"/>
  <c r="AB701" i="28" s="1"/>
  <c r="V701" i="28"/>
  <c r="AC701" i="28" s="1"/>
  <c r="Q702" i="28"/>
  <c r="X702" i="28" s="1"/>
  <c r="R702" i="28"/>
  <c r="Y702" i="28" s="1"/>
  <c r="S702" i="28"/>
  <c r="Z702" i="28" s="1"/>
  <c r="T702" i="28"/>
  <c r="AA702" i="28" s="1"/>
  <c r="U702" i="28"/>
  <c r="AB702" i="28" s="1"/>
  <c r="V702" i="28"/>
  <c r="AC702" i="28" s="1"/>
  <c r="Q703" i="28"/>
  <c r="X703" i="28" s="1"/>
  <c r="R703" i="28"/>
  <c r="Y703" i="28" s="1"/>
  <c r="S703" i="28"/>
  <c r="Z703" i="28" s="1"/>
  <c r="T703" i="28"/>
  <c r="AA703" i="28" s="1"/>
  <c r="U703" i="28"/>
  <c r="AB703" i="28" s="1"/>
  <c r="V703" i="28"/>
  <c r="AC703" i="28" s="1"/>
  <c r="Q704" i="28"/>
  <c r="X704" i="28" s="1"/>
  <c r="R704" i="28"/>
  <c r="Y704" i="28" s="1"/>
  <c r="S704" i="28"/>
  <c r="Z704" i="28" s="1"/>
  <c r="T704" i="28"/>
  <c r="AA704" i="28" s="1"/>
  <c r="U704" i="28"/>
  <c r="AB704" i="28" s="1"/>
  <c r="Q705" i="28"/>
  <c r="X705" i="28" s="1"/>
  <c r="R705" i="28"/>
  <c r="Y705" i="28" s="1"/>
  <c r="S705" i="28"/>
  <c r="Z705" i="28" s="1"/>
  <c r="T705" i="28"/>
  <c r="AA705" i="28" s="1"/>
  <c r="U705" i="28"/>
  <c r="AB705" i="28" s="1"/>
  <c r="V705" i="28"/>
  <c r="AC705" i="28" s="1"/>
  <c r="Q706" i="28"/>
  <c r="X706" i="28" s="1"/>
  <c r="R706" i="28"/>
  <c r="Y706" i="28" s="1"/>
  <c r="S706" i="28"/>
  <c r="Z706" i="28" s="1"/>
  <c r="T706" i="28"/>
  <c r="AA706" i="28" s="1"/>
  <c r="U706" i="28"/>
  <c r="AB706" i="28" s="1"/>
  <c r="V706" i="28"/>
  <c r="AC706" i="28" s="1"/>
  <c r="Q707" i="28"/>
  <c r="X707" i="28" s="1"/>
  <c r="R707" i="28"/>
  <c r="Y707" i="28" s="1"/>
  <c r="S707" i="28"/>
  <c r="Z707" i="28" s="1"/>
  <c r="T707" i="28"/>
  <c r="AA707" i="28" s="1"/>
  <c r="U707" i="28"/>
  <c r="AB707" i="28" s="1"/>
  <c r="V707" i="28"/>
  <c r="AC707" i="28" s="1"/>
  <c r="Q708" i="28"/>
  <c r="X708" i="28" s="1"/>
  <c r="R708" i="28"/>
  <c r="Y708" i="28" s="1"/>
  <c r="S708" i="28"/>
  <c r="Z708" i="28" s="1"/>
  <c r="T708" i="28"/>
  <c r="AA708" i="28" s="1"/>
  <c r="U708" i="28"/>
  <c r="AB708" i="28" s="1"/>
  <c r="V708" i="28"/>
  <c r="AC708" i="28" s="1"/>
  <c r="Q709" i="28"/>
  <c r="X709" i="28" s="1"/>
  <c r="R709" i="28"/>
  <c r="Y709" i="28" s="1"/>
  <c r="S709" i="28"/>
  <c r="Z709" i="28" s="1"/>
  <c r="T709" i="28"/>
  <c r="AA709" i="28" s="1"/>
  <c r="U709" i="28"/>
  <c r="AB709" i="28" s="1"/>
  <c r="V709" i="28"/>
  <c r="AC709" i="28" s="1"/>
  <c r="Q710" i="28"/>
  <c r="X710" i="28" s="1"/>
  <c r="R710" i="28"/>
  <c r="Y710" i="28" s="1"/>
  <c r="S710" i="28"/>
  <c r="Z710" i="28" s="1"/>
  <c r="T710" i="28"/>
  <c r="AA710" i="28" s="1"/>
  <c r="U710" i="28"/>
  <c r="AB710" i="28" s="1"/>
  <c r="V710" i="28"/>
  <c r="AC710" i="28" s="1"/>
  <c r="Q711" i="28"/>
  <c r="X711" i="28" s="1"/>
  <c r="R711" i="28"/>
  <c r="Y711" i="28" s="1"/>
  <c r="S711" i="28"/>
  <c r="Z711" i="28" s="1"/>
  <c r="T711" i="28"/>
  <c r="AA711" i="28" s="1"/>
  <c r="U711" i="28"/>
  <c r="AB711" i="28" s="1"/>
  <c r="V711" i="28"/>
  <c r="AC711" i="28" s="1"/>
  <c r="Q712" i="28"/>
  <c r="X712" i="28" s="1"/>
  <c r="R712" i="28"/>
  <c r="Y712" i="28" s="1"/>
  <c r="S712" i="28"/>
  <c r="Z712" i="28" s="1"/>
  <c r="T712" i="28"/>
  <c r="AA712" i="28" s="1"/>
  <c r="U712" i="28"/>
  <c r="AB712" i="28" s="1"/>
  <c r="Q713" i="28"/>
  <c r="X713" i="28" s="1"/>
  <c r="R713" i="28"/>
  <c r="Y713" i="28" s="1"/>
  <c r="S713" i="28"/>
  <c r="Z713" i="28" s="1"/>
  <c r="T713" i="28"/>
  <c r="AA713" i="28" s="1"/>
  <c r="U713" i="28"/>
  <c r="AB713" i="28" s="1"/>
  <c r="V713" i="28"/>
  <c r="AC713" i="28" s="1"/>
  <c r="Q714" i="28"/>
  <c r="X714" i="28" s="1"/>
  <c r="R714" i="28"/>
  <c r="Y714" i="28" s="1"/>
  <c r="S714" i="28"/>
  <c r="Z714" i="28" s="1"/>
  <c r="T714" i="28"/>
  <c r="AA714" i="28" s="1"/>
  <c r="U714" i="28"/>
  <c r="AB714" i="28" s="1"/>
  <c r="V714" i="28"/>
  <c r="AC714" i="28" s="1"/>
  <c r="Q715" i="28"/>
  <c r="X715" i="28" s="1"/>
  <c r="R715" i="28"/>
  <c r="Y715" i="28" s="1"/>
  <c r="S715" i="28"/>
  <c r="Z715" i="28" s="1"/>
  <c r="T715" i="28"/>
  <c r="AA715" i="28" s="1"/>
  <c r="U715" i="28"/>
  <c r="AB715" i="28" s="1"/>
  <c r="V715" i="28"/>
  <c r="AC715" i="28" s="1"/>
  <c r="Q716" i="28"/>
  <c r="X716" i="28" s="1"/>
  <c r="R716" i="28"/>
  <c r="Y716" i="28" s="1"/>
  <c r="S716" i="28"/>
  <c r="Z716" i="28" s="1"/>
  <c r="T716" i="28"/>
  <c r="AA716" i="28" s="1"/>
  <c r="U716" i="28"/>
  <c r="AB716" i="28" s="1"/>
  <c r="V716" i="28"/>
  <c r="AC716" i="28" s="1"/>
  <c r="Q717" i="28"/>
  <c r="X717" i="28" s="1"/>
  <c r="R717" i="28"/>
  <c r="Y717" i="28" s="1"/>
  <c r="S717" i="28"/>
  <c r="Z717" i="28" s="1"/>
  <c r="T717" i="28"/>
  <c r="AA717" i="28" s="1"/>
  <c r="U717" i="28"/>
  <c r="AB717" i="28" s="1"/>
  <c r="V717" i="28"/>
  <c r="AC717" i="28" s="1"/>
  <c r="Q718" i="28"/>
  <c r="X718" i="28" s="1"/>
  <c r="R718" i="28"/>
  <c r="Y718" i="28" s="1"/>
  <c r="S718" i="28"/>
  <c r="Z718" i="28" s="1"/>
  <c r="T718" i="28"/>
  <c r="AA718" i="28" s="1"/>
  <c r="U718" i="28"/>
  <c r="AB718" i="28" s="1"/>
  <c r="V718" i="28"/>
  <c r="AC718" i="28" s="1"/>
  <c r="Q719" i="28"/>
  <c r="X719" i="28" s="1"/>
  <c r="R719" i="28"/>
  <c r="Y719" i="28" s="1"/>
  <c r="S719" i="28"/>
  <c r="Z719" i="28" s="1"/>
  <c r="T719" i="28"/>
  <c r="AA719" i="28" s="1"/>
  <c r="U719" i="28"/>
  <c r="AB719" i="28" s="1"/>
  <c r="V719" i="28"/>
  <c r="AC719" i="28" s="1"/>
  <c r="Q720" i="28"/>
  <c r="X720" i="28" s="1"/>
  <c r="R720" i="28"/>
  <c r="Y720" i="28" s="1"/>
  <c r="S720" i="28"/>
  <c r="Z720" i="28" s="1"/>
  <c r="T720" i="28"/>
  <c r="AA720" i="28" s="1"/>
  <c r="U720" i="28"/>
  <c r="AB720" i="28" s="1"/>
  <c r="Q721" i="28"/>
  <c r="X721" i="28" s="1"/>
  <c r="R721" i="28"/>
  <c r="Y721" i="28" s="1"/>
  <c r="S721" i="28"/>
  <c r="Z721" i="28" s="1"/>
  <c r="T721" i="28"/>
  <c r="AA721" i="28" s="1"/>
  <c r="U721" i="28"/>
  <c r="AB721" i="28" s="1"/>
  <c r="V721" i="28"/>
  <c r="AC721" i="28" s="1"/>
  <c r="Q722" i="28"/>
  <c r="X722" i="28" s="1"/>
  <c r="R722" i="28"/>
  <c r="Y722" i="28" s="1"/>
  <c r="S722" i="28"/>
  <c r="Z722" i="28" s="1"/>
  <c r="T722" i="28"/>
  <c r="AA722" i="28" s="1"/>
  <c r="U722" i="28"/>
  <c r="AB722" i="28" s="1"/>
  <c r="V722" i="28"/>
  <c r="AC722" i="28" s="1"/>
  <c r="Q723" i="28"/>
  <c r="X723" i="28" s="1"/>
  <c r="R723" i="28"/>
  <c r="Y723" i="28" s="1"/>
  <c r="S723" i="28"/>
  <c r="Z723" i="28" s="1"/>
  <c r="T723" i="28"/>
  <c r="AA723" i="28" s="1"/>
  <c r="U723" i="28"/>
  <c r="AB723" i="28" s="1"/>
  <c r="V723" i="28"/>
  <c r="AC723" i="28" s="1"/>
  <c r="Q724" i="28"/>
  <c r="X724" i="28" s="1"/>
  <c r="R724" i="28"/>
  <c r="Y724" i="28" s="1"/>
  <c r="S724" i="28"/>
  <c r="Z724" i="28" s="1"/>
  <c r="T724" i="28"/>
  <c r="AA724" i="28" s="1"/>
  <c r="U724" i="28"/>
  <c r="AB724" i="28" s="1"/>
  <c r="V724" i="28"/>
  <c r="AC724" i="28" s="1"/>
  <c r="Q725" i="28"/>
  <c r="X725" i="28" s="1"/>
  <c r="R725" i="28"/>
  <c r="Y725" i="28" s="1"/>
  <c r="S725" i="28"/>
  <c r="Z725" i="28" s="1"/>
  <c r="T725" i="28"/>
  <c r="AA725" i="28" s="1"/>
  <c r="U725" i="28"/>
  <c r="AB725" i="28" s="1"/>
  <c r="V725" i="28"/>
  <c r="AC725" i="28" s="1"/>
  <c r="Q726" i="28"/>
  <c r="X726" i="28" s="1"/>
  <c r="R726" i="28"/>
  <c r="Y726" i="28" s="1"/>
  <c r="S726" i="28"/>
  <c r="Z726" i="28" s="1"/>
  <c r="T726" i="28"/>
  <c r="AA726" i="28" s="1"/>
  <c r="U726" i="28"/>
  <c r="AB726" i="28" s="1"/>
  <c r="V726" i="28"/>
  <c r="AC726" i="28" s="1"/>
  <c r="Q727" i="28"/>
  <c r="X727" i="28" s="1"/>
  <c r="R727" i="28"/>
  <c r="Y727" i="28" s="1"/>
  <c r="S727" i="28"/>
  <c r="Z727" i="28" s="1"/>
  <c r="T727" i="28"/>
  <c r="AA727" i="28" s="1"/>
  <c r="U727" i="28"/>
  <c r="AB727" i="28" s="1"/>
  <c r="V727" i="28"/>
  <c r="AC727" i="28" s="1"/>
  <c r="Q728" i="28"/>
  <c r="X728" i="28" s="1"/>
  <c r="R728" i="28"/>
  <c r="Y728" i="28" s="1"/>
  <c r="S728" i="28"/>
  <c r="Z728" i="28" s="1"/>
  <c r="T728" i="28"/>
  <c r="AA728" i="28" s="1"/>
  <c r="U728" i="28"/>
  <c r="AB728" i="28" s="1"/>
  <c r="Q729" i="28"/>
  <c r="X729" i="28" s="1"/>
  <c r="R729" i="28"/>
  <c r="Y729" i="28" s="1"/>
  <c r="S729" i="28"/>
  <c r="Z729" i="28" s="1"/>
  <c r="T729" i="28"/>
  <c r="AA729" i="28" s="1"/>
  <c r="U729" i="28"/>
  <c r="AB729" i="28" s="1"/>
  <c r="V729" i="28"/>
  <c r="AC729" i="28" s="1"/>
  <c r="Q730" i="28"/>
  <c r="X730" i="28" s="1"/>
  <c r="R730" i="28"/>
  <c r="Y730" i="28" s="1"/>
  <c r="S730" i="28"/>
  <c r="Z730" i="28" s="1"/>
  <c r="T730" i="28"/>
  <c r="AA730" i="28" s="1"/>
  <c r="U730" i="28"/>
  <c r="AB730" i="28" s="1"/>
  <c r="V730" i="28"/>
  <c r="AC730" i="28" s="1"/>
  <c r="Q731" i="28"/>
  <c r="X731" i="28" s="1"/>
  <c r="R731" i="28"/>
  <c r="Y731" i="28" s="1"/>
  <c r="S731" i="28"/>
  <c r="Z731" i="28" s="1"/>
  <c r="T731" i="28"/>
  <c r="AA731" i="28" s="1"/>
  <c r="U731" i="28"/>
  <c r="AB731" i="28" s="1"/>
  <c r="V731" i="28"/>
  <c r="AC731" i="28" s="1"/>
  <c r="Q732" i="28"/>
  <c r="X732" i="28" s="1"/>
  <c r="R732" i="28"/>
  <c r="Y732" i="28" s="1"/>
  <c r="S732" i="28"/>
  <c r="Z732" i="28" s="1"/>
  <c r="T732" i="28"/>
  <c r="AA732" i="28" s="1"/>
  <c r="U732" i="28"/>
  <c r="AB732" i="28" s="1"/>
  <c r="V732" i="28"/>
  <c r="AC732" i="28" s="1"/>
  <c r="Q733" i="28"/>
  <c r="X733" i="28" s="1"/>
  <c r="R733" i="28"/>
  <c r="Y733" i="28" s="1"/>
  <c r="S733" i="28"/>
  <c r="Z733" i="28" s="1"/>
  <c r="T733" i="28"/>
  <c r="AA733" i="28" s="1"/>
  <c r="U733" i="28"/>
  <c r="AB733" i="28" s="1"/>
  <c r="V733" i="28"/>
  <c r="AC733" i="28" s="1"/>
  <c r="Q734" i="28"/>
  <c r="X734" i="28" s="1"/>
  <c r="R734" i="28"/>
  <c r="Y734" i="28" s="1"/>
  <c r="S734" i="28"/>
  <c r="Z734" i="28" s="1"/>
  <c r="T734" i="28"/>
  <c r="AA734" i="28" s="1"/>
  <c r="U734" i="28"/>
  <c r="AB734" i="28" s="1"/>
  <c r="V734" i="28"/>
  <c r="AC734" i="28" s="1"/>
  <c r="Q735" i="28"/>
  <c r="X735" i="28" s="1"/>
  <c r="R735" i="28"/>
  <c r="Y735" i="28" s="1"/>
  <c r="S735" i="28"/>
  <c r="Z735" i="28" s="1"/>
  <c r="T735" i="28"/>
  <c r="AA735" i="28" s="1"/>
  <c r="U735" i="28"/>
  <c r="AB735" i="28" s="1"/>
  <c r="V735" i="28"/>
  <c r="AC735" i="28" s="1"/>
  <c r="Q736" i="28"/>
  <c r="X736" i="28" s="1"/>
  <c r="R736" i="28"/>
  <c r="Y736" i="28" s="1"/>
  <c r="S736" i="28"/>
  <c r="Z736" i="28" s="1"/>
  <c r="T736" i="28"/>
  <c r="AA736" i="28" s="1"/>
  <c r="U736" i="28"/>
  <c r="AB736" i="28" s="1"/>
  <c r="Q737" i="28"/>
  <c r="X737" i="28" s="1"/>
  <c r="R737" i="28"/>
  <c r="Y737" i="28" s="1"/>
  <c r="S737" i="28"/>
  <c r="Z737" i="28" s="1"/>
  <c r="T737" i="28"/>
  <c r="AA737" i="28" s="1"/>
  <c r="U737" i="28"/>
  <c r="AB737" i="28" s="1"/>
  <c r="V737" i="28"/>
  <c r="AC737" i="28" s="1"/>
  <c r="Q738" i="28"/>
  <c r="X738" i="28" s="1"/>
  <c r="R738" i="28"/>
  <c r="Y738" i="28" s="1"/>
  <c r="S738" i="28"/>
  <c r="Z738" i="28" s="1"/>
  <c r="T738" i="28"/>
  <c r="AA738" i="28" s="1"/>
  <c r="U738" i="28"/>
  <c r="AB738" i="28" s="1"/>
  <c r="V738" i="28"/>
  <c r="AC738" i="28" s="1"/>
  <c r="Q739" i="28"/>
  <c r="X739" i="28" s="1"/>
  <c r="R739" i="28"/>
  <c r="Y739" i="28" s="1"/>
  <c r="S739" i="28"/>
  <c r="Z739" i="28" s="1"/>
  <c r="T739" i="28"/>
  <c r="AA739" i="28" s="1"/>
  <c r="U739" i="28"/>
  <c r="AB739" i="28" s="1"/>
  <c r="V739" i="28"/>
  <c r="AC739" i="28" s="1"/>
  <c r="Q740" i="28"/>
  <c r="X740" i="28" s="1"/>
  <c r="R740" i="28"/>
  <c r="Y740" i="28" s="1"/>
  <c r="S740" i="28"/>
  <c r="Z740" i="28" s="1"/>
  <c r="T740" i="28"/>
  <c r="AA740" i="28" s="1"/>
  <c r="U740" i="28"/>
  <c r="AB740" i="28" s="1"/>
  <c r="V740" i="28"/>
  <c r="AC740" i="28" s="1"/>
  <c r="Q741" i="28"/>
  <c r="X741" i="28" s="1"/>
  <c r="R741" i="28"/>
  <c r="Y741" i="28" s="1"/>
  <c r="S741" i="28"/>
  <c r="Z741" i="28" s="1"/>
  <c r="T741" i="28"/>
  <c r="AA741" i="28" s="1"/>
  <c r="U741" i="28"/>
  <c r="AB741" i="28" s="1"/>
  <c r="V741" i="28"/>
  <c r="AC741" i="28" s="1"/>
  <c r="Q742" i="28"/>
  <c r="X742" i="28" s="1"/>
  <c r="R742" i="28"/>
  <c r="Y742" i="28" s="1"/>
  <c r="S742" i="28"/>
  <c r="Z742" i="28" s="1"/>
  <c r="T742" i="28"/>
  <c r="AA742" i="28" s="1"/>
  <c r="U742" i="28"/>
  <c r="AB742" i="28" s="1"/>
  <c r="V742" i="28"/>
  <c r="AC742" i="28" s="1"/>
  <c r="Q743" i="28"/>
  <c r="X743" i="28" s="1"/>
  <c r="R743" i="28"/>
  <c r="Y743" i="28" s="1"/>
  <c r="S743" i="28"/>
  <c r="Z743" i="28" s="1"/>
  <c r="T743" i="28"/>
  <c r="AA743" i="28" s="1"/>
  <c r="U743" i="28"/>
  <c r="AB743" i="28" s="1"/>
  <c r="V743" i="28"/>
  <c r="AC743" i="28" s="1"/>
  <c r="Q744" i="28"/>
  <c r="X744" i="28" s="1"/>
  <c r="R744" i="28"/>
  <c r="Y744" i="28" s="1"/>
  <c r="S744" i="28"/>
  <c r="Z744" i="28" s="1"/>
  <c r="T744" i="28"/>
  <c r="AA744" i="28" s="1"/>
  <c r="U744" i="28"/>
  <c r="AB744" i="28" s="1"/>
  <c r="Q745" i="28"/>
  <c r="X745" i="28" s="1"/>
  <c r="R745" i="28"/>
  <c r="Y745" i="28" s="1"/>
  <c r="S745" i="28"/>
  <c r="Z745" i="28" s="1"/>
  <c r="T745" i="28"/>
  <c r="AA745" i="28" s="1"/>
  <c r="U745" i="28"/>
  <c r="AB745" i="28" s="1"/>
  <c r="V745" i="28"/>
  <c r="AC745" i="28" s="1"/>
  <c r="Q746" i="28"/>
  <c r="X746" i="28" s="1"/>
  <c r="R746" i="28"/>
  <c r="Y746" i="28" s="1"/>
  <c r="S746" i="28"/>
  <c r="Z746" i="28" s="1"/>
  <c r="T746" i="28"/>
  <c r="AA746" i="28" s="1"/>
  <c r="U746" i="28"/>
  <c r="AB746" i="28" s="1"/>
  <c r="V746" i="28"/>
  <c r="AC746" i="28" s="1"/>
  <c r="Q747" i="28"/>
  <c r="X747" i="28" s="1"/>
  <c r="R747" i="28"/>
  <c r="Y747" i="28" s="1"/>
  <c r="S747" i="28"/>
  <c r="Z747" i="28" s="1"/>
  <c r="T747" i="28"/>
  <c r="AA747" i="28" s="1"/>
  <c r="U747" i="28"/>
  <c r="AB747" i="28" s="1"/>
  <c r="V747" i="28"/>
  <c r="AC747" i="28" s="1"/>
  <c r="Q748" i="28"/>
  <c r="X748" i="28" s="1"/>
  <c r="R748" i="28"/>
  <c r="Y748" i="28" s="1"/>
  <c r="S748" i="28"/>
  <c r="Z748" i="28" s="1"/>
  <c r="T748" i="28"/>
  <c r="AA748" i="28" s="1"/>
  <c r="U748" i="28"/>
  <c r="AB748" i="28" s="1"/>
  <c r="V748" i="28"/>
  <c r="AC748" i="28" s="1"/>
  <c r="Q749" i="28"/>
  <c r="X749" i="28" s="1"/>
  <c r="R749" i="28"/>
  <c r="Y749" i="28" s="1"/>
  <c r="S749" i="28"/>
  <c r="Z749" i="28" s="1"/>
  <c r="T749" i="28"/>
  <c r="AA749" i="28" s="1"/>
  <c r="U749" i="28"/>
  <c r="AB749" i="28" s="1"/>
  <c r="V749" i="28"/>
  <c r="AC749" i="28" s="1"/>
  <c r="Q750" i="28"/>
  <c r="X750" i="28" s="1"/>
  <c r="R750" i="28"/>
  <c r="Y750" i="28" s="1"/>
  <c r="S750" i="28"/>
  <c r="Z750" i="28" s="1"/>
  <c r="T750" i="28"/>
  <c r="AA750" i="28" s="1"/>
  <c r="U750" i="28"/>
  <c r="AB750" i="28" s="1"/>
  <c r="V750" i="28"/>
  <c r="AC750" i="28" s="1"/>
  <c r="Q751" i="28"/>
  <c r="X751" i="28" s="1"/>
  <c r="R751" i="28"/>
  <c r="Y751" i="28" s="1"/>
  <c r="S751" i="28"/>
  <c r="Z751" i="28" s="1"/>
  <c r="T751" i="28"/>
  <c r="AA751" i="28" s="1"/>
  <c r="U751" i="28"/>
  <c r="AB751" i="28" s="1"/>
  <c r="V751" i="28"/>
  <c r="AC751" i="28" s="1"/>
  <c r="Q752" i="28"/>
  <c r="X752" i="28" s="1"/>
  <c r="R752" i="28"/>
  <c r="Y752" i="28" s="1"/>
  <c r="S752" i="28"/>
  <c r="Z752" i="28" s="1"/>
  <c r="T752" i="28"/>
  <c r="AA752" i="28" s="1"/>
  <c r="U752" i="28"/>
  <c r="AB752" i="28" s="1"/>
  <c r="Q753" i="28"/>
  <c r="X753" i="28" s="1"/>
  <c r="R753" i="28"/>
  <c r="Y753" i="28" s="1"/>
  <c r="S753" i="28"/>
  <c r="Z753" i="28" s="1"/>
  <c r="T753" i="28"/>
  <c r="AA753" i="28" s="1"/>
  <c r="U753" i="28"/>
  <c r="AB753" i="28" s="1"/>
  <c r="V753" i="28"/>
  <c r="AC753" i="28" s="1"/>
  <c r="Q754" i="28"/>
  <c r="X754" i="28" s="1"/>
  <c r="R754" i="28"/>
  <c r="Y754" i="28" s="1"/>
  <c r="S754" i="28"/>
  <c r="Z754" i="28" s="1"/>
  <c r="T754" i="28"/>
  <c r="AA754" i="28" s="1"/>
  <c r="U754" i="28"/>
  <c r="AB754" i="28" s="1"/>
  <c r="V754" i="28"/>
  <c r="AC754" i="28" s="1"/>
  <c r="Q755" i="28"/>
  <c r="X755" i="28" s="1"/>
  <c r="R755" i="28"/>
  <c r="Y755" i="28" s="1"/>
  <c r="S755" i="28"/>
  <c r="Z755" i="28" s="1"/>
  <c r="T755" i="28"/>
  <c r="AA755" i="28" s="1"/>
  <c r="U755" i="28"/>
  <c r="AB755" i="28" s="1"/>
  <c r="V755" i="28"/>
  <c r="AC755" i="28" s="1"/>
  <c r="Q756" i="28"/>
  <c r="X756" i="28" s="1"/>
  <c r="R756" i="28"/>
  <c r="Y756" i="28" s="1"/>
  <c r="S756" i="28"/>
  <c r="Z756" i="28" s="1"/>
  <c r="T756" i="28"/>
  <c r="AA756" i="28" s="1"/>
  <c r="U756" i="28"/>
  <c r="AB756" i="28" s="1"/>
  <c r="V756" i="28"/>
  <c r="AC756" i="28" s="1"/>
  <c r="Q757" i="28"/>
  <c r="X757" i="28" s="1"/>
  <c r="R757" i="28"/>
  <c r="Y757" i="28" s="1"/>
  <c r="S757" i="28"/>
  <c r="Z757" i="28" s="1"/>
  <c r="T757" i="28"/>
  <c r="AA757" i="28" s="1"/>
  <c r="U757" i="28"/>
  <c r="AB757" i="28" s="1"/>
  <c r="V757" i="28"/>
  <c r="AC757" i="28" s="1"/>
  <c r="Q758" i="28"/>
  <c r="X758" i="28" s="1"/>
  <c r="R758" i="28"/>
  <c r="Y758" i="28" s="1"/>
  <c r="S758" i="28"/>
  <c r="Z758" i="28" s="1"/>
  <c r="T758" i="28"/>
  <c r="AA758" i="28" s="1"/>
  <c r="U758" i="28"/>
  <c r="AB758" i="28" s="1"/>
  <c r="V758" i="28"/>
  <c r="AC758" i="28" s="1"/>
  <c r="Q759" i="28"/>
  <c r="X759" i="28" s="1"/>
  <c r="R759" i="28"/>
  <c r="Y759" i="28" s="1"/>
  <c r="S759" i="28"/>
  <c r="Z759" i="28" s="1"/>
  <c r="T759" i="28"/>
  <c r="AA759" i="28" s="1"/>
  <c r="U759" i="28"/>
  <c r="AB759" i="28" s="1"/>
  <c r="V759" i="28"/>
  <c r="AC759" i="28" s="1"/>
  <c r="Q760" i="28"/>
  <c r="X760" i="28" s="1"/>
  <c r="R760" i="28"/>
  <c r="Y760" i="28" s="1"/>
  <c r="S760" i="28"/>
  <c r="Z760" i="28" s="1"/>
  <c r="T760" i="28"/>
  <c r="AA760" i="28" s="1"/>
  <c r="U760" i="28"/>
  <c r="AB760" i="28" s="1"/>
  <c r="Q761" i="28"/>
  <c r="X761" i="28" s="1"/>
  <c r="R761" i="28"/>
  <c r="Y761" i="28" s="1"/>
  <c r="S761" i="28"/>
  <c r="Z761" i="28" s="1"/>
  <c r="T761" i="28"/>
  <c r="AA761" i="28" s="1"/>
  <c r="U761" i="28"/>
  <c r="AB761" i="28" s="1"/>
  <c r="V761" i="28"/>
  <c r="AC761" i="28" s="1"/>
  <c r="Q762" i="28"/>
  <c r="X762" i="28" s="1"/>
  <c r="R762" i="28"/>
  <c r="Y762" i="28" s="1"/>
  <c r="S762" i="28"/>
  <c r="Z762" i="28" s="1"/>
  <c r="T762" i="28"/>
  <c r="AA762" i="28" s="1"/>
  <c r="U762" i="28"/>
  <c r="AB762" i="28" s="1"/>
  <c r="V762" i="28"/>
  <c r="AC762" i="28" s="1"/>
  <c r="Q763" i="28"/>
  <c r="X763" i="28" s="1"/>
  <c r="R763" i="28"/>
  <c r="Y763" i="28" s="1"/>
  <c r="S763" i="28"/>
  <c r="Z763" i="28" s="1"/>
  <c r="T763" i="28"/>
  <c r="AA763" i="28" s="1"/>
  <c r="U763" i="28"/>
  <c r="AB763" i="28" s="1"/>
  <c r="V763" i="28"/>
  <c r="AC763" i="28" s="1"/>
  <c r="Q764" i="28"/>
  <c r="X764" i="28" s="1"/>
  <c r="R764" i="28"/>
  <c r="Y764" i="28" s="1"/>
  <c r="S764" i="28"/>
  <c r="Z764" i="28" s="1"/>
  <c r="T764" i="28"/>
  <c r="AA764" i="28" s="1"/>
  <c r="U764" i="28"/>
  <c r="AB764" i="28" s="1"/>
  <c r="V764" i="28"/>
  <c r="AC764" i="28" s="1"/>
  <c r="Q765" i="28"/>
  <c r="X765" i="28" s="1"/>
  <c r="R765" i="28"/>
  <c r="Y765" i="28" s="1"/>
  <c r="S765" i="28"/>
  <c r="Z765" i="28" s="1"/>
  <c r="T765" i="28"/>
  <c r="AA765" i="28" s="1"/>
  <c r="U765" i="28"/>
  <c r="AB765" i="28" s="1"/>
  <c r="V765" i="28"/>
  <c r="AC765" i="28" s="1"/>
  <c r="Q766" i="28"/>
  <c r="X766" i="28" s="1"/>
  <c r="R766" i="28"/>
  <c r="Y766" i="28" s="1"/>
  <c r="S766" i="28"/>
  <c r="Z766" i="28" s="1"/>
  <c r="T766" i="28"/>
  <c r="AA766" i="28" s="1"/>
  <c r="U766" i="28"/>
  <c r="AB766" i="28" s="1"/>
  <c r="V766" i="28"/>
  <c r="AC766" i="28" s="1"/>
  <c r="Q767" i="28"/>
  <c r="X767" i="28" s="1"/>
  <c r="R767" i="28"/>
  <c r="Y767" i="28" s="1"/>
  <c r="S767" i="28"/>
  <c r="Z767" i="28" s="1"/>
  <c r="T767" i="28"/>
  <c r="AA767" i="28" s="1"/>
  <c r="U767" i="28"/>
  <c r="AB767" i="28" s="1"/>
  <c r="V767" i="28"/>
  <c r="AC767" i="28" s="1"/>
  <c r="Q768" i="28"/>
  <c r="X768" i="28" s="1"/>
  <c r="R768" i="28"/>
  <c r="Y768" i="28" s="1"/>
  <c r="S768" i="28"/>
  <c r="Z768" i="28" s="1"/>
  <c r="T768" i="28"/>
  <c r="AA768" i="28" s="1"/>
  <c r="U768" i="28"/>
  <c r="AB768" i="28" s="1"/>
  <c r="Q769" i="28"/>
  <c r="X769" i="28" s="1"/>
  <c r="R769" i="28"/>
  <c r="Y769" i="28" s="1"/>
  <c r="S769" i="28"/>
  <c r="Z769" i="28" s="1"/>
  <c r="T769" i="28"/>
  <c r="AA769" i="28" s="1"/>
  <c r="U769" i="28"/>
  <c r="AB769" i="28" s="1"/>
  <c r="V769" i="28"/>
  <c r="AC769" i="28" s="1"/>
  <c r="Q770" i="28"/>
  <c r="X770" i="28" s="1"/>
  <c r="R770" i="28"/>
  <c r="Y770" i="28" s="1"/>
  <c r="S770" i="28"/>
  <c r="Z770" i="28" s="1"/>
  <c r="T770" i="28"/>
  <c r="AA770" i="28" s="1"/>
  <c r="U770" i="28"/>
  <c r="AB770" i="28" s="1"/>
  <c r="V770" i="28"/>
  <c r="AC770" i="28" s="1"/>
  <c r="Q771" i="28"/>
  <c r="X771" i="28" s="1"/>
  <c r="R771" i="28"/>
  <c r="Y771" i="28" s="1"/>
  <c r="S771" i="28"/>
  <c r="Z771" i="28" s="1"/>
  <c r="T771" i="28"/>
  <c r="AA771" i="28" s="1"/>
  <c r="U771" i="28"/>
  <c r="AB771" i="28" s="1"/>
  <c r="V771" i="28"/>
  <c r="AC771" i="28" s="1"/>
  <c r="Q772" i="28"/>
  <c r="X772" i="28" s="1"/>
  <c r="R772" i="28"/>
  <c r="Y772" i="28" s="1"/>
  <c r="S772" i="28"/>
  <c r="Z772" i="28" s="1"/>
  <c r="T772" i="28"/>
  <c r="AA772" i="28" s="1"/>
  <c r="U772" i="28"/>
  <c r="AB772" i="28" s="1"/>
  <c r="V772" i="28"/>
  <c r="AC772" i="28" s="1"/>
  <c r="Q773" i="28"/>
  <c r="X773" i="28" s="1"/>
  <c r="R773" i="28"/>
  <c r="Y773" i="28" s="1"/>
  <c r="S773" i="28"/>
  <c r="Z773" i="28" s="1"/>
  <c r="T773" i="28"/>
  <c r="AA773" i="28" s="1"/>
  <c r="U773" i="28"/>
  <c r="AB773" i="28" s="1"/>
  <c r="V773" i="28"/>
  <c r="AC773" i="28" s="1"/>
  <c r="Q774" i="28"/>
  <c r="X774" i="28" s="1"/>
  <c r="R774" i="28"/>
  <c r="Y774" i="28" s="1"/>
  <c r="S774" i="28"/>
  <c r="Z774" i="28" s="1"/>
  <c r="T774" i="28"/>
  <c r="AA774" i="28" s="1"/>
  <c r="U774" i="28"/>
  <c r="AB774" i="28" s="1"/>
  <c r="V774" i="28"/>
  <c r="AC774" i="28" s="1"/>
  <c r="Q775" i="28"/>
  <c r="X775" i="28" s="1"/>
  <c r="R775" i="28"/>
  <c r="Y775" i="28" s="1"/>
  <c r="S775" i="28"/>
  <c r="Z775" i="28" s="1"/>
  <c r="T775" i="28"/>
  <c r="AA775" i="28" s="1"/>
  <c r="U775" i="28"/>
  <c r="AB775" i="28" s="1"/>
  <c r="V775" i="28"/>
  <c r="AC775" i="28" s="1"/>
  <c r="Q776" i="28"/>
  <c r="X776" i="28" s="1"/>
  <c r="R776" i="28"/>
  <c r="Y776" i="28" s="1"/>
  <c r="S776" i="28"/>
  <c r="Z776" i="28" s="1"/>
  <c r="T776" i="28"/>
  <c r="AA776" i="28" s="1"/>
  <c r="U776" i="28"/>
  <c r="AB776" i="28" s="1"/>
  <c r="Q777" i="28"/>
  <c r="X777" i="28" s="1"/>
  <c r="R777" i="28"/>
  <c r="Y777" i="28" s="1"/>
  <c r="S777" i="28"/>
  <c r="Z777" i="28" s="1"/>
  <c r="T777" i="28"/>
  <c r="AA777" i="28" s="1"/>
  <c r="U777" i="28"/>
  <c r="AB777" i="28" s="1"/>
  <c r="V777" i="28"/>
  <c r="AC777" i="28" s="1"/>
  <c r="Q778" i="28"/>
  <c r="X778" i="28" s="1"/>
  <c r="R778" i="28"/>
  <c r="Y778" i="28" s="1"/>
  <c r="S778" i="28"/>
  <c r="Z778" i="28" s="1"/>
  <c r="T778" i="28"/>
  <c r="AA778" i="28" s="1"/>
  <c r="U778" i="28"/>
  <c r="AB778" i="28" s="1"/>
  <c r="V778" i="28"/>
  <c r="AC778" i="28" s="1"/>
  <c r="Q779" i="28"/>
  <c r="X779" i="28" s="1"/>
  <c r="R779" i="28"/>
  <c r="Y779" i="28" s="1"/>
  <c r="S779" i="28"/>
  <c r="Z779" i="28" s="1"/>
  <c r="T779" i="28"/>
  <c r="AA779" i="28" s="1"/>
  <c r="U779" i="28"/>
  <c r="AB779" i="28" s="1"/>
  <c r="V779" i="28"/>
  <c r="AC779" i="28" s="1"/>
  <c r="Q780" i="28"/>
  <c r="X780" i="28" s="1"/>
  <c r="R780" i="28"/>
  <c r="Y780" i="28" s="1"/>
  <c r="S780" i="28"/>
  <c r="Z780" i="28" s="1"/>
  <c r="T780" i="28"/>
  <c r="AA780" i="28" s="1"/>
  <c r="U780" i="28"/>
  <c r="AB780" i="28" s="1"/>
  <c r="V780" i="28"/>
  <c r="AC780" i="28" s="1"/>
  <c r="Q781" i="28"/>
  <c r="X781" i="28" s="1"/>
  <c r="R781" i="28"/>
  <c r="Y781" i="28" s="1"/>
  <c r="S781" i="28"/>
  <c r="Z781" i="28" s="1"/>
  <c r="T781" i="28"/>
  <c r="AA781" i="28" s="1"/>
  <c r="U781" i="28"/>
  <c r="AB781" i="28" s="1"/>
  <c r="V781" i="28"/>
  <c r="AC781" i="28" s="1"/>
  <c r="Q782" i="28"/>
  <c r="X782" i="28" s="1"/>
  <c r="R782" i="28"/>
  <c r="Y782" i="28" s="1"/>
  <c r="S782" i="28"/>
  <c r="Z782" i="28" s="1"/>
  <c r="T782" i="28"/>
  <c r="AA782" i="28" s="1"/>
  <c r="U782" i="28"/>
  <c r="AB782" i="28" s="1"/>
  <c r="V782" i="28"/>
  <c r="AC782" i="28" s="1"/>
  <c r="Q783" i="28"/>
  <c r="X783" i="28" s="1"/>
  <c r="R783" i="28"/>
  <c r="Y783" i="28" s="1"/>
  <c r="S783" i="28"/>
  <c r="Z783" i="28" s="1"/>
  <c r="T783" i="28"/>
  <c r="AA783" i="28" s="1"/>
  <c r="U783" i="28"/>
  <c r="AB783" i="28" s="1"/>
  <c r="V783" i="28"/>
  <c r="AC783" i="28" s="1"/>
  <c r="Q784" i="28"/>
  <c r="X784" i="28" s="1"/>
  <c r="R784" i="28"/>
  <c r="Y784" i="28" s="1"/>
  <c r="S784" i="28"/>
  <c r="Z784" i="28" s="1"/>
  <c r="T784" i="28"/>
  <c r="AA784" i="28" s="1"/>
  <c r="U784" i="28"/>
  <c r="AB784" i="28" s="1"/>
  <c r="Q785" i="28"/>
  <c r="X785" i="28" s="1"/>
  <c r="R785" i="28"/>
  <c r="Y785" i="28" s="1"/>
  <c r="S785" i="28"/>
  <c r="Z785" i="28" s="1"/>
  <c r="T785" i="28"/>
  <c r="AA785" i="28" s="1"/>
  <c r="U785" i="28"/>
  <c r="AB785" i="28" s="1"/>
  <c r="V785" i="28"/>
  <c r="AC785" i="28" s="1"/>
  <c r="Q786" i="28"/>
  <c r="X786" i="28" s="1"/>
  <c r="R786" i="28"/>
  <c r="Y786" i="28" s="1"/>
  <c r="S786" i="28"/>
  <c r="Z786" i="28" s="1"/>
  <c r="T786" i="28"/>
  <c r="AA786" i="28" s="1"/>
  <c r="U786" i="28"/>
  <c r="AB786" i="28" s="1"/>
  <c r="V786" i="28"/>
  <c r="AC786" i="28" s="1"/>
  <c r="Q787" i="28"/>
  <c r="X787" i="28" s="1"/>
  <c r="R787" i="28"/>
  <c r="Y787" i="28" s="1"/>
  <c r="S787" i="28"/>
  <c r="Z787" i="28" s="1"/>
  <c r="T787" i="28"/>
  <c r="AA787" i="28" s="1"/>
  <c r="U787" i="28"/>
  <c r="AB787" i="28" s="1"/>
  <c r="V787" i="28"/>
  <c r="AC787" i="28" s="1"/>
  <c r="Q788" i="28"/>
  <c r="X788" i="28" s="1"/>
  <c r="R788" i="28"/>
  <c r="Y788" i="28" s="1"/>
  <c r="S788" i="28"/>
  <c r="Z788" i="28" s="1"/>
  <c r="T788" i="28"/>
  <c r="AA788" i="28" s="1"/>
  <c r="U788" i="28"/>
  <c r="AB788" i="28" s="1"/>
  <c r="V788" i="28"/>
  <c r="AC788" i="28" s="1"/>
  <c r="Q789" i="28"/>
  <c r="X789" i="28" s="1"/>
  <c r="R789" i="28"/>
  <c r="Y789" i="28" s="1"/>
  <c r="S789" i="28"/>
  <c r="Z789" i="28" s="1"/>
  <c r="T789" i="28"/>
  <c r="AA789" i="28" s="1"/>
  <c r="U789" i="28"/>
  <c r="AB789" i="28" s="1"/>
  <c r="V789" i="28"/>
  <c r="AC789" i="28" s="1"/>
  <c r="Q790" i="28"/>
  <c r="X790" i="28" s="1"/>
  <c r="R790" i="28"/>
  <c r="Y790" i="28" s="1"/>
  <c r="S790" i="28"/>
  <c r="Z790" i="28" s="1"/>
  <c r="T790" i="28"/>
  <c r="AA790" i="28" s="1"/>
  <c r="U790" i="28"/>
  <c r="AB790" i="28" s="1"/>
  <c r="V790" i="28"/>
  <c r="AC790" i="28" s="1"/>
  <c r="Q791" i="28"/>
  <c r="X791" i="28" s="1"/>
  <c r="R791" i="28"/>
  <c r="Y791" i="28" s="1"/>
  <c r="S791" i="28"/>
  <c r="Z791" i="28" s="1"/>
  <c r="T791" i="28"/>
  <c r="AA791" i="28" s="1"/>
  <c r="U791" i="28"/>
  <c r="AB791" i="28" s="1"/>
  <c r="V791" i="28"/>
  <c r="AC791" i="28" s="1"/>
  <c r="Q792" i="28"/>
  <c r="X792" i="28" s="1"/>
  <c r="R792" i="28"/>
  <c r="Y792" i="28" s="1"/>
  <c r="S792" i="28"/>
  <c r="Z792" i="28" s="1"/>
  <c r="T792" i="28"/>
  <c r="AA792" i="28" s="1"/>
  <c r="U792" i="28"/>
  <c r="AB792" i="28" s="1"/>
  <c r="Q793" i="28"/>
  <c r="X793" i="28" s="1"/>
  <c r="R793" i="28"/>
  <c r="Y793" i="28" s="1"/>
  <c r="S793" i="28"/>
  <c r="Z793" i="28" s="1"/>
  <c r="T793" i="28"/>
  <c r="AA793" i="28" s="1"/>
  <c r="U793" i="28"/>
  <c r="AB793" i="28" s="1"/>
  <c r="V793" i="28"/>
  <c r="AC793" i="28" s="1"/>
  <c r="Q794" i="28"/>
  <c r="X794" i="28" s="1"/>
  <c r="R794" i="28"/>
  <c r="Y794" i="28" s="1"/>
  <c r="S794" i="28"/>
  <c r="Z794" i="28" s="1"/>
  <c r="T794" i="28"/>
  <c r="AA794" i="28" s="1"/>
  <c r="U794" i="28"/>
  <c r="AB794" i="28" s="1"/>
  <c r="V794" i="28"/>
  <c r="AC794" i="28" s="1"/>
  <c r="Q795" i="28"/>
  <c r="X795" i="28" s="1"/>
  <c r="R795" i="28"/>
  <c r="Y795" i="28" s="1"/>
  <c r="S795" i="28"/>
  <c r="Z795" i="28" s="1"/>
  <c r="T795" i="28"/>
  <c r="AA795" i="28" s="1"/>
  <c r="U795" i="28"/>
  <c r="AB795" i="28" s="1"/>
  <c r="V795" i="28"/>
  <c r="AC795" i="28" s="1"/>
  <c r="Q796" i="28"/>
  <c r="X796" i="28" s="1"/>
  <c r="R796" i="28"/>
  <c r="Y796" i="28" s="1"/>
  <c r="S796" i="28"/>
  <c r="Z796" i="28" s="1"/>
  <c r="T796" i="28"/>
  <c r="AA796" i="28" s="1"/>
  <c r="U796" i="28"/>
  <c r="AB796" i="28" s="1"/>
  <c r="V796" i="28"/>
  <c r="AC796" i="28" s="1"/>
  <c r="Q797" i="28"/>
  <c r="X797" i="28" s="1"/>
  <c r="R797" i="28"/>
  <c r="Y797" i="28" s="1"/>
  <c r="S797" i="28"/>
  <c r="Z797" i="28" s="1"/>
  <c r="T797" i="28"/>
  <c r="AA797" i="28" s="1"/>
  <c r="U797" i="28"/>
  <c r="AB797" i="28" s="1"/>
  <c r="V797" i="28"/>
  <c r="AC797" i="28" s="1"/>
  <c r="Q798" i="28"/>
  <c r="X798" i="28" s="1"/>
  <c r="R798" i="28"/>
  <c r="Y798" i="28" s="1"/>
  <c r="S798" i="28"/>
  <c r="Z798" i="28" s="1"/>
  <c r="T798" i="28"/>
  <c r="AA798" i="28" s="1"/>
  <c r="U798" i="28"/>
  <c r="AB798" i="28" s="1"/>
  <c r="V798" i="28"/>
  <c r="AC798" i="28" s="1"/>
  <c r="Q799" i="28"/>
  <c r="X799" i="28" s="1"/>
  <c r="R799" i="28"/>
  <c r="Y799" i="28" s="1"/>
  <c r="S799" i="28"/>
  <c r="Z799" i="28" s="1"/>
  <c r="T799" i="28"/>
  <c r="AA799" i="28" s="1"/>
  <c r="U799" i="28"/>
  <c r="AB799" i="28" s="1"/>
  <c r="V799" i="28"/>
  <c r="AC799" i="28" s="1"/>
  <c r="Q800" i="28"/>
  <c r="X800" i="28" s="1"/>
  <c r="R800" i="28"/>
  <c r="Y800" i="28" s="1"/>
  <c r="S800" i="28"/>
  <c r="Z800" i="28" s="1"/>
  <c r="T800" i="28"/>
  <c r="AA800" i="28" s="1"/>
  <c r="U800" i="28"/>
  <c r="AB800" i="28" s="1"/>
  <c r="Q801" i="28"/>
  <c r="X801" i="28" s="1"/>
  <c r="R801" i="28"/>
  <c r="Y801" i="28" s="1"/>
  <c r="S801" i="28"/>
  <c r="Z801" i="28" s="1"/>
  <c r="T801" i="28"/>
  <c r="AA801" i="28" s="1"/>
  <c r="U801" i="28"/>
  <c r="AB801" i="28" s="1"/>
  <c r="V801" i="28"/>
  <c r="AC801" i="28" s="1"/>
  <c r="Q802" i="28"/>
  <c r="X802" i="28" s="1"/>
  <c r="R802" i="28"/>
  <c r="Y802" i="28" s="1"/>
  <c r="S802" i="28"/>
  <c r="Z802" i="28" s="1"/>
  <c r="T802" i="28"/>
  <c r="AA802" i="28" s="1"/>
  <c r="U802" i="28"/>
  <c r="AB802" i="28" s="1"/>
  <c r="V802" i="28"/>
  <c r="AC802" i="28" s="1"/>
  <c r="Q803" i="28"/>
  <c r="X803" i="28" s="1"/>
  <c r="R803" i="28"/>
  <c r="Y803" i="28" s="1"/>
  <c r="S803" i="28"/>
  <c r="Z803" i="28" s="1"/>
  <c r="T803" i="28"/>
  <c r="AA803" i="28" s="1"/>
  <c r="U803" i="28"/>
  <c r="AB803" i="28" s="1"/>
  <c r="V803" i="28"/>
  <c r="AC803" i="28" s="1"/>
  <c r="Q804" i="28"/>
  <c r="X804" i="28" s="1"/>
  <c r="R804" i="28"/>
  <c r="Y804" i="28" s="1"/>
  <c r="S804" i="28"/>
  <c r="Z804" i="28" s="1"/>
  <c r="T804" i="28"/>
  <c r="AA804" i="28" s="1"/>
  <c r="U804" i="28"/>
  <c r="AB804" i="28" s="1"/>
  <c r="V804" i="28"/>
  <c r="AC804" i="28" s="1"/>
  <c r="Q805" i="28"/>
  <c r="X805" i="28" s="1"/>
  <c r="R805" i="28"/>
  <c r="Y805" i="28" s="1"/>
  <c r="S805" i="28"/>
  <c r="Z805" i="28" s="1"/>
  <c r="T805" i="28"/>
  <c r="AA805" i="28" s="1"/>
  <c r="U805" i="28"/>
  <c r="AB805" i="28" s="1"/>
  <c r="V805" i="28"/>
  <c r="AC805" i="28" s="1"/>
  <c r="Q806" i="28"/>
  <c r="X806" i="28" s="1"/>
  <c r="R806" i="28"/>
  <c r="Y806" i="28" s="1"/>
  <c r="S806" i="28"/>
  <c r="Z806" i="28" s="1"/>
  <c r="T806" i="28"/>
  <c r="AA806" i="28" s="1"/>
  <c r="U806" i="28"/>
  <c r="AB806" i="28" s="1"/>
  <c r="V806" i="28"/>
  <c r="AC806" i="28" s="1"/>
  <c r="Q807" i="28"/>
  <c r="X807" i="28" s="1"/>
  <c r="R807" i="28"/>
  <c r="Y807" i="28" s="1"/>
  <c r="S807" i="28"/>
  <c r="Z807" i="28" s="1"/>
  <c r="T807" i="28"/>
  <c r="AA807" i="28" s="1"/>
  <c r="U807" i="28"/>
  <c r="AB807" i="28" s="1"/>
  <c r="V807" i="28"/>
  <c r="AC807" i="28" s="1"/>
  <c r="Q808" i="28"/>
  <c r="X808" i="28" s="1"/>
  <c r="R808" i="28"/>
  <c r="Y808" i="28" s="1"/>
  <c r="S808" i="28"/>
  <c r="Z808" i="28" s="1"/>
  <c r="T808" i="28"/>
  <c r="AA808" i="28" s="1"/>
  <c r="U808" i="28"/>
  <c r="AB808" i="28" s="1"/>
  <c r="Q809" i="28"/>
  <c r="X809" i="28" s="1"/>
  <c r="R809" i="28"/>
  <c r="Y809" i="28" s="1"/>
  <c r="S809" i="28"/>
  <c r="Z809" i="28" s="1"/>
  <c r="T809" i="28"/>
  <c r="AA809" i="28" s="1"/>
  <c r="U809" i="28"/>
  <c r="AB809" i="28" s="1"/>
  <c r="V809" i="28"/>
  <c r="AC809" i="28" s="1"/>
  <c r="Q810" i="28"/>
  <c r="X810" i="28" s="1"/>
  <c r="R810" i="28"/>
  <c r="Y810" i="28" s="1"/>
  <c r="S810" i="28"/>
  <c r="Z810" i="28" s="1"/>
  <c r="T810" i="28"/>
  <c r="AA810" i="28" s="1"/>
  <c r="U810" i="28"/>
  <c r="AB810" i="28" s="1"/>
  <c r="V810" i="28"/>
  <c r="AC810" i="28" s="1"/>
  <c r="Q811" i="28"/>
  <c r="X811" i="28" s="1"/>
  <c r="R811" i="28"/>
  <c r="Y811" i="28" s="1"/>
  <c r="S811" i="28"/>
  <c r="Z811" i="28" s="1"/>
  <c r="T811" i="28"/>
  <c r="AA811" i="28" s="1"/>
  <c r="U811" i="28"/>
  <c r="AB811" i="28" s="1"/>
  <c r="V811" i="28"/>
  <c r="AC811" i="28" s="1"/>
  <c r="Q812" i="28"/>
  <c r="X812" i="28" s="1"/>
  <c r="R812" i="28"/>
  <c r="Y812" i="28" s="1"/>
  <c r="S812" i="28"/>
  <c r="Z812" i="28" s="1"/>
  <c r="T812" i="28"/>
  <c r="AA812" i="28" s="1"/>
  <c r="U812" i="28"/>
  <c r="AB812" i="28" s="1"/>
  <c r="V812" i="28"/>
  <c r="AC812" i="28" s="1"/>
  <c r="Q813" i="28"/>
  <c r="X813" i="28" s="1"/>
  <c r="R813" i="28"/>
  <c r="Y813" i="28" s="1"/>
  <c r="S813" i="28"/>
  <c r="Z813" i="28" s="1"/>
  <c r="T813" i="28"/>
  <c r="AA813" i="28" s="1"/>
  <c r="U813" i="28"/>
  <c r="AB813" i="28" s="1"/>
  <c r="V813" i="28"/>
  <c r="AC813" i="28" s="1"/>
  <c r="Q814" i="28"/>
  <c r="X814" i="28" s="1"/>
  <c r="R814" i="28"/>
  <c r="Y814" i="28" s="1"/>
  <c r="S814" i="28"/>
  <c r="Z814" i="28" s="1"/>
  <c r="T814" i="28"/>
  <c r="AA814" i="28" s="1"/>
  <c r="U814" i="28"/>
  <c r="AB814" i="28" s="1"/>
  <c r="V814" i="28"/>
  <c r="AC814" i="28" s="1"/>
  <c r="Q815" i="28"/>
  <c r="X815" i="28" s="1"/>
  <c r="R815" i="28"/>
  <c r="Y815" i="28" s="1"/>
  <c r="S815" i="28"/>
  <c r="Z815" i="28" s="1"/>
  <c r="T815" i="28"/>
  <c r="AA815" i="28" s="1"/>
  <c r="U815" i="28"/>
  <c r="AB815" i="28" s="1"/>
  <c r="V815" i="28"/>
  <c r="AC815" i="28" s="1"/>
  <c r="Q816" i="28"/>
  <c r="X816" i="28" s="1"/>
  <c r="R816" i="28"/>
  <c r="Y816" i="28" s="1"/>
  <c r="S816" i="28"/>
  <c r="Z816" i="28" s="1"/>
  <c r="T816" i="28"/>
  <c r="AA816" i="28" s="1"/>
  <c r="U816" i="28"/>
  <c r="AB816" i="28" s="1"/>
  <c r="Q817" i="28"/>
  <c r="X817" i="28" s="1"/>
  <c r="R817" i="28"/>
  <c r="Y817" i="28" s="1"/>
  <c r="S817" i="28"/>
  <c r="Z817" i="28" s="1"/>
  <c r="T817" i="28"/>
  <c r="AA817" i="28" s="1"/>
  <c r="U817" i="28"/>
  <c r="AB817" i="28" s="1"/>
  <c r="V817" i="28"/>
  <c r="AC817" i="28" s="1"/>
  <c r="Q818" i="28"/>
  <c r="X818" i="28" s="1"/>
  <c r="R818" i="28"/>
  <c r="Y818" i="28" s="1"/>
  <c r="S818" i="28"/>
  <c r="Z818" i="28" s="1"/>
  <c r="T818" i="28"/>
  <c r="AA818" i="28" s="1"/>
  <c r="U818" i="28"/>
  <c r="AB818" i="28" s="1"/>
  <c r="V818" i="28"/>
  <c r="AC818" i="28" s="1"/>
  <c r="Q819" i="28"/>
  <c r="X819" i="28" s="1"/>
  <c r="R819" i="28"/>
  <c r="Y819" i="28" s="1"/>
  <c r="S819" i="28"/>
  <c r="Z819" i="28" s="1"/>
  <c r="T819" i="28"/>
  <c r="AA819" i="28" s="1"/>
  <c r="U819" i="28"/>
  <c r="AB819" i="28" s="1"/>
  <c r="V819" i="28"/>
  <c r="AC819" i="28" s="1"/>
  <c r="Q820" i="28"/>
  <c r="X820" i="28" s="1"/>
  <c r="R820" i="28"/>
  <c r="Y820" i="28" s="1"/>
  <c r="S820" i="28"/>
  <c r="Z820" i="28" s="1"/>
  <c r="T820" i="28"/>
  <c r="AA820" i="28" s="1"/>
  <c r="U820" i="28"/>
  <c r="AB820" i="28" s="1"/>
  <c r="V820" i="28"/>
  <c r="AC820" i="28" s="1"/>
  <c r="Q821" i="28"/>
  <c r="X821" i="28" s="1"/>
  <c r="R821" i="28"/>
  <c r="Y821" i="28" s="1"/>
  <c r="S821" i="28"/>
  <c r="Z821" i="28" s="1"/>
  <c r="T821" i="28"/>
  <c r="AA821" i="28" s="1"/>
  <c r="U821" i="28"/>
  <c r="AB821" i="28" s="1"/>
  <c r="V821" i="28"/>
  <c r="AC821" i="28" s="1"/>
  <c r="Q822" i="28"/>
  <c r="X822" i="28" s="1"/>
  <c r="R822" i="28"/>
  <c r="Y822" i="28" s="1"/>
  <c r="S822" i="28"/>
  <c r="Z822" i="28" s="1"/>
  <c r="T822" i="28"/>
  <c r="AA822" i="28" s="1"/>
  <c r="U822" i="28"/>
  <c r="AB822" i="28" s="1"/>
  <c r="V822" i="28"/>
  <c r="AC822" i="28" s="1"/>
  <c r="Q823" i="28"/>
  <c r="X823" i="28" s="1"/>
  <c r="R823" i="28"/>
  <c r="Y823" i="28" s="1"/>
  <c r="S823" i="28"/>
  <c r="Z823" i="28" s="1"/>
  <c r="T823" i="28"/>
  <c r="AA823" i="28" s="1"/>
  <c r="U823" i="28"/>
  <c r="AB823" i="28" s="1"/>
  <c r="V823" i="28"/>
  <c r="AC823" i="28" s="1"/>
  <c r="Q824" i="28"/>
  <c r="X824" i="28" s="1"/>
  <c r="R824" i="28"/>
  <c r="Y824" i="28" s="1"/>
  <c r="S824" i="28"/>
  <c r="Z824" i="28" s="1"/>
  <c r="T824" i="28"/>
  <c r="AA824" i="28" s="1"/>
  <c r="U824" i="28"/>
  <c r="AB824" i="28" s="1"/>
  <c r="Q825" i="28"/>
  <c r="X825" i="28" s="1"/>
  <c r="R825" i="28"/>
  <c r="Y825" i="28" s="1"/>
  <c r="S825" i="28"/>
  <c r="Z825" i="28" s="1"/>
  <c r="T825" i="28"/>
  <c r="AA825" i="28" s="1"/>
  <c r="U825" i="28"/>
  <c r="AB825" i="28" s="1"/>
  <c r="V825" i="28"/>
  <c r="AC825" i="28" s="1"/>
  <c r="Q826" i="28"/>
  <c r="X826" i="28" s="1"/>
  <c r="R826" i="28"/>
  <c r="Y826" i="28" s="1"/>
  <c r="S826" i="28"/>
  <c r="Z826" i="28" s="1"/>
  <c r="T826" i="28"/>
  <c r="AA826" i="28" s="1"/>
  <c r="U826" i="28"/>
  <c r="AB826" i="28" s="1"/>
  <c r="V826" i="28"/>
  <c r="AC826" i="28" s="1"/>
  <c r="Q827" i="28"/>
  <c r="X827" i="28" s="1"/>
  <c r="R827" i="28"/>
  <c r="Y827" i="28" s="1"/>
  <c r="S827" i="28"/>
  <c r="Z827" i="28" s="1"/>
  <c r="T827" i="28"/>
  <c r="AA827" i="28" s="1"/>
  <c r="U827" i="28"/>
  <c r="AB827" i="28" s="1"/>
  <c r="V827" i="28"/>
  <c r="AC827" i="28" s="1"/>
  <c r="Q828" i="28"/>
  <c r="X828" i="28" s="1"/>
  <c r="R828" i="28"/>
  <c r="Y828" i="28" s="1"/>
  <c r="S828" i="28"/>
  <c r="Z828" i="28" s="1"/>
  <c r="T828" i="28"/>
  <c r="AA828" i="28" s="1"/>
  <c r="U828" i="28"/>
  <c r="AB828" i="28" s="1"/>
  <c r="V828" i="28"/>
  <c r="AC828" i="28" s="1"/>
  <c r="Q829" i="28"/>
  <c r="X829" i="28" s="1"/>
  <c r="R829" i="28"/>
  <c r="Y829" i="28" s="1"/>
  <c r="S829" i="28"/>
  <c r="Z829" i="28" s="1"/>
  <c r="T829" i="28"/>
  <c r="AA829" i="28" s="1"/>
  <c r="U829" i="28"/>
  <c r="AB829" i="28" s="1"/>
  <c r="V829" i="28"/>
  <c r="AC829" i="28" s="1"/>
  <c r="Q830" i="28"/>
  <c r="X830" i="28" s="1"/>
  <c r="R830" i="28"/>
  <c r="Y830" i="28" s="1"/>
  <c r="S830" i="28"/>
  <c r="Z830" i="28" s="1"/>
  <c r="T830" i="28"/>
  <c r="AA830" i="28" s="1"/>
  <c r="U830" i="28"/>
  <c r="AB830" i="28" s="1"/>
  <c r="V830" i="28"/>
  <c r="AC830" i="28" s="1"/>
  <c r="Q831" i="28"/>
  <c r="X831" i="28" s="1"/>
  <c r="R831" i="28"/>
  <c r="Y831" i="28" s="1"/>
  <c r="S831" i="28"/>
  <c r="Z831" i="28" s="1"/>
  <c r="T831" i="28"/>
  <c r="AA831" i="28" s="1"/>
  <c r="U831" i="28"/>
  <c r="AB831" i="28" s="1"/>
  <c r="V831" i="28"/>
  <c r="AC831" i="28" s="1"/>
  <c r="Q832" i="28"/>
  <c r="X832" i="28" s="1"/>
  <c r="R832" i="28"/>
  <c r="Y832" i="28" s="1"/>
  <c r="S832" i="28"/>
  <c r="Z832" i="28" s="1"/>
  <c r="T832" i="28"/>
  <c r="AA832" i="28" s="1"/>
  <c r="U832" i="28"/>
  <c r="AB832" i="28" s="1"/>
  <c r="Q833" i="28"/>
  <c r="X833" i="28" s="1"/>
  <c r="R833" i="28"/>
  <c r="Y833" i="28" s="1"/>
  <c r="S833" i="28"/>
  <c r="Z833" i="28" s="1"/>
  <c r="T833" i="28"/>
  <c r="AA833" i="28" s="1"/>
  <c r="U833" i="28"/>
  <c r="AB833" i="28" s="1"/>
  <c r="V833" i="28"/>
  <c r="AC833" i="28" s="1"/>
  <c r="Q834" i="28"/>
  <c r="X834" i="28" s="1"/>
  <c r="R834" i="28"/>
  <c r="Y834" i="28" s="1"/>
  <c r="S834" i="28"/>
  <c r="Z834" i="28" s="1"/>
  <c r="T834" i="28"/>
  <c r="AA834" i="28" s="1"/>
  <c r="U834" i="28"/>
  <c r="AB834" i="28" s="1"/>
  <c r="V834" i="28"/>
  <c r="AC834" i="28" s="1"/>
  <c r="Q835" i="28"/>
  <c r="X835" i="28" s="1"/>
  <c r="R835" i="28"/>
  <c r="Y835" i="28" s="1"/>
  <c r="S835" i="28"/>
  <c r="Z835" i="28" s="1"/>
  <c r="T835" i="28"/>
  <c r="AA835" i="28" s="1"/>
  <c r="U835" i="28"/>
  <c r="AB835" i="28" s="1"/>
  <c r="V835" i="28"/>
  <c r="AC835" i="28" s="1"/>
  <c r="Q836" i="28"/>
  <c r="X836" i="28" s="1"/>
  <c r="R836" i="28"/>
  <c r="Y836" i="28" s="1"/>
  <c r="S836" i="28"/>
  <c r="Z836" i="28" s="1"/>
  <c r="T836" i="28"/>
  <c r="AA836" i="28" s="1"/>
  <c r="U836" i="28"/>
  <c r="AB836" i="28" s="1"/>
  <c r="V836" i="28"/>
  <c r="AC836" i="28" s="1"/>
  <c r="Q837" i="28"/>
  <c r="X837" i="28" s="1"/>
  <c r="R837" i="28"/>
  <c r="Y837" i="28" s="1"/>
  <c r="S837" i="28"/>
  <c r="Z837" i="28" s="1"/>
  <c r="T837" i="28"/>
  <c r="AA837" i="28" s="1"/>
  <c r="U837" i="28"/>
  <c r="AB837" i="28" s="1"/>
  <c r="V837" i="28"/>
  <c r="AC837" i="28" s="1"/>
  <c r="Q838" i="28"/>
  <c r="X838" i="28" s="1"/>
  <c r="R838" i="28"/>
  <c r="Y838" i="28" s="1"/>
  <c r="S838" i="28"/>
  <c r="Z838" i="28" s="1"/>
  <c r="T838" i="28"/>
  <c r="AA838" i="28" s="1"/>
  <c r="U838" i="28"/>
  <c r="AB838" i="28" s="1"/>
  <c r="V838" i="28"/>
  <c r="AC838" i="28" s="1"/>
  <c r="Q839" i="28"/>
  <c r="X839" i="28" s="1"/>
  <c r="R839" i="28"/>
  <c r="Y839" i="28" s="1"/>
  <c r="S839" i="28"/>
  <c r="Z839" i="28" s="1"/>
  <c r="T839" i="28"/>
  <c r="AA839" i="28" s="1"/>
  <c r="U839" i="28"/>
  <c r="AB839" i="28" s="1"/>
  <c r="V839" i="28"/>
  <c r="AC839" i="28" s="1"/>
  <c r="Q840" i="28"/>
  <c r="X840" i="28" s="1"/>
  <c r="R840" i="28"/>
  <c r="Y840" i="28" s="1"/>
  <c r="S840" i="28"/>
  <c r="Z840" i="28" s="1"/>
  <c r="T840" i="28"/>
  <c r="AA840" i="28" s="1"/>
  <c r="U840" i="28"/>
  <c r="AB840" i="28" s="1"/>
  <c r="Q841" i="28"/>
  <c r="X841" i="28" s="1"/>
  <c r="R841" i="28"/>
  <c r="Y841" i="28" s="1"/>
  <c r="S841" i="28"/>
  <c r="Z841" i="28" s="1"/>
  <c r="T841" i="28"/>
  <c r="AA841" i="28" s="1"/>
  <c r="U841" i="28"/>
  <c r="AB841" i="28" s="1"/>
  <c r="V841" i="28"/>
  <c r="AC841" i="28" s="1"/>
  <c r="Q842" i="28"/>
  <c r="X842" i="28" s="1"/>
  <c r="R842" i="28"/>
  <c r="Y842" i="28" s="1"/>
  <c r="S842" i="28"/>
  <c r="Z842" i="28" s="1"/>
  <c r="T842" i="28"/>
  <c r="AA842" i="28" s="1"/>
  <c r="U842" i="28"/>
  <c r="AB842" i="28" s="1"/>
  <c r="V842" i="28"/>
  <c r="AC842" i="28" s="1"/>
  <c r="Q843" i="28"/>
  <c r="X843" i="28" s="1"/>
  <c r="R843" i="28"/>
  <c r="Y843" i="28" s="1"/>
  <c r="S843" i="28"/>
  <c r="Z843" i="28" s="1"/>
  <c r="T843" i="28"/>
  <c r="AA843" i="28" s="1"/>
  <c r="U843" i="28"/>
  <c r="AB843" i="28" s="1"/>
  <c r="V843" i="28"/>
  <c r="AC843" i="28" s="1"/>
  <c r="Q844" i="28"/>
  <c r="X844" i="28" s="1"/>
  <c r="R844" i="28"/>
  <c r="Y844" i="28" s="1"/>
  <c r="S844" i="28"/>
  <c r="Z844" i="28" s="1"/>
  <c r="T844" i="28"/>
  <c r="AA844" i="28" s="1"/>
  <c r="U844" i="28"/>
  <c r="AB844" i="28" s="1"/>
  <c r="V844" i="28"/>
  <c r="AC844" i="28" s="1"/>
  <c r="Q845" i="28"/>
  <c r="X845" i="28" s="1"/>
  <c r="R845" i="28"/>
  <c r="Y845" i="28" s="1"/>
  <c r="S845" i="28"/>
  <c r="Z845" i="28" s="1"/>
  <c r="T845" i="28"/>
  <c r="AA845" i="28" s="1"/>
  <c r="U845" i="28"/>
  <c r="AB845" i="28" s="1"/>
  <c r="V845" i="28"/>
  <c r="AC845" i="28" s="1"/>
  <c r="Q846" i="28"/>
  <c r="X846" i="28" s="1"/>
  <c r="R846" i="28"/>
  <c r="Y846" i="28" s="1"/>
  <c r="S846" i="28"/>
  <c r="Z846" i="28" s="1"/>
  <c r="T846" i="28"/>
  <c r="AA846" i="28" s="1"/>
  <c r="U846" i="28"/>
  <c r="AB846" i="28" s="1"/>
  <c r="V846" i="28"/>
  <c r="AC846" i="28" s="1"/>
  <c r="Q847" i="28"/>
  <c r="X847" i="28" s="1"/>
  <c r="R847" i="28"/>
  <c r="Y847" i="28" s="1"/>
  <c r="S847" i="28"/>
  <c r="Z847" i="28" s="1"/>
  <c r="T847" i="28"/>
  <c r="AA847" i="28" s="1"/>
  <c r="U847" i="28"/>
  <c r="AB847" i="28" s="1"/>
  <c r="V847" i="28"/>
  <c r="AC847" i="28" s="1"/>
  <c r="Q848" i="28"/>
  <c r="X848" i="28" s="1"/>
  <c r="R848" i="28"/>
  <c r="Y848" i="28" s="1"/>
  <c r="S848" i="28"/>
  <c r="Z848" i="28" s="1"/>
  <c r="T848" i="28"/>
  <c r="AA848" i="28" s="1"/>
  <c r="U848" i="28"/>
  <c r="AB848" i="28" s="1"/>
  <c r="Q849" i="28"/>
  <c r="X849" i="28" s="1"/>
  <c r="R849" i="28"/>
  <c r="Y849" i="28" s="1"/>
  <c r="S849" i="28"/>
  <c r="Z849" i="28" s="1"/>
  <c r="T849" i="28"/>
  <c r="AA849" i="28" s="1"/>
  <c r="U849" i="28"/>
  <c r="AB849" i="28" s="1"/>
  <c r="V849" i="28"/>
  <c r="AC849" i="28" s="1"/>
  <c r="Q850" i="28"/>
  <c r="X850" i="28" s="1"/>
  <c r="R850" i="28"/>
  <c r="Y850" i="28" s="1"/>
  <c r="S850" i="28"/>
  <c r="Z850" i="28" s="1"/>
  <c r="T850" i="28"/>
  <c r="AA850" i="28" s="1"/>
  <c r="U850" i="28"/>
  <c r="AB850" i="28" s="1"/>
  <c r="V850" i="28"/>
  <c r="AC850" i="28" s="1"/>
  <c r="Q851" i="28"/>
  <c r="X851" i="28" s="1"/>
  <c r="R851" i="28"/>
  <c r="Y851" i="28" s="1"/>
  <c r="S851" i="28"/>
  <c r="Z851" i="28" s="1"/>
  <c r="T851" i="28"/>
  <c r="AA851" i="28" s="1"/>
  <c r="U851" i="28"/>
  <c r="AB851" i="28" s="1"/>
  <c r="V851" i="28"/>
  <c r="AC851" i="28" s="1"/>
  <c r="Q852" i="28"/>
  <c r="X852" i="28" s="1"/>
  <c r="R852" i="28"/>
  <c r="Y852" i="28" s="1"/>
  <c r="S852" i="28"/>
  <c r="Z852" i="28" s="1"/>
  <c r="T852" i="28"/>
  <c r="AA852" i="28" s="1"/>
  <c r="U852" i="28"/>
  <c r="AB852" i="28" s="1"/>
  <c r="V852" i="28"/>
  <c r="AC852" i="28" s="1"/>
  <c r="Q853" i="28"/>
  <c r="X853" i="28" s="1"/>
  <c r="R853" i="28"/>
  <c r="Y853" i="28" s="1"/>
  <c r="S853" i="28"/>
  <c r="Z853" i="28" s="1"/>
  <c r="T853" i="28"/>
  <c r="AA853" i="28" s="1"/>
  <c r="U853" i="28"/>
  <c r="AB853" i="28" s="1"/>
  <c r="V853" i="28"/>
  <c r="AC853" i="28" s="1"/>
  <c r="Q854" i="28"/>
  <c r="X854" i="28" s="1"/>
  <c r="R854" i="28"/>
  <c r="Y854" i="28" s="1"/>
  <c r="S854" i="28"/>
  <c r="Z854" i="28" s="1"/>
  <c r="T854" i="28"/>
  <c r="AA854" i="28" s="1"/>
  <c r="U854" i="28"/>
  <c r="AB854" i="28" s="1"/>
  <c r="V854" i="28"/>
  <c r="AC854" i="28" s="1"/>
  <c r="Q855" i="28"/>
  <c r="X855" i="28" s="1"/>
  <c r="R855" i="28"/>
  <c r="Y855" i="28" s="1"/>
  <c r="S855" i="28"/>
  <c r="Z855" i="28" s="1"/>
  <c r="T855" i="28"/>
  <c r="AA855" i="28" s="1"/>
  <c r="U855" i="28"/>
  <c r="AB855" i="28" s="1"/>
  <c r="V855" i="28"/>
  <c r="AC855" i="28" s="1"/>
  <c r="Q856" i="28"/>
  <c r="X856" i="28" s="1"/>
  <c r="R856" i="28"/>
  <c r="Y856" i="28" s="1"/>
  <c r="S856" i="28"/>
  <c r="Z856" i="28" s="1"/>
  <c r="T856" i="28"/>
  <c r="AA856" i="28" s="1"/>
  <c r="U856" i="28"/>
  <c r="AB856" i="28" s="1"/>
  <c r="Q857" i="28"/>
  <c r="X857" i="28" s="1"/>
  <c r="R857" i="28"/>
  <c r="Y857" i="28" s="1"/>
  <c r="S857" i="28"/>
  <c r="Z857" i="28" s="1"/>
  <c r="T857" i="28"/>
  <c r="AA857" i="28" s="1"/>
  <c r="U857" i="28"/>
  <c r="AB857" i="28" s="1"/>
  <c r="V857" i="28"/>
  <c r="AC857" i="28" s="1"/>
  <c r="Q858" i="28"/>
  <c r="X858" i="28" s="1"/>
  <c r="R858" i="28"/>
  <c r="Y858" i="28" s="1"/>
  <c r="S858" i="28"/>
  <c r="Z858" i="28" s="1"/>
  <c r="T858" i="28"/>
  <c r="AA858" i="28" s="1"/>
  <c r="U858" i="28"/>
  <c r="AB858" i="28" s="1"/>
  <c r="V858" i="28"/>
  <c r="AC858" i="28" s="1"/>
  <c r="Q859" i="28"/>
  <c r="X859" i="28" s="1"/>
  <c r="R859" i="28"/>
  <c r="Y859" i="28" s="1"/>
  <c r="S859" i="28"/>
  <c r="Z859" i="28" s="1"/>
  <c r="T859" i="28"/>
  <c r="AA859" i="28" s="1"/>
  <c r="U859" i="28"/>
  <c r="AB859" i="28" s="1"/>
  <c r="V859" i="28"/>
  <c r="AC859" i="28" s="1"/>
  <c r="Q860" i="28"/>
  <c r="X860" i="28" s="1"/>
  <c r="R860" i="28"/>
  <c r="Y860" i="28" s="1"/>
  <c r="S860" i="28"/>
  <c r="Z860" i="28" s="1"/>
  <c r="T860" i="28"/>
  <c r="AA860" i="28" s="1"/>
  <c r="U860" i="28"/>
  <c r="AB860" i="28" s="1"/>
  <c r="V860" i="28"/>
  <c r="AC860" i="28" s="1"/>
  <c r="Q861" i="28"/>
  <c r="X861" i="28" s="1"/>
  <c r="R861" i="28"/>
  <c r="Y861" i="28" s="1"/>
  <c r="S861" i="28"/>
  <c r="Z861" i="28" s="1"/>
  <c r="T861" i="28"/>
  <c r="AA861" i="28" s="1"/>
  <c r="U861" i="28"/>
  <c r="AB861" i="28" s="1"/>
  <c r="V861" i="28"/>
  <c r="AC861" i="28" s="1"/>
  <c r="Q862" i="28"/>
  <c r="X862" i="28" s="1"/>
  <c r="R862" i="28"/>
  <c r="Y862" i="28" s="1"/>
  <c r="S862" i="28"/>
  <c r="Z862" i="28" s="1"/>
  <c r="T862" i="28"/>
  <c r="AA862" i="28" s="1"/>
  <c r="U862" i="28"/>
  <c r="AB862" i="28" s="1"/>
  <c r="V862" i="28"/>
  <c r="AC862" i="28" s="1"/>
  <c r="Q863" i="28"/>
  <c r="X863" i="28" s="1"/>
  <c r="R863" i="28"/>
  <c r="Y863" i="28" s="1"/>
  <c r="S863" i="28"/>
  <c r="Z863" i="28" s="1"/>
  <c r="T863" i="28"/>
  <c r="AA863" i="28" s="1"/>
  <c r="U863" i="28"/>
  <c r="AB863" i="28" s="1"/>
  <c r="V863" i="28"/>
  <c r="AC863" i="28" s="1"/>
  <c r="Q864" i="28"/>
  <c r="X864" i="28" s="1"/>
  <c r="R864" i="28"/>
  <c r="Y864" i="28" s="1"/>
  <c r="S864" i="28"/>
  <c r="Z864" i="28" s="1"/>
  <c r="T864" i="28"/>
  <c r="AA864" i="28" s="1"/>
  <c r="U864" i="28"/>
  <c r="AB864" i="28" s="1"/>
  <c r="Q865" i="28"/>
  <c r="X865" i="28" s="1"/>
  <c r="R865" i="28"/>
  <c r="Y865" i="28" s="1"/>
  <c r="S865" i="28"/>
  <c r="Z865" i="28" s="1"/>
  <c r="T865" i="28"/>
  <c r="AA865" i="28" s="1"/>
  <c r="U865" i="28"/>
  <c r="AB865" i="28" s="1"/>
  <c r="V865" i="28"/>
  <c r="AC865" i="28" s="1"/>
  <c r="Q866" i="28"/>
  <c r="X866" i="28" s="1"/>
  <c r="R866" i="28"/>
  <c r="Y866" i="28" s="1"/>
  <c r="S866" i="28"/>
  <c r="Z866" i="28" s="1"/>
  <c r="T866" i="28"/>
  <c r="AA866" i="28" s="1"/>
  <c r="U866" i="28"/>
  <c r="AB866" i="28" s="1"/>
  <c r="V866" i="28"/>
  <c r="AC866" i="28" s="1"/>
  <c r="Q867" i="28"/>
  <c r="X867" i="28" s="1"/>
  <c r="R867" i="28"/>
  <c r="Y867" i="28" s="1"/>
  <c r="S867" i="28"/>
  <c r="Z867" i="28" s="1"/>
  <c r="T867" i="28"/>
  <c r="AA867" i="28" s="1"/>
  <c r="U867" i="28"/>
  <c r="AB867" i="28" s="1"/>
  <c r="V867" i="28"/>
  <c r="AC867" i="28" s="1"/>
  <c r="Q868" i="28"/>
  <c r="X868" i="28" s="1"/>
  <c r="R868" i="28"/>
  <c r="Y868" i="28" s="1"/>
  <c r="S868" i="28"/>
  <c r="Z868" i="28" s="1"/>
  <c r="T868" i="28"/>
  <c r="AA868" i="28" s="1"/>
  <c r="U868" i="28"/>
  <c r="AB868" i="28" s="1"/>
  <c r="V868" i="28"/>
  <c r="AC868" i="28" s="1"/>
  <c r="Q869" i="28"/>
  <c r="X869" i="28" s="1"/>
  <c r="R869" i="28"/>
  <c r="Y869" i="28" s="1"/>
  <c r="S869" i="28"/>
  <c r="Z869" i="28" s="1"/>
  <c r="T869" i="28"/>
  <c r="AA869" i="28" s="1"/>
  <c r="U869" i="28"/>
  <c r="AB869" i="28" s="1"/>
  <c r="V869" i="28"/>
  <c r="AC869" i="28" s="1"/>
  <c r="Q870" i="28"/>
  <c r="X870" i="28" s="1"/>
  <c r="R870" i="28"/>
  <c r="Y870" i="28" s="1"/>
  <c r="S870" i="28"/>
  <c r="Z870" i="28" s="1"/>
  <c r="T870" i="28"/>
  <c r="AA870" i="28" s="1"/>
  <c r="U870" i="28"/>
  <c r="AB870" i="28" s="1"/>
  <c r="V870" i="28"/>
  <c r="AC870" i="28" s="1"/>
  <c r="Q871" i="28"/>
  <c r="X871" i="28" s="1"/>
  <c r="R871" i="28"/>
  <c r="Y871" i="28" s="1"/>
  <c r="S871" i="28"/>
  <c r="Z871" i="28" s="1"/>
  <c r="T871" i="28"/>
  <c r="AA871" i="28" s="1"/>
  <c r="U871" i="28"/>
  <c r="AB871" i="28" s="1"/>
  <c r="V871" i="28"/>
  <c r="AC871" i="28" s="1"/>
  <c r="Q872" i="28"/>
  <c r="X872" i="28" s="1"/>
  <c r="R872" i="28"/>
  <c r="Y872" i="28" s="1"/>
  <c r="S872" i="28"/>
  <c r="Z872" i="28" s="1"/>
  <c r="T872" i="28"/>
  <c r="AA872" i="28" s="1"/>
  <c r="U872" i="28"/>
  <c r="AB872" i="28" s="1"/>
  <c r="Q873" i="28"/>
  <c r="X873" i="28" s="1"/>
  <c r="R873" i="28"/>
  <c r="Y873" i="28" s="1"/>
  <c r="S873" i="28"/>
  <c r="Z873" i="28" s="1"/>
  <c r="T873" i="28"/>
  <c r="AA873" i="28" s="1"/>
  <c r="U873" i="28"/>
  <c r="AB873" i="28" s="1"/>
  <c r="V873" i="28"/>
  <c r="AC873" i="28" s="1"/>
  <c r="Q874" i="28"/>
  <c r="X874" i="28" s="1"/>
  <c r="R874" i="28"/>
  <c r="Y874" i="28" s="1"/>
  <c r="S874" i="28"/>
  <c r="Z874" i="28" s="1"/>
  <c r="T874" i="28"/>
  <c r="AA874" i="28" s="1"/>
  <c r="U874" i="28"/>
  <c r="AB874" i="28" s="1"/>
  <c r="V874" i="28"/>
  <c r="AC874" i="28" s="1"/>
  <c r="Q875" i="28"/>
  <c r="X875" i="28" s="1"/>
  <c r="R875" i="28"/>
  <c r="Y875" i="28" s="1"/>
  <c r="S875" i="28"/>
  <c r="Z875" i="28" s="1"/>
  <c r="T875" i="28"/>
  <c r="AA875" i="28" s="1"/>
  <c r="U875" i="28"/>
  <c r="AB875" i="28" s="1"/>
  <c r="V875" i="28"/>
  <c r="AC875" i="28" s="1"/>
  <c r="Q876" i="28"/>
  <c r="X876" i="28" s="1"/>
  <c r="R876" i="28"/>
  <c r="Y876" i="28" s="1"/>
  <c r="S876" i="28"/>
  <c r="Z876" i="28" s="1"/>
  <c r="T876" i="28"/>
  <c r="AA876" i="28" s="1"/>
  <c r="U876" i="28"/>
  <c r="AB876" i="28" s="1"/>
  <c r="V876" i="28"/>
  <c r="AC876" i="28" s="1"/>
  <c r="Q877" i="28"/>
  <c r="X877" i="28" s="1"/>
  <c r="R877" i="28"/>
  <c r="Y877" i="28" s="1"/>
  <c r="S877" i="28"/>
  <c r="Z877" i="28" s="1"/>
  <c r="T877" i="28"/>
  <c r="AA877" i="28" s="1"/>
  <c r="U877" i="28"/>
  <c r="AB877" i="28" s="1"/>
  <c r="V877" i="28"/>
  <c r="AC877" i="28" s="1"/>
  <c r="Q878" i="28"/>
  <c r="X878" i="28" s="1"/>
  <c r="R878" i="28"/>
  <c r="Y878" i="28" s="1"/>
  <c r="S878" i="28"/>
  <c r="Z878" i="28" s="1"/>
  <c r="T878" i="28"/>
  <c r="AA878" i="28" s="1"/>
  <c r="U878" i="28"/>
  <c r="AB878" i="28" s="1"/>
  <c r="V878" i="28"/>
  <c r="AC878" i="28" s="1"/>
  <c r="Q879" i="28"/>
  <c r="X879" i="28" s="1"/>
  <c r="R879" i="28"/>
  <c r="Y879" i="28" s="1"/>
  <c r="S879" i="28"/>
  <c r="Z879" i="28" s="1"/>
  <c r="T879" i="28"/>
  <c r="AA879" i="28" s="1"/>
  <c r="U879" i="28"/>
  <c r="AB879" i="28" s="1"/>
  <c r="V879" i="28"/>
  <c r="AC879" i="28" s="1"/>
  <c r="Q880" i="28"/>
  <c r="X880" i="28" s="1"/>
  <c r="R880" i="28"/>
  <c r="Y880" i="28" s="1"/>
  <c r="S880" i="28"/>
  <c r="Z880" i="28" s="1"/>
  <c r="T880" i="28"/>
  <c r="AA880" i="28" s="1"/>
  <c r="U880" i="28"/>
  <c r="AB880" i="28" s="1"/>
  <c r="Q881" i="28"/>
  <c r="X881" i="28" s="1"/>
  <c r="R881" i="28"/>
  <c r="Y881" i="28" s="1"/>
  <c r="S881" i="28"/>
  <c r="Z881" i="28" s="1"/>
  <c r="T881" i="28"/>
  <c r="AA881" i="28" s="1"/>
  <c r="U881" i="28"/>
  <c r="AB881" i="28" s="1"/>
  <c r="V881" i="28"/>
  <c r="AC881" i="28" s="1"/>
  <c r="Q882" i="28"/>
  <c r="X882" i="28" s="1"/>
  <c r="R882" i="28"/>
  <c r="Y882" i="28" s="1"/>
  <c r="S882" i="28"/>
  <c r="Z882" i="28" s="1"/>
  <c r="T882" i="28"/>
  <c r="AA882" i="28" s="1"/>
  <c r="U882" i="28"/>
  <c r="AB882" i="28" s="1"/>
  <c r="V882" i="28"/>
  <c r="AC882" i="28" s="1"/>
  <c r="Q883" i="28"/>
  <c r="X883" i="28" s="1"/>
  <c r="R883" i="28"/>
  <c r="Y883" i="28" s="1"/>
  <c r="S883" i="28"/>
  <c r="Z883" i="28" s="1"/>
  <c r="T883" i="28"/>
  <c r="AA883" i="28" s="1"/>
  <c r="U883" i="28"/>
  <c r="AB883" i="28" s="1"/>
  <c r="V883" i="28"/>
  <c r="AC883" i="28" s="1"/>
  <c r="Q884" i="28"/>
  <c r="X884" i="28" s="1"/>
  <c r="R884" i="28"/>
  <c r="Y884" i="28" s="1"/>
  <c r="S884" i="28"/>
  <c r="Z884" i="28" s="1"/>
  <c r="T884" i="28"/>
  <c r="AA884" i="28" s="1"/>
  <c r="U884" i="28"/>
  <c r="AB884" i="28" s="1"/>
  <c r="V884" i="28"/>
  <c r="AC884" i="28" s="1"/>
  <c r="Q885" i="28"/>
  <c r="X885" i="28" s="1"/>
  <c r="R885" i="28"/>
  <c r="Y885" i="28" s="1"/>
  <c r="S885" i="28"/>
  <c r="Z885" i="28" s="1"/>
  <c r="T885" i="28"/>
  <c r="AA885" i="28" s="1"/>
  <c r="U885" i="28"/>
  <c r="AB885" i="28" s="1"/>
  <c r="V885" i="28"/>
  <c r="AC885" i="28" s="1"/>
  <c r="Q886" i="28"/>
  <c r="X886" i="28" s="1"/>
  <c r="R886" i="28"/>
  <c r="Y886" i="28" s="1"/>
  <c r="S886" i="28"/>
  <c r="Z886" i="28" s="1"/>
  <c r="T886" i="28"/>
  <c r="AA886" i="28" s="1"/>
  <c r="U886" i="28"/>
  <c r="AB886" i="28" s="1"/>
  <c r="V886" i="28"/>
  <c r="AC886" i="28" s="1"/>
  <c r="Q887" i="28"/>
  <c r="X887" i="28" s="1"/>
  <c r="R887" i="28"/>
  <c r="Y887" i="28" s="1"/>
  <c r="S887" i="28"/>
  <c r="Z887" i="28" s="1"/>
  <c r="T887" i="28"/>
  <c r="AA887" i="28" s="1"/>
  <c r="U887" i="28"/>
  <c r="AB887" i="28" s="1"/>
  <c r="V887" i="28"/>
  <c r="AC887" i="28" s="1"/>
  <c r="Q888" i="28"/>
  <c r="X888" i="28" s="1"/>
  <c r="R888" i="28"/>
  <c r="Y888" i="28" s="1"/>
  <c r="S888" i="28"/>
  <c r="Z888" i="28" s="1"/>
  <c r="T888" i="28"/>
  <c r="AA888" i="28" s="1"/>
  <c r="U888" i="28"/>
  <c r="AB888" i="28" s="1"/>
  <c r="Q889" i="28"/>
  <c r="X889" i="28" s="1"/>
  <c r="R889" i="28"/>
  <c r="Y889" i="28" s="1"/>
  <c r="S889" i="28"/>
  <c r="Z889" i="28" s="1"/>
  <c r="T889" i="28"/>
  <c r="AA889" i="28" s="1"/>
  <c r="U889" i="28"/>
  <c r="AB889" i="28" s="1"/>
  <c r="V889" i="28"/>
  <c r="AC889" i="28" s="1"/>
  <c r="Q890" i="28"/>
  <c r="X890" i="28" s="1"/>
  <c r="R890" i="28"/>
  <c r="Y890" i="28" s="1"/>
  <c r="S890" i="28"/>
  <c r="Z890" i="28" s="1"/>
  <c r="T890" i="28"/>
  <c r="AA890" i="28" s="1"/>
  <c r="U890" i="28"/>
  <c r="AB890" i="28" s="1"/>
  <c r="V890" i="28"/>
  <c r="AC890" i="28" s="1"/>
  <c r="Q891" i="28"/>
  <c r="X891" i="28" s="1"/>
  <c r="R891" i="28"/>
  <c r="Y891" i="28" s="1"/>
  <c r="S891" i="28"/>
  <c r="Z891" i="28" s="1"/>
  <c r="T891" i="28"/>
  <c r="AA891" i="28" s="1"/>
  <c r="U891" i="28"/>
  <c r="AB891" i="28" s="1"/>
  <c r="V891" i="28"/>
  <c r="AC891" i="28" s="1"/>
  <c r="Q892" i="28"/>
  <c r="X892" i="28" s="1"/>
  <c r="R892" i="28"/>
  <c r="Y892" i="28" s="1"/>
  <c r="S892" i="28"/>
  <c r="Z892" i="28" s="1"/>
  <c r="T892" i="28"/>
  <c r="AA892" i="28" s="1"/>
  <c r="U892" i="28"/>
  <c r="AB892" i="28" s="1"/>
  <c r="V892" i="28"/>
  <c r="AC892" i="28" s="1"/>
  <c r="Q893" i="28"/>
  <c r="X893" i="28" s="1"/>
  <c r="R893" i="28"/>
  <c r="Y893" i="28" s="1"/>
  <c r="S893" i="28"/>
  <c r="Z893" i="28" s="1"/>
  <c r="T893" i="28"/>
  <c r="AA893" i="28" s="1"/>
  <c r="U893" i="28"/>
  <c r="AB893" i="28" s="1"/>
  <c r="V893" i="28"/>
  <c r="AC893" i="28" s="1"/>
  <c r="Q894" i="28"/>
  <c r="X894" i="28" s="1"/>
  <c r="R894" i="28"/>
  <c r="Y894" i="28" s="1"/>
  <c r="S894" i="28"/>
  <c r="Z894" i="28" s="1"/>
  <c r="T894" i="28"/>
  <c r="AA894" i="28" s="1"/>
  <c r="U894" i="28"/>
  <c r="AB894" i="28" s="1"/>
  <c r="V894" i="28"/>
  <c r="AC894" i="28" s="1"/>
  <c r="Q895" i="28"/>
  <c r="X895" i="28" s="1"/>
  <c r="R895" i="28"/>
  <c r="Y895" i="28" s="1"/>
  <c r="S895" i="28"/>
  <c r="Z895" i="28" s="1"/>
  <c r="T895" i="28"/>
  <c r="AA895" i="28" s="1"/>
  <c r="U895" i="28"/>
  <c r="AB895" i="28" s="1"/>
  <c r="V895" i="28"/>
  <c r="AC895" i="28" s="1"/>
  <c r="Q896" i="28"/>
  <c r="X896" i="28" s="1"/>
  <c r="R896" i="28"/>
  <c r="Y896" i="28" s="1"/>
  <c r="S896" i="28"/>
  <c r="Z896" i="28" s="1"/>
  <c r="T896" i="28"/>
  <c r="AA896" i="28" s="1"/>
  <c r="U896" i="28"/>
  <c r="AB896" i="28" s="1"/>
  <c r="Q897" i="28"/>
  <c r="X897" i="28" s="1"/>
  <c r="R897" i="28"/>
  <c r="Y897" i="28" s="1"/>
  <c r="S897" i="28"/>
  <c r="Z897" i="28" s="1"/>
  <c r="T897" i="28"/>
  <c r="AA897" i="28" s="1"/>
  <c r="U897" i="28"/>
  <c r="AB897" i="28" s="1"/>
  <c r="V897" i="28"/>
  <c r="AC897" i="28" s="1"/>
  <c r="Q898" i="28"/>
  <c r="X898" i="28" s="1"/>
  <c r="R898" i="28"/>
  <c r="Y898" i="28" s="1"/>
  <c r="S898" i="28"/>
  <c r="Z898" i="28" s="1"/>
  <c r="T898" i="28"/>
  <c r="AA898" i="28" s="1"/>
  <c r="U898" i="28"/>
  <c r="AB898" i="28" s="1"/>
  <c r="V898" i="28"/>
  <c r="AC898" i="28" s="1"/>
  <c r="Q899" i="28"/>
  <c r="X899" i="28" s="1"/>
  <c r="R899" i="28"/>
  <c r="Y899" i="28" s="1"/>
  <c r="S899" i="28"/>
  <c r="Z899" i="28" s="1"/>
  <c r="T899" i="28"/>
  <c r="AA899" i="28" s="1"/>
  <c r="U899" i="28"/>
  <c r="AB899" i="28" s="1"/>
  <c r="V899" i="28"/>
  <c r="AC899" i="28" s="1"/>
  <c r="Q900" i="28"/>
  <c r="X900" i="28" s="1"/>
  <c r="R900" i="28"/>
  <c r="Y900" i="28" s="1"/>
  <c r="S900" i="28"/>
  <c r="Z900" i="28" s="1"/>
  <c r="T900" i="28"/>
  <c r="AA900" i="28" s="1"/>
  <c r="U900" i="28"/>
  <c r="AB900" i="28" s="1"/>
  <c r="V900" i="28"/>
  <c r="AC900" i="28" s="1"/>
  <c r="Q901" i="28"/>
  <c r="X901" i="28" s="1"/>
  <c r="R901" i="28"/>
  <c r="Y901" i="28" s="1"/>
  <c r="S901" i="28"/>
  <c r="Z901" i="28" s="1"/>
  <c r="T901" i="28"/>
  <c r="AA901" i="28" s="1"/>
  <c r="U901" i="28"/>
  <c r="AB901" i="28" s="1"/>
  <c r="V901" i="28"/>
  <c r="AC901" i="28" s="1"/>
  <c r="Q902" i="28"/>
  <c r="X902" i="28" s="1"/>
  <c r="R902" i="28"/>
  <c r="Y902" i="28" s="1"/>
  <c r="S902" i="28"/>
  <c r="Z902" i="28" s="1"/>
  <c r="T902" i="28"/>
  <c r="AA902" i="28" s="1"/>
  <c r="U902" i="28"/>
  <c r="AB902" i="28" s="1"/>
  <c r="V902" i="28"/>
  <c r="AC902" i="28" s="1"/>
  <c r="Q903" i="28"/>
  <c r="X903" i="28" s="1"/>
  <c r="R903" i="28"/>
  <c r="Y903" i="28" s="1"/>
  <c r="S903" i="28"/>
  <c r="Z903" i="28" s="1"/>
  <c r="T903" i="28"/>
  <c r="AA903" i="28" s="1"/>
  <c r="U903" i="28"/>
  <c r="AB903" i="28" s="1"/>
  <c r="V903" i="28"/>
  <c r="AC903" i="28" s="1"/>
  <c r="Q904" i="28"/>
  <c r="X904" i="28" s="1"/>
  <c r="R904" i="28"/>
  <c r="Y904" i="28" s="1"/>
  <c r="S904" i="28"/>
  <c r="Z904" i="28" s="1"/>
  <c r="T904" i="28"/>
  <c r="AA904" i="28" s="1"/>
  <c r="U904" i="28"/>
  <c r="AB904" i="28" s="1"/>
  <c r="Q905" i="28"/>
  <c r="X905" i="28" s="1"/>
  <c r="R905" i="28"/>
  <c r="Y905" i="28" s="1"/>
  <c r="S905" i="28"/>
  <c r="Z905" i="28" s="1"/>
  <c r="T905" i="28"/>
  <c r="AA905" i="28" s="1"/>
  <c r="U905" i="28"/>
  <c r="AB905" i="28" s="1"/>
  <c r="V905" i="28"/>
  <c r="AC905" i="28" s="1"/>
  <c r="Q906" i="28"/>
  <c r="X906" i="28" s="1"/>
  <c r="R906" i="28"/>
  <c r="Y906" i="28" s="1"/>
  <c r="S906" i="28"/>
  <c r="Z906" i="28" s="1"/>
  <c r="T906" i="28"/>
  <c r="AA906" i="28" s="1"/>
  <c r="U906" i="28"/>
  <c r="AB906" i="28" s="1"/>
  <c r="V906" i="28"/>
  <c r="AC906" i="28" s="1"/>
  <c r="Q907" i="28"/>
  <c r="X907" i="28" s="1"/>
  <c r="R907" i="28"/>
  <c r="Y907" i="28" s="1"/>
  <c r="S907" i="28"/>
  <c r="Z907" i="28" s="1"/>
  <c r="T907" i="28"/>
  <c r="AA907" i="28" s="1"/>
  <c r="U907" i="28"/>
  <c r="AB907" i="28" s="1"/>
  <c r="V907" i="28"/>
  <c r="AC907" i="28" s="1"/>
  <c r="Q908" i="28"/>
  <c r="X908" i="28" s="1"/>
  <c r="R908" i="28"/>
  <c r="Y908" i="28" s="1"/>
  <c r="S908" i="28"/>
  <c r="Z908" i="28" s="1"/>
  <c r="T908" i="28"/>
  <c r="AA908" i="28" s="1"/>
  <c r="U908" i="28"/>
  <c r="AB908" i="28" s="1"/>
  <c r="V908" i="28"/>
  <c r="AC908" i="28" s="1"/>
  <c r="Q909" i="28"/>
  <c r="X909" i="28" s="1"/>
  <c r="R909" i="28"/>
  <c r="Y909" i="28" s="1"/>
  <c r="S909" i="28"/>
  <c r="Z909" i="28" s="1"/>
  <c r="T909" i="28"/>
  <c r="AA909" i="28" s="1"/>
  <c r="U909" i="28"/>
  <c r="AB909" i="28" s="1"/>
  <c r="V909" i="28"/>
  <c r="AC909" i="28" s="1"/>
  <c r="Q910" i="28"/>
  <c r="X910" i="28" s="1"/>
  <c r="R910" i="28"/>
  <c r="Y910" i="28" s="1"/>
  <c r="S910" i="28"/>
  <c r="Z910" i="28" s="1"/>
  <c r="T910" i="28"/>
  <c r="AA910" i="28" s="1"/>
  <c r="U910" i="28"/>
  <c r="AB910" i="28" s="1"/>
  <c r="V910" i="28"/>
  <c r="AC910" i="28" s="1"/>
  <c r="Q911" i="28"/>
  <c r="X911" i="28" s="1"/>
  <c r="R911" i="28"/>
  <c r="Y911" i="28" s="1"/>
  <c r="S911" i="28"/>
  <c r="Z911" i="28" s="1"/>
  <c r="T911" i="28"/>
  <c r="AA911" i="28" s="1"/>
  <c r="U911" i="28"/>
  <c r="AB911" i="28" s="1"/>
  <c r="V911" i="28"/>
  <c r="AC911" i="28" s="1"/>
  <c r="Q912" i="28"/>
  <c r="X912" i="28" s="1"/>
  <c r="R912" i="28"/>
  <c r="Y912" i="28" s="1"/>
  <c r="S912" i="28"/>
  <c r="Z912" i="28" s="1"/>
  <c r="T912" i="28"/>
  <c r="AA912" i="28" s="1"/>
  <c r="U912" i="28"/>
  <c r="AB912" i="28" s="1"/>
  <c r="Q913" i="28"/>
  <c r="X913" i="28" s="1"/>
  <c r="R913" i="28"/>
  <c r="Y913" i="28" s="1"/>
  <c r="S913" i="28"/>
  <c r="Z913" i="28" s="1"/>
  <c r="T913" i="28"/>
  <c r="AA913" i="28" s="1"/>
  <c r="U913" i="28"/>
  <c r="AB913" i="28" s="1"/>
  <c r="V913" i="28"/>
  <c r="AC913" i="28" s="1"/>
  <c r="Q914" i="28"/>
  <c r="X914" i="28" s="1"/>
  <c r="R914" i="28"/>
  <c r="Y914" i="28" s="1"/>
  <c r="S914" i="28"/>
  <c r="Z914" i="28" s="1"/>
  <c r="T914" i="28"/>
  <c r="AA914" i="28" s="1"/>
  <c r="U914" i="28"/>
  <c r="AB914" i="28" s="1"/>
  <c r="V914" i="28"/>
  <c r="AC914" i="28" s="1"/>
  <c r="Q915" i="28"/>
  <c r="X915" i="28" s="1"/>
  <c r="R915" i="28"/>
  <c r="Y915" i="28" s="1"/>
  <c r="S915" i="28"/>
  <c r="Z915" i="28" s="1"/>
  <c r="T915" i="28"/>
  <c r="AA915" i="28" s="1"/>
  <c r="U915" i="28"/>
  <c r="AB915" i="28" s="1"/>
  <c r="V915" i="28"/>
  <c r="AC915" i="28" s="1"/>
  <c r="Q916" i="28"/>
  <c r="X916" i="28" s="1"/>
  <c r="R916" i="28"/>
  <c r="Y916" i="28" s="1"/>
  <c r="S916" i="28"/>
  <c r="Z916" i="28" s="1"/>
  <c r="T916" i="28"/>
  <c r="AA916" i="28" s="1"/>
  <c r="U916" i="28"/>
  <c r="AB916" i="28" s="1"/>
  <c r="V916" i="28"/>
  <c r="AC916" i="28" s="1"/>
  <c r="Q917" i="28"/>
  <c r="X917" i="28" s="1"/>
  <c r="R917" i="28"/>
  <c r="Y917" i="28" s="1"/>
  <c r="S917" i="28"/>
  <c r="Z917" i="28" s="1"/>
  <c r="T917" i="28"/>
  <c r="AA917" i="28" s="1"/>
  <c r="U917" i="28"/>
  <c r="AB917" i="28" s="1"/>
  <c r="V917" i="28"/>
  <c r="AC917" i="28" s="1"/>
  <c r="Q918" i="28"/>
  <c r="X918" i="28" s="1"/>
  <c r="R918" i="28"/>
  <c r="Y918" i="28" s="1"/>
  <c r="S918" i="28"/>
  <c r="Z918" i="28" s="1"/>
  <c r="T918" i="28"/>
  <c r="AA918" i="28" s="1"/>
  <c r="U918" i="28"/>
  <c r="AB918" i="28" s="1"/>
  <c r="V918" i="28"/>
  <c r="AC918" i="28" s="1"/>
  <c r="Q919" i="28"/>
  <c r="X919" i="28" s="1"/>
  <c r="R919" i="28"/>
  <c r="Y919" i="28" s="1"/>
  <c r="S919" i="28"/>
  <c r="Z919" i="28" s="1"/>
  <c r="T919" i="28"/>
  <c r="AA919" i="28" s="1"/>
  <c r="U919" i="28"/>
  <c r="AB919" i="28" s="1"/>
  <c r="V919" i="28"/>
  <c r="AC919" i="28" s="1"/>
  <c r="Q920" i="28"/>
  <c r="X920" i="28" s="1"/>
  <c r="R920" i="28"/>
  <c r="Y920" i="28" s="1"/>
  <c r="S920" i="28"/>
  <c r="Z920" i="28" s="1"/>
  <c r="T920" i="28"/>
  <c r="AA920" i="28" s="1"/>
  <c r="U920" i="28"/>
  <c r="AB920" i="28" s="1"/>
  <c r="Q921" i="28"/>
  <c r="X921" i="28" s="1"/>
  <c r="R921" i="28"/>
  <c r="Y921" i="28" s="1"/>
  <c r="S921" i="28"/>
  <c r="Z921" i="28" s="1"/>
  <c r="T921" i="28"/>
  <c r="AA921" i="28" s="1"/>
  <c r="U921" i="28"/>
  <c r="AB921" i="28" s="1"/>
  <c r="V921" i="28"/>
  <c r="AC921" i="28" s="1"/>
  <c r="Q922" i="28"/>
  <c r="X922" i="28" s="1"/>
  <c r="R922" i="28"/>
  <c r="Y922" i="28" s="1"/>
  <c r="S922" i="28"/>
  <c r="Z922" i="28" s="1"/>
  <c r="T922" i="28"/>
  <c r="AA922" i="28" s="1"/>
  <c r="U922" i="28"/>
  <c r="AB922" i="28" s="1"/>
  <c r="V922" i="28"/>
  <c r="AC922" i="28" s="1"/>
  <c r="Q923" i="28"/>
  <c r="X923" i="28" s="1"/>
  <c r="R923" i="28"/>
  <c r="Y923" i="28" s="1"/>
  <c r="S923" i="28"/>
  <c r="Z923" i="28" s="1"/>
  <c r="T923" i="28"/>
  <c r="AA923" i="28" s="1"/>
  <c r="U923" i="28"/>
  <c r="AB923" i="28" s="1"/>
  <c r="V923" i="28"/>
  <c r="AC923" i="28" s="1"/>
  <c r="Q924" i="28"/>
  <c r="X924" i="28" s="1"/>
  <c r="R924" i="28"/>
  <c r="Y924" i="28" s="1"/>
  <c r="S924" i="28"/>
  <c r="Z924" i="28" s="1"/>
  <c r="T924" i="28"/>
  <c r="AA924" i="28" s="1"/>
  <c r="U924" i="28"/>
  <c r="AB924" i="28" s="1"/>
  <c r="V924" i="28"/>
  <c r="AC924" i="28" s="1"/>
  <c r="Q925" i="28"/>
  <c r="X925" i="28" s="1"/>
  <c r="R925" i="28"/>
  <c r="Y925" i="28" s="1"/>
  <c r="S925" i="28"/>
  <c r="Z925" i="28" s="1"/>
  <c r="T925" i="28"/>
  <c r="AA925" i="28" s="1"/>
  <c r="U925" i="28"/>
  <c r="AB925" i="28" s="1"/>
  <c r="V925" i="28"/>
  <c r="AC925" i="28" s="1"/>
  <c r="Q926" i="28"/>
  <c r="X926" i="28" s="1"/>
  <c r="R926" i="28"/>
  <c r="Y926" i="28" s="1"/>
  <c r="S926" i="28"/>
  <c r="Z926" i="28" s="1"/>
  <c r="T926" i="28"/>
  <c r="AA926" i="28" s="1"/>
  <c r="U926" i="28"/>
  <c r="AB926" i="28" s="1"/>
  <c r="V926" i="28"/>
  <c r="AC926" i="28" s="1"/>
  <c r="Q927" i="28"/>
  <c r="X927" i="28" s="1"/>
  <c r="R927" i="28"/>
  <c r="Y927" i="28" s="1"/>
  <c r="S927" i="28"/>
  <c r="Z927" i="28" s="1"/>
  <c r="T927" i="28"/>
  <c r="AA927" i="28" s="1"/>
  <c r="U927" i="28"/>
  <c r="AB927" i="28" s="1"/>
  <c r="V927" i="28"/>
  <c r="AC927" i="28" s="1"/>
  <c r="Q928" i="28"/>
  <c r="X928" i="28" s="1"/>
  <c r="R928" i="28"/>
  <c r="Y928" i="28" s="1"/>
  <c r="S928" i="28"/>
  <c r="Z928" i="28" s="1"/>
  <c r="T928" i="28"/>
  <c r="AA928" i="28" s="1"/>
  <c r="U928" i="28"/>
  <c r="AB928" i="28" s="1"/>
  <c r="Q929" i="28"/>
  <c r="X929" i="28" s="1"/>
  <c r="R929" i="28"/>
  <c r="Y929" i="28" s="1"/>
  <c r="S929" i="28"/>
  <c r="Z929" i="28" s="1"/>
  <c r="T929" i="28"/>
  <c r="AA929" i="28" s="1"/>
  <c r="U929" i="28"/>
  <c r="AB929" i="28" s="1"/>
  <c r="V929" i="28"/>
  <c r="AC929" i="28" s="1"/>
  <c r="Q930" i="28"/>
  <c r="X930" i="28" s="1"/>
  <c r="R930" i="28"/>
  <c r="Y930" i="28" s="1"/>
  <c r="S930" i="28"/>
  <c r="Z930" i="28" s="1"/>
  <c r="T930" i="28"/>
  <c r="AA930" i="28" s="1"/>
  <c r="U930" i="28"/>
  <c r="AB930" i="28" s="1"/>
  <c r="V930" i="28"/>
  <c r="AC930" i="28" s="1"/>
  <c r="Q931" i="28"/>
  <c r="X931" i="28" s="1"/>
  <c r="R931" i="28"/>
  <c r="Y931" i="28" s="1"/>
  <c r="S931" i="28"/>
  <c r="Z931" i="28" s="1"/>
  <c r="T931" i="28"/>
  <c r="AA931" i="28" s="1"/>
  <c r="U931" i="28"/>
  <c r="AB931" i="28" s="1"/>
  <c r="V931" i="28"/>
  <c r="AC931" i="28" s="1"/>
  <c r="Q932" i="28"/>
  <c r="X932" i="28" s="1"/>
  <c r="R932" i="28"/>
  <c r="Y932" i="28" s="1"/>
  <c r="S932" i="28"/>
  <c r="Z932" i="28" s="1"/>
  <c r="T932" i="28"/>
  <c r="AA932" i="28" s="1"/>
  <c r="U932" i="28"/>
  <c r="AB932" i="28" s="1"/>
  <c r="V932" i="28"/>
  <c r="AC932" i="28" s="1"/>
  <c r="Q933" i="28"/>
  <c r="X933" i="28" s="1"/>
  <c r="R933" i="28"/>
  <c r="Y933" i="28" s="1"/>
  <c r="S933" i="28"/>
  <c r="Z933" i="28" s="1"/>
  <c r="T933" i="28"/>
  <c r="AA933" i="28" s="1"/>
  <c r="U933" i="28"/>
  <c r="AB933" i="28" s="1"/>
  <c r="V933" i="28"/>
  <c r="AC933" i="28" s="1"/>
  <c r="Q934" i="28"/>
  <c r="X934" i="28" s="1"/>
  <c r="R934" i="28"/>
  <c r="Y934" i="28" s="1"/>
  <c r="S934" i="28"/>
  <c r="Z934" i="28" s="1"/>
  <c r="T934" i="28"/>
  <c r="AA934" i="28" s="1"/>
  <c r="U934" i="28"/>
  <c r="AB934" i="28" s="1"/>
  <c r="V934" i="28"/>
  <c r="AC934" i="28" s="1"/>
  <c r="Q935" i="28"/>
  <c r="X935" i="28" s="1"/>
  <c r="R935" i="28"/>
  <c r="Y935" i="28" s="1"/>
  <c r="S935" i="28"/>
  <c r="Z935" i="28" s="1"/>
  <c r="T935" i="28"/>
  <c r="AA935" i="28" s="1"/>
  <c r="U935" i="28"/>
  <c r="AB935" i="28" s="1"/>
  <c r="V935" i="28"/>
  <c r="AC935" i="28" s="1"/>
  <c r="Q936" i="28"/>
  <c r="X936" i="28" s="1"/>
  <c r="R936" i="28"/>
  <c r="Y936" i="28" s="1"/>
  <c r="S936" i="28"/>
  <c r="Z936" i="28" s="1"/>
  <c r="T936" i="28"/>
  <c r="AA936" i="28" s="1"/>
  <c r="U936" i="28"/>
  <c r="AB936" i="28" s="1"/>
  <c r="Q937" i="28"/>
  <c r="X937" i="28" s="1"/>
  <c r="R937" i="28"/>
  <c r="Y937" i="28" s="1"/>
  <c r="S937" i="28"/>
  <c r="Z937" i="28" s="1"/>
  <c r="T937" i="28"/>
  <c r="AA937" i="28" s="1"/>
  <c r="U937" i="28"/>
  <c r="AB937" i="28" s="1"/>
  <c r="V937" i="28"/>
  <c r="AC937" i="28" s="1"/>
  <c r="Q938" i="28"/>
  <c r="X938" i="28" s="1"/>
  <c r="R938" i="28"/>
  <c r="Y938" i="28" s="1"/>
  <c r="S938" i="28"/>
  <c r="Z938" i="28" s="1"/>
  <c r="T938" i="28"/>
  <c r="AA938" i="28" s="1"/>
  <c r="U938" i="28"/>
  <c r="AB938" i="28" s="1"/>
  <c r="V938" i="28"/>
  <c r="AC938" i="28" s="1"/>
  <c r="Q939" i="28"/>
  <c r="X939" i="28" s="1"/>
  <c r="R939" i="28"/>
  <c r="Y939" i="28" s="1"/>
  <c r="S939" i="28"/>
  <c r="Z939" i="28" s="1"/>
  <c r="T939" i="28"/>
  <c r="AA939" i="28" s="1"/>
  <c r="U939" i="28"/>
  <c r="AB939" i="28" s="1"/>
  <c r="V939" i="28"/>
  <c r="AC939" i="28" s="1"/>
  <c r="Q940" i="28"/>
  <c r="X940" i="28" s="1"/>
  <c r="R940" i="28"/>
  <c r="Y940" i="28" s="1"/>
  <c r="S940" i="28"/>
  <c r="Z940" i="28" s="1"/>
  <c r="T940" i="28"/>
  <c r="AA940" i="28" s="1"/>
  <c r="U940" i="28"/>
  <c r="AB940" i="28" s="1"/>
  <c r="V940" i="28"/>
  <c r="AC940" i="28" s="1"/>
  <c r="Q941" i="28"/>
  <c r="X941" i="28" s="1"/>
  <c r="R941" i="28"/>
  <c r="Y941" i="28" s="1"/>
  <c r="S941" i="28"/>
  <c r="Z941" i="28" s="1"/>
  <c r="T941" i="28"/>
  <c r="AA941" i="28" s="1"/>
  <c r="U941" i="28"/>
  <c r="AB941" i="28" s="1"/>
  <c r="V941" i="28"/>
  <c r="AC941" i="28" s="1"/>
  <c r="Q942" i="28"/>
  <c r="X942" i="28" s="1"/>
  <c r="R942" i="28"/>
  <c r="Y942" i="28" s="1"/>
  <c r="S942" i="28"/>
  <c r="Z942" i="28" s="1"/>
  <c r="T942" i="28"/>
  <c r="AA942" i="28" s="1"/>
  <c r="U942" i="28"/>
  <c r="AB942" i="28" s="1"/>
  <c r="V942" i="28"/>
  <c r="AC942" i="28" s="1"/>
  <c r="Q943" i="28"/>
  <c r="X943" i="28" s="1"/>
  <c r="R943" i="28"/>
  <c r="Y943" i="28" s="1"/>
  <c r="S943" i="28"/>
  <c r="Z943" i="28" s="1"/>
  <c r="T943" i="28"/>
  <c r="AA943" i="28" s="1"/>
  <c r="U943" i="28"/>
  <c r="AB943" i="28" s="1"/>
  <c r="V943" i="28"/>
  <c r="AC943" i="28" s="1"/>
  <c r="Q944" i="28"/>
  <c r="X944" i="28" s="1"/>
  <c r="R944" i="28"/>
  <c r="Y944" i="28" s="1"/>
  <c r="S944" i="28"/>
  <c r="Z944" i="28" s="1"/>
  <c r="T944" i="28"/>
  <c r="AA944" i="28" s="1"/>
  <c r="U944" i="28"/>
  <c r="AB944" i="28" s="1"/>
  <c r="Q945" i="28"/>
  <c r="X945" i="28" s="1"/>
  <c r="R945" i="28"/>
  <c r="Y945" i="28" s="1"/>
  <c r="S945" i="28"/>
  <c r="Z945" i="28" s="1"/>
  <c r="T945" i="28"/>
  <c r="AA945" i="28" s="1"/>
  <c r="U945" i="28"/>
  <c r="AB945" i="28" s="1"/>
  <c r="V945" i="28"/>
  <c r="AC945" i="28" s="1"/>
  <c r="Q946" i="28"/>
  <c r="X946" i="28" s="1"/>
  <c r="R946" i="28"/>
  <c r="Y946" i="28" s="1"/>
  <c r="S946" i="28"/>
  <c r="Z946" i="28" s="1"/>
  <c r="T946" i="28"/>
  <c r="AA946" i="28" s="1"/>
  <c r="U946" i="28"/>
  <c r="AB946" i="28" s="1"/>
  <c r="V946" i="28"/>
  <c r="AC946" i="28" s="1"/>
  <c r="Q947" i="28"/>
  <c r="X947" i="28" s="1"/>
  <c r="R947" i="28"/>
  <c r="Y947" i="28" s="1"/>
  <c r="S947" i="28"/>
  <c r="Z947" i="28" s="1"/>
  <c r="T947" i="28"/>
  <c r="AA947" i="28" s="1"/>
  <c r="U947" i="28"/>
  <c r="AB947" i="28" s="1"/>
  <c r="V947" i="28"/>
  <c r="AC947" i="28" s="1"/>
  <c r="Q948" i="28"/>
  <c r="X948" i="28" s="1"/>
  <c r="R948" i="28"/>
  <c r="Y948" i="28" s="1"/>
  <c r="S948" i="28"/>
  <c r="Z948" i="28" s="1"/>
  <c r="T948" i="28"/>
  <c r="AA948" i="28" s="1"/>
  <c r="U948" i="28"/>
  <c r="AB948" i="28" s="1"/>
  <c r="V948" i="28"/>
  <c r="AC948" i="28" s="1"/>
  <c r="Q949" i="28"/>
  <c r="X949" i="28" s="1"/>
  <c r="R949" i="28"/>
  <c r="Y949" i="28" s="1"/>
  <c r="S949" i="28"/>
  <c r="Z949" i="28" s="1"/>
  <c r="T949" i="28"/>
  <c r="AA949" i="28" s="1"/>
  <c r="U949" i="28"/>
  <c r="AB949" i="28" s="1"/>
  <c r="V949" i="28"/>
  <c r="AC949" i="28" s="1"/>
  <c r="Q950" i="28"/>
  <c r="X950" i="28" s="1"/>
  <c r="R950" i="28"/>
  <c r="Y950" i="28" s="1"/>
  <c r="S950" i="28"/>
  <c r="Z950" i="28" s="1"/>
  <c r="T950" i="28"/>
  <c r="AA950" i="28" s="1"/>
  <c r="U950" i="28"/>
  <c r="AB950" i="28" s="1"/>
  <c r="V950" i="28"/>
  <c r="AC950" i="28" s="1"/>
  <c r="Q951" i="28"/>
  <c r="X951" i="28" s="1"/>
  <c r="R951" i="28"/>
  <c r="Y951" i="28" s="1"/>
  <c r="S951" i="28"/>
  <c r="Z951" i="28" s="1"/>
  <c r="T951" i="28"/>
  <c r="AA951" i="28" s="1"/>
  <c r="U951" i="28"/>
  <c r="AB951" i="28" s="1"/>
  <c r="V951" i="28"/>
  <c r="AC951" i="28" s="1"/>
  <c r="Q952" i="28"/>
  <c r="X952" i="28" s="1"/>
  <c r="R952" i="28"/>
  <c r="Y952" i="28" s="1"/>
  <c r="S952" i="28"/>
  <c r="Z952" i="28" s="1"/>
  <c r="T952" i="28"/>
  <c r="AA952" i="28" s="1"/>
  <c r="U952" i="28"/>
  <c r="AB952" i="28" s="1"/>
  <c r="Q953" i="28"/>
  <c r="X953" i="28" s="1"/>
  <c r="R953" i="28"/>
  <c r="Y953" i="28" s="1"/>
  <c r="S953" i="28"/>
  <c r="Z953" i="28" s="1"/>
  <c r="T953" i="28"/>
  <c r="AA953" i="28" s="1"/>
  <c r="U953" i="28"/>
  <c r="AB953" i="28" s="1"/>
  <c r="V953" i="28"/>
  <c r="AC953" i="28" s="1"/>
  <c r="Q954" i="28"/>
  <c r="X954" i="28" s="1"/>
  <c r="R954" i="28"/>
  <c r="Y954" i="28" s="1"/>
  <c r="S954" i="28"/>
  <c r="Z954" i="28" s="1"/>
  <c r="T954" i="28"/>
  <c r="AA954" i="28" s="1"/>
  <c r="U954" i="28"/>
  <c r="AB954" i="28" s="1"/>
  <c r="V954" i="28"/>
  <c r="AC954" i="28" s="1"/>
  <c r="Q955" i="28"/>
  <c r="X955" i="28" s="1"/>
  <c r="R955" i="28"/>
  <c r="Y955" i="28" s="1"/>
  <c r="S955" i="28"/>
  <c r="Z955" i="28" s="1"/>
  <c r="T955" i="28"/>
  <c r="AA955" i="28" s="1"/>
  <c r="U955" i="28"/>
  <c r="AB955" i="28" s="1"/>
  <c r="V955" i="28"/>
  <c r="AC955" i="28" s="1"/>
  <c r="Q956" i="28"/>
  <c r="X956" i="28" s="1"/>
  <c r="R956" i="28"/>
  <c r="Y956" i="28" s="1"/>
  <c r="S956" i="28"/>
  <c r="Z956" i="28" s="1"/>
  <c r="T956" i="28"/>
  <c r="AA956" i="28" s="1"/>
  <c r="U956" i="28"/>
  <c r="AB956" i="28" s="1"/>
  <c r="V956" i="28"/>
  <c r="AC956" i="28" s="1"/>
  <c r="Q957" i="28"/>
  <c r="X957" i="28" s="1"/>
  <c r="R957" i="28"/>
  <c r="Y957" i="28" s="1"/>
  <c r="S957" i="28"/>
  <c r="Z957" i="28" s="1"/>
  <c r="T957" i="28"/>
  <c r="AA957" i="28" s="1"/>
  <c r="U957" i="28"/>
  <c r="AB957" i="28" s="1"/>
  <c r="V957" i="28"/>
  <c r="AC957" i="28" s="1"/>
  <c r="Q958" i="28"/>
  <c r="X958" i="28" s="1"/>
  <c r="R958" i="28"/>
  <c r="Y958" i="28" s="1"/>
  <c r="S958" i="28"/>
  <c r="Z958" i="28" s="1"/>
  <c r="T958" i="28"/>
  <c r="AA958" i="28" s="1"/>
  <c r="U958" i="28"/>
  <c r="AB958" i="28" s="1"/>
  <c r="V958" i="28"/>
  <c r="AC958" i="28" s="1"/>
  <c r="Q959" i="28"/>
  <c r="X959" i="28" s="1"/>
  <c r="R959" i="28"/>
  <c r="Y959" i="28" s="1"/>
  <c r="S959" i="28"/>
  <c r="Z959" i="28" s="1"/>
  <c r="T959" i="28"/>
  <c r="AA959" i="28" s="1"/>
  <c r="U959" i="28"/>
  <c r="AB959" i="28" s="1"/>
  <c r="V959" i="28"/>
  <c r="AC959" i="28" s="1"/>
  <c r="Q960" i="28"/>
  <c r="X960" i="28" s="1"/>
  <c r="R960" i="28"/>
  <c r="Y960" i="28" s="1"/>
  <c r="S960" i="28"/>
  <c r="Z960" i="28" s="1"/>
  <c r="T960" i="28"/>
  <c r="AA960" i="28" s="1"/>
  <c r="U960" i="28"/>
  <c r="AB960" i="28" s="1"/>
  <c r="Q961" i="28"/>
  <c r="X961" i="28" s="1"/>
  <c r="R961" i="28"/>
  <c r="Y961" i="28" s="1"/>
  <c r="S961" i="28"/>
  <c r="Z961" i="28" s="1"/>
  <c r="T961" i="28"/>
  <c r="AA961" i="28" s="1"/>
  <c r="U961" i="28"/>
  <c r="AB961" i="28" s="1"/>
  <c r="V961" i="28"/>
  <c r="AC961" i="28" s="1"/>
  <c r="Q962" i="28"/>
  <c r="X962" i="28" s="1"/>
  <c r="R962" i="28"/>
  <c r="Y962" i="28" s="1"/>
  <c r="S962" i="28"/>
  <c r="Z962" i="28" s="1"/>
  <c r="T962" i="28"/>
  <c r="AA962" i="28" s="1"/>
  <c r="U962" i="28"/>
  <c r="AB962" i="28" s="1"/>
  <c r="V962" i="28"/>
  <c r="AC962" i="28" s="1"/>
  <c r="Q963" i="28"/>
  <c r="X963" i="28" s="1"/>
  <c r="R963" i="28"/>
  <c r="Y963" i="28" s="1"/>
  <c r="S963" i="28"/>
  <c r="Z963" i="28" s="1"/>
  <c r="T963" i="28"/>
  <c r="AA963" i="28" s="1"/>
  <c r="U963" i="28"/>
  <c r="AB963" i="28" s="1"/>
  <c r="V963" i="28"/>
  <c r="AC963" i="28" s="1"/>
  <c r="Q964" i="28"/>
  <c r="X964" i="28" s="1"/>
  <c r="R964" i="28"/>
  <c r="Y964" i="28" s="1"/>
  <c r="S964" i="28"/>
  <c r="Z964" i="28" s="1"/>
  <c r="T964" i="28"/>
  <c r="AA964" i="28" s="1"/>
  <c r="U964" i="28"/>
  <c r="AB964" i="28" s="1"/>
  <c r="V964" i="28"/>
  <c r="AC964" i="28" s="1"/>
  <c r="Q965" i="28"/>
  <c r="X965" i="28" s="1"/>
  <c r="R965" i="28"/>
  <c r="Y965" i="28" s="1"/>
  <c r="S965" i="28"/>
  <c r="Z965" i="28" s="1"/>
  <c r="T965" i="28"/>
  <c r="AA965" i="28" s="1"/>
  <c r="U965" i="28"/>
  <c r="AB965" i="28" s="1"/>
  <c r="V965" i="28"/>
  <c r="AC965" i="28" s="1"/>
  <c r="Q966" i="28"/>
  <c r="X966" i="28" s="1"/>
  <c r="R966" i="28"/>
  <c r="Y966" i="28" s="1"/>
  <c r="S966" i="28"/>
  <c r="Z966" i="28" s="1"/>
  <c r="T966" i="28"/>
  <c r="AA966" i="28" s="1"/>
  <c r="U966" i="28"/>
  <c r="AB966" i="28" s="1"/>
  <c r="V966" i="28"/>
  <c r="AC966" i="28" s="1"/>
  <c r="Q967" i="28"/>
  <c r="X967" i="28" s="1"/>
  <c r="R967" i="28"/>
  <c r="Y967" i="28" s="1"/>
  <c r="S967" i="28"/>
  <c r="Z967" i="28" s="1"/>
  <c r="T967" i="28"/>
  <c r="AA967" i="28" s="1"/>
  <c r="U967" i="28"/>
  <c r="AB967" i="28" s="1"/>
  <c r="V967" i="28"/>
  <c r="AC967" i="28" s="1"/>
  <c r="Q968" i="28"/>
  <c r="X968" i="28" s="1"/>
  <c r="R968" i="28"/>
  <c r="Y968" i="28" s="1"/>
  <c r="S968" i="28"/>
  <c r="Z968" i="28" s="1"/>
  <c r="T968" i="28"/>
  <c r="AA968" i="28" s="1"/>
  <c r="U968" i="28"/>
  <c r="AB968" i="28" s="1"/>
  <c r="Q969" i="28"/>
  <c r="X969" i="28" s="1"/>
  <c r="R969" i="28"/>
  <c r="Y969" i="28" s="1"/>
  <c r="S969" i="28"/>
  <c r="Z969" i="28" s="1"/>
  <c r="T969" i="28"/>
  <c r="AA969" i="28" s="1"/>
  <c r="U969" i="28"/>
  <c r="AB969" i="28" s="1"/>
  <c r="V969" i="28"/>
  <c r="AC969" i="28" s="1"/>
  <c r="Q970" i="28"/>
  <c r="X970" i="28" s="1"/>
  <c r="R970" i="28"/>
  <c r="Y970" i="28" s="1"/>
  <c r="S970" i="28"/>
  <c r="Z970" i="28" s="1"/>
  <c r="T970" i="28"/>
  <c r="AA970" i="28" s="1"/>
  <c r="U970" i="28"/>
  <c r="AB970" i="28" s="1"/>
  <c r="V970" i="28"/>
  <c r="AC970" i="28" s="1"/>
  <c r="Q971" i="28"/>
  <c r="X971" i="28" s="1"/>
  <c r="R971" i="28"/>
  <c r="Y971" i="28" s="1"/>
  <c r="S971" i="28"/>
  <c r="Z971" i="28" s="1"/>
  <c r="T971" i="28"/>
  <c r="AA971" i="28" s="1"/>
  <c r="U971" i="28"/>
  <c r="AB971" i="28" s="1"/>
  <c r="V971" i="28"/>
  <c r="AC971" i="28" s="1"/>
  <c r="Q972" i="28"/>
  <c r="X972" i="28" s="1"/>
  <c r="R972" i="28"/>
  <c r="Y972" i="28" s="1"/>
  <c r="S972" i="28"/>
  <c r="Z972" i="28" s="1"/>
  <c r="T972" i="28"/>
  <c r="AA972" i="28" s="1"/>
  <c r="U972" i="28"/>
  <c r="AB972" i="28" s="1"/>
  <c r="V972" i="28"/>
  <c r="AC972" i="28" s="1"/>
  <c r="Q973" i="28"/>
  <c r="X973" i="28" s="1"/>
  <c r="R973" i="28"/>
  <c r="Y973" i="28" s="1"/>
  <c r="S973" i="28"/>
  <c r="Z973" i="28" s="1"/>
  <c r="T973" i="28"/>
  <c r="AA973" i="28" s="1"/>
  <c r="U973" i="28"/>
  <c r="AB973" i="28" s="1"/>
  <c r="V973" i="28"/>
  <c r="AC973" i="28" s="1"/>
  <c r="Q974" i="28"/>
  <c r="X974" i="28" s="1"/>
  <c r="R974" i="28"/>
  <c r="Y974" i="28" s="1"/>
  <c r="S974" i="28"/>
  <c r="Z974" i="28" s="1"/>
  <c r="T974" i="28"/>
  <c r="AA974" i="28" s="1"/>
  <c r="U974" i="28"/>
  <c r="AB974" i="28" s="1"/>
  <c r="V974" i="28"/>
  <c r="AC974" i="28" s="1"/>
  <c r="Q975" i="28"/>
  <c r="X975" i="28" s="1"/>
  <c r="R975" i="28"/>
  <c r="Y975" i="28" s="1"/>
  <c r="S975" i="28"/>
  <c r="Z975" i="28" s="1"/>
  <c r="T975" i="28"/>
  <c r="AA975" i="28" s="1"/>
  <c r="U975" i="28"/>
  <c r="AB975" i="28" s="1"/>
  <c r="V975" i="28"/>
  <c r="AC975" i="28" s="1"/>
  <c r="Q976" i="28"/>
  <c r="X976" i="28" s="1"/>
  <c r="R976" i="28"/>
  <c r="Y976" i="28" s="1"/>
  <c r="S976" i="28"/>
  <c r="Z976" i="28" s="1"/>
  <c r="T976" i="28"/>
  <c r="AA976" i="28" s="1"/>
  <c r="U976" i="28"/>
  <c r="AB976" i="28" s="1"/>
  <c r="Q977" i="28"/>
  <c r="X977" i="28" s="1"/>
  <c r="R977" i="28"/>
  <c r="Y977" i="28" s="1"/>
  <c r="S977" i="28"/>
  <c r="Z977" i="28" s="1"/>
  <c r="T977" i="28"/>
  <c r="AA977" i="28" s="1"/>
  <c r="U977" i="28"/>
  <c r="AB977" i="28" s="1"/>
  <c r="V977" i="28"/>
  <c r="AC977" i="28" s="1"/>
  <c r="Q978" i="28"/>
  <c r="X978" i="28" s="1"/>
  <c r="R978" i="28"/>
  <c r="Y978" i="28" s="1"/>
  <c r="S978" i="28"/>
  <c r="Z978" i="28" s="1"/>
  <c r="T978" i="28"/>
  <c r="AA978" i="28" s="1"/>
  <c r="U978" i="28"/>
  <c r="AB978" i="28" s="1"/>
  <c r="V978" i="28"/>
  <c r="AC978" i="28" s="1"/>
  <c r="Q979" i="28"/>
  <c r="X979" i="28" s="1"/>
  <c r="R979" i="28"/>
  <c r="Y979" i="28" s="1"/>
  <c r="S979" i="28"/>
  <c r="Z979" i="28" s="1"/>
  <c r="T979" i="28"/>
  <c r="AA979" i="28" s="1"/>
  <c r="U979" i="28"/>
  <c r="AB979" i="28" s="1"/>
  <c r="V979" i="28"/>
  <c r="AC979" i="28" s="1"/>
  <c r="Q980" i="28"/>
  <c r="X980" i="28" s="1"/>
  <c r="R980" i="28"/>
  <c r="Y980" i="28" s="1"/>
  <c r="S980" i="28"/>
  <c r="Z980" i="28" s="1"/>
  <c r="T980" i="28"/>
  <c r="AA980" i="28" s="1"/>
  <c r="U980" i="28"/>
  <c r="AB980" i="28" s="1"/>
  <c r="V980" i="28"/>
  <c r="AC980" i="28" s="1"/>
  <c r="Q981" i="28"/>
  <c r="X981" i="28" s="1"/>
  <c r="R981" i="28"/>
  <c r="Y981" i="28" s="1"/>
  <c r="S981" i="28"/>
  <c r="Z981" i="28" s="1"/>
  <c r="T981" i="28"/>
  <c r="AA981" i="28" s="1"/>
  <c r="U981" i="28"/>
  <c r="AB981" i="28" s="1"/>
  <c r="V981" i="28"/>
  <c r="AC981" i="28" s="1"/>
  <c r="Q982" i="28"/>
  <c r="X982" i="28" s="1"/>
  <c r="R982" i="28"/>
  <c r="Y982" i="28" s="1"/>
  <c r="S982" i="28"/>
  <c r="Z982" i="28" s="1"/>
  <c r="T982" i="28"/>
  <c r="AA982" i="28" s="1"/>
  <c r="U982" i="28"/>
  <c r="AB982" i="28" s="1"/>
  <c r="V982" i="28"/>
  <c r="AC982" i="28" s="1"/>
  <c r="Q983" i="28"/>
  <c r="X983" i="28" s="1"/>
  <c r="R983" i="28"/>
  <c r="Y983" i="28" s="1"/>
  <c r="S983" i="28"/>
  <c r="Z983" i="28" s="1"/>
  <c r="T983" i="28"/>
  <c r="AA983" i="28" s="1"/>
  <c r="U983" i="28"/>
  <c r="AB983" i="28" s="1"/>
  <c r="V983" i="28"/>
  <c r="AC983" i="28" s="1"/>
  <c r="Q984" i="28"/>
  <c r="X984" i="28" s="1"/>
  <c r="R984" i="28"/>
  <c r="Y984" i="28" s="1"/>
  <c r="S984" i="28"/>
  <c r="Z984" i="28" s="1"/>
  <c r="T984" i="28"/>
  <c r="AA984" i="28" s="1"/>
  <c r="U984" i="28"/>
  <c r="AB984" i="28" s="1"/>
  <c r="Q985" i="28"/>
  <c r="X985" i="28" s="1"/>
  <c r="R985" i="28"/>
  <c r="Y985" i="28" s="1"/>
  <c r="S985" i="28"/>
  <c r="Z985" i="28" s="1"/>
  <c r="T985" i="28"/>
  <c r="AA985" i="28" s="1"/>
  <c r="U985" i="28"/>
  <c r="AB985" i="28" s="1"/>
  <c r="V985" i="28"/>
  <c r="AC985" i="28" s="1"/>
  <c r="Q986" i="28"/>
  <c r="X986" i="28" s="1"/>
  <c r="R986" i="28"/>
  <c r="Y986" i="28" s="1"/>
  <c r="S986" i="28"/>
  <c r="Z986" i="28" s="1"/>
  <c r="T986" i="28"/>
  <c r="AA986" i="28" s="1"/>
  <c r="U986" i="28"/>
  <c r="AB986" i="28" s="1"/>
  <c r="V986" i="28"/>
  <c r="AC986" i="28" s="1"/>
  <c r="Q987" i="28"/>
  <c r="X987" i="28" s="1"/>
  <c r="R987" i="28"/>
  <c r="Y987" i="28" s="1"/>
  <c r="S987" i="28"/>
  <c r="Z987" i="28" s="1"/>
  <c r="T987" i="28"/>
  <c r="AA987" i="28" s="1"/>
  <c r="U987" i="28"/>
  <c r="AB987" i="28" s="1"/>
  <c r="V987" i="28"/>
  <c r="AC987" i="28" s="1"/>
  <c r="Q988" i="28"/>
  <c r="X988" i="28" s="1"/>
  <c r="R988" i="28"/>
  <c r="Y988" i="28" s="1"/>
  <c r="S988" i="28"/>
  <c r="Z988" i="28" s="1"/>
  <c r="T988" i="28"/>
  <c r="AA988" i="28" s="1"/>
  <c r="U988" i="28"/>
  <c r="AB988" i="28" s="1"/>
  <c r="V988" i="28"/>
  <c r="AC988" i="28" s="1"/>
  <c r="Q989" i="28"/>
  <c r="X989" i="28" s="1"/>
  <c r="R989" i="28"/>
  <c r="Y989" i="28" s="1"/>
  <c r="S989" i="28"/>
  <c r="Z989" i="28" s="1"/>
  <c r="T989" i="28"/>
  <c r="AA989" i="28" s="1"/>
  <c r="U989" i="28"/>
  <c r="AB989" i="28" s="1"/>
  <c r="V989" i="28"/>
  <c r="AC989" i="28" s="1"/>
  <c r="Q990" i="28"/>
  <c r="X990" i="28" s="1"/>
  <c r="R990" i="28"/>
  <c r="Y990" i="28" s="1"/>
  <c r="S990" i="28"/>
  <c r="Z990" i="28" s="1"/>
  <c r="T990" i="28"/>
  <c r="AA990" i="28" s="1"/>
  <c r="U990" i="28"/>
  <c r="AB990" i="28" s="1"/>
  <c r="V990" i="28"/>
  <c r="AC990" i="28" s="1"/>
  <c r="Q991" i="28"/>
  <c r="X991" i="28" s="1"/>
  <c r="R991" i="28"/>
  <c r="Y991" i="28" s="1"/>
  <c r="S991" i="28"/>
  <c r="Z991" i="28" s="1"/>
  <c r="T991" i="28"/>
  <c r="AA991" i="28" s="1"/>
  <c r="U991" i="28"/>
  <c r="AB991" i="28" s="1"/>
  <c r="V991" i="28"/>
  <c r="AC991" i="28" s="1"/>
  <c r="Q992" i="28"/>
  <c r="X992" i="28" s="1"/>
  <c r="R992" i="28"/>
  <c r="Y992" i="28" s="1"/>
  <c r="S992" i="28"/>
  <c r="Z992" i="28" s="1"/>
  <c r="T992" i="28"/>
  <c r="AA992" i="28" s="1"/>
  <c r="U992" i="28"/>
  <c r="AB992" i="28" s="1"/>
  <c r="Q993" i="28"/>
  <c r="X993" i="28" s="1"/>
  <c r="R993" i="28"/>
  <c r="Y993" i="28" s="1"/>
  <c r="S993" i="28"/>
  <c r="Z993" i="28" s="1"/>
  <c r="T993" i="28"/>
  <c r="AA993" i="28" s="1"/>
  <c r="U993" i="28"/>
  <c r="AB993" i="28" s="1"/>
  <c r="V993" i="28"/>
  <c r="AC993" i="28" s="1"/>
  <c r="Q994" i="28"/>
  <c r="X994" i="28" s="1"/>
  <c r="R994" i="28"/>
  <c r="Y994" i="28" s="1"/>
  <c r="S994" i="28"/>
  <c r="Z994" i="28" s="1"/>
  <c r="T994" i="28"/>
  <c r="AA994" i="28" s="1"/>
  <c r="U994" i="28"/>
  <c r="AB994" i="28" s="1"/>
  <c r="V994" i="28"/>
  <c r="AC994" i="28" s="1"/>
  <c r="Q995" i="28"/>
  <c r="X995" i="28" s="1"/>
  <c r="R995" i="28"/>
  <c r="Y995" i="28" s="1"/>
  <c r="S995" i="28"/>
  <c r="Z995" i="28" s="1"/>
  <c r="T995" i="28"/>
  <c r="AA995" i="28" s="1"/>
  <c r="U995" i="28"/>
  <c r="AB995" i="28" s="1"/>
  <c r="V995" i="28"/>
  <c r="AC995" i="28" s="1"/>
  <c r="Q996" i="28"/>
  <c r="X996" i="28" s="1"/>
  <c r="R996" i="28"/>
  <c r="Y996" i="28" s="1"/>
  <c r="S996" i="28"/>
  <c r="Z996" i="28" s="1"/>
  <c r="T996" i="28"/>
  <c r="AA996" i="28" s="1"/>
  <c r="U996" i="28"/>
  <c r="AB996" i="28" s="1"/>
  <c r="V996" i="28"/>
  <c r="AC996" i="28" s="1"/>
  <c r="Q997" i="28"/>
  <c r="X997" i="28" s="1"/>
  <c r="R997" i="28"/>
  <c r="Y997" i="28" s="1"/>
  <c r="S997" i="28"/>
  <c r="Z997" i="28" s="1"/>
  <c r="T997" i="28"/>
  <c r="AA997" i="28" s="1"/>
  <c r="U997" i="28"/>
  <c r="AB997" i="28" s="1"/>
  <c r="V997" i="28"/>
  <c r="AC997" i="28" s="1"/>
  <c r="Q998" i="28"/>
  <c r="X998" i="28" s="1"/>
  <c r="R998" i="28"/>
  <c r="Y998" i="28" s="1"/>
  <c r="S998" i="28"/>
  <c r="Z998" i="28" s="1"/>
  <c r="T998" i="28"/>
  <c r="AA998" i="28" s="1"/>
  <c r="U998" i="28"/>
  <c r="AB998" i="28" s="1"/>
  <c r="V998" i="28"/>
  <c r="AC998" i="28" s="1"/>
  <c r="Q999" i="28"/>
  <c r="X999" i="28" s="1"/>
  <c r="R999" i="28"/>
  <c r="Y999" i="28" s="1"/>
  <c r="S999" i="28"/>
  <c r="Z999" i="28" s="1"/>
  <c r="T999" i="28"/>
  <c r="AA999" i="28" s="1"/>
  <c r="U999" i="28"/>
  <c r="AB999" i="28" s="1"/>
  <c r="V999" i="28"/>
  <c r="AC999" i="28" s="1"/>
  <c r="Q1000" i="28"/>
  <c r="X1000" i="28" s="1"/>
  <c r="R1000" i="28"/>
  <c r="Y1000" i="28" s="1"/>
  <c r="S1000" i="28"/>
  <c r="Z1000" i="28" s="1"/>
  <c r="T1000" i="28"/>
  <c r="AA1000" i="28" s="1"/>
  <c r="U1000" i="28"/>
  <c r="AB1000" i="28" s="1"/>
  <c r="Q1001" i="28"/>
  <c r="X1001" i="28" s="1"/>
  <c r="R1001" i="28"/>
  <c r="Y1001" i="28" s="1"/>
  <c r="S1001" i="28"/>
  <c r="Z1001" i="28" s="1"/>
  <c r="T1001" i="28"/>
  <c r="AA1001" i="28" s="1"/>
  <c r="U1001" i="28"/>
  <c r="AB1001" i="28" s="1"/>
  <c r="V1001" i="28"/>
  <c r="AC1001" i="28" s="1"/>
  <c r="Q1002" i="28"/>
  <c r="X1002" i="28" s="1"/>
  <c r="R1002" i="28"/>
  <c r="Y1002" i="28" s="1"/>
  <c r="S1002" i="28"/>
  <c r="Z1002" i="28" s="1"/>
  <c r="T1002" i="28"/>
  <c r="AA1002" i="28" s="1"/>
  <c r="U1002" i="28"/>
  <c r="AB1002" i="28" s="1"/>
  <c r="V1002" i="28"/>
  <c r="AC1002" i="28" s="1"/>
  <c r="Q1003" i="28"/>
  <c r="X1003" i="28" s="1"/>
  <c r="R1003" i="28"/>
  <c r="Y1003" i="28" s="1"/>
  <c r="S1003" i="28"/>
  <c r="Z1003" i="28" s="1"/>
  <c r="T1003" i="28"/>
  <c r="AA1003" i="28" s="1"/>
  <c r="U1003" i="28"/>
  <c r="AB1003" i="28" s="1"/>
  <c r="V1003" i="28"/>
  <c r="AC1003" i="28" s="1"/>
  <c r="Q1004" i="28"/>
  <c r="X1004" i="28" s="1"/>
  <c r="R1004" i="28"/>
  <c r="Y1004" i="28" s="1"/>
  <c r="S1004" i="28"/>
  <c r="Z1004" i="28" s="1"/>
  <c r="T1004" i="28"/>
  <c r="AA1004" i="28" s="1"/>
  <c r="U1004" i="28"/>
  <c r="AB1004" i="28" s="1"/>
  <c r="V1004" i="28"/>
  <c r="AC1004" i="28" s="1"/>
  <c r="Q1005" i="28"/>
  <c r="X1005" i="28" s="1"/>
  <c r="R1005" i="28"/>
  <c r="Y1005" i="28" s="1"/>
  <c r="S1005" i="28"/>
  <c r="Z1005" i="28" s="1"/>
  <c r="T1005" i="28"/>
  <c r="AA1005" i="28" s="1"/>
  <c r="U1005" i="28"/>
  <c r="AB1005" i="28" s="1"/>
  <c r="V1005" i="28"/>
  <c r="AC1005" i="28" s="1"/>
  <c r="Q1006" i="28"/>
  <c r="X1006" i="28" s="1"/>
  <c r="R1006" i="28"/>
  <c r="Y1006" i="28" s="1"/>
  <c r="S1006" i="28"/>
  <c r="Z1006" i="28" s="1"/>
  <c r="T1006" i="28"/>
  <c r="AA1006" i="28" s="1"/>
  <c r="U1006" i="28"/>
  <c r="AB1006" i="28" s="1"/>
  <c r="V1006" i="28"/>
  <c r="AC1006" i="28" s="1"/>
  <c r="Q1007" i="28"/>
  <c r="X1007" i="28" s="1"/>
  <c r="R1007" i="28"/>
  <c r="Y1007" i="28" s="1"/>
  <c r="S1007" i="28"/>
  <c r="Z1007" i="28" s="1"/>
  <c r="T1007" i="28"/>
  <c r="AA1007" i="28" s="1"/>
  <c r="U1007" i="28"/>
  <c r="AB1007" i="28" s="1"/>
  <c r="V1007" i="28"/>
  <c r="AC1007" i="28" s="1"/>
  <c r="Q1008" i="28"/>
  <c r="X1008" i="28" s="1"/>
  <c r="R1008" i="28"/>
  <c r="Y1008" i="28" s="1"/>
  <c r="S1008" i="28"/>
  <c r="Z1008" i="28" s="1"/>
  <c r="T1008" i="28"/>
  <c r="AA1008" i="28" s="1"/>
  <c r="U1008" i="28"/>
  <c r="AB1008" i="28" s="1"/>
  <c r="Q1009" i="28"/>
  <c r="X1009" i="28" s="1"/>
  <c r="R1009" i="28"/>
  <c r="Y1009" i="28" s="1"/>
  <c r="S1009" i="28"/>
  <c r="Z1009" i="28" s="1"/>
  <c r="T1009" i="28"/>
  <c r="AA1009" i="28" s="1"/>
  <c r="U1009" i="28"/>
  <c r="AB1009" i="28" s="1"/>
  <c r="V1009" i="28"/>
  <c r="AC1009" i="28" s="1"/>
  <c r="Q1010" i="28"/>
  <c r="X1010" i="28" s="1"/>
  <c r="R1010" i="28"/>
  <c r="Y1010" i="28" s="1"/>
  <c r="S1010" i="28"/>
  <c r="Z1010" i="28" s="1"/>
  <c r="T1010" i="28"/>
  <c r="AA1010" i="28" s="1"/>
  <c r="U1010" i="28"/>
  <c r="AB1010" i="28" s="1"/>
  <c r="V1010" i="28"/>
  <c r="AC1010" i="28" s="1"/>
  <c r="Q1011" i="28"/>
  <c r="X1011" i="28" s="1"/>
  <c r="R1011" i="28"/>
  <c r="Y1011" i="28" s="1"/>
  <c r="S1011" i="28"/>
  <c r="Z1011" i="28" s="1"/>
  <c r="T1011" i="28"/>
  <c r="AA1011" i="28" s="1"/>
  <c r="U1011" i="28"/>
  <c r="AB1011" i="28" s="1"/>
  <c r="V1011" i="28"/>
  <c r="AC1011" i="28" s="1"/>
  <c r="Q1012" i="28"/>
  <c r="X1012" i="28" s="1"/>
  <c r="R1012" i="28"/>
  <c r="Y1012" i="28" s="1"/>
  <c r="S1012" i="28"/>
  <c r="Z1012" i="28" s="1"/>
  <c r="T1012" i="28"/>
  <c r="AA1012" i="28" s="1"/>
  <c r="U1012" i="28"/>
  <c r="AB1012" i="28" s="1"/>
  <c r="V1012" i="28"/>
  <c r="AC1012" i="28" s="1"/>
  <c r="Q1013" i="28"/>
  <c r="X1013" i="28" s="1"/>
  <c r="R1013" i="28"/>
  <c r="Y1013" i="28" s="1"/>
  <c r="S1013" i="28"/>
  <c r="Z1013" i="28" s="1"/>
  <c r="T1013" i="28"/>
  <c r="AA1013" i="28" s="1"/>
  <c r="U1013" i="28"/>
  <c r="AB1013" i="28" s="1"/>
  <c r="V1013" i="28"/>
  <c r="AC1013" i="28" s="1"/>
  <c r="Q1014" i="28"/>
  <c r="X1014" i="28" s="1"/>
  <c r="R1014" i="28"/>
  <c r="Y1014" i="28" s="1"/>
  <c r="S1014" i="28"/>
  <c r="Z1014" i="28" s="1"/>
  <c r="T1014" i="28"/>
  <c r="AA1014" i="28" s="1"/>
  <c r="U1014" i="28"/>
  <c r="AB1014" i="28" s="1"/>
  <c r="V1014" i="28"/>
  <c r="AC1014" i="28" s="1"/>
  <c r="Q1015" i="28"/>
  <c r="X1015" i="28" s="1"/>
  <c r="R1015" i="28"/>
  <c r="Y1015" i="28" s="1"/>
  <c r="S1015" i="28"/>
  <c r="Z1015" i="28" s="1"/>
  <c r="T1015" i="28"/>
  <c r="AA1015" i="28" s="1"/>
  <c r="U1015" i="28"/>
  <c r="AB1015" i="28" s="1"/>
  <c r="V1015" i="28"/>
  <c r="AC1015" i="28" s="1"/>
  <c r="R16" i="28"/>
  <c r="Y16" i="28" s="1"/>
  <c r="S16" i="28"/>
  <c r="Z16" i="28" s="1"/>
  <c r="T16" i="28"/>
  <c r="AA16" i="28" s="1"/>
  <c r="U16" i="28"/>
  <c r="AB16" i="28" s="1"/>
  <c r="Q16" i="28"/>
  <c r="X16" i="28" s="1"/>
  <c r="Q4" i="28"/>
  <c r="R4" i="28" s="1"/>
  <c r="S4" i="28" s="1"/>
  <c r="T4" i="28" s="1"/>
  <c r="U4" i="28" s="1"/>
  <c r="N7" i="28"/>
  <c r="J4" i="28"/>
  <c r="K4" i="28" s="1"/>
  <c r="L4" i="28" s="1"/>
  <c r="M4" i="28" s="1"/>
  <c r="N4" i="28" s="1"/>
  <c r="G7" i="28"/>
  <c r="H7" i="28"/>
  <c r="C4" i="28"/>
  <c r="D4" i="28" s="1"/>
  <c r="E4" i="28" s="1"/>
  <c r="F4" i="28" s="1"/>
  <c r="G4" i="28" s="1"/>
  <c r="M7" i="28"/>
  <c r="L7" i="28"/>
  <c r="K7" i="28"/>
  <c r="F7" i="28"/>
  <c r="E7" i="28"/>
  <c r="D7" i="28"/>
  <c r="C7" i="28"/>
  <c r="N5" i="7" l="1"/>
  <c r="G5" i="7" s="1"/>
  <c r="N8" i="7"/>
  <c r="G8" i="7" s="1"/>
  <c r="N12" i="7"/>
  <c r="G12" i="7" s="1"/>
  <c r="N11" i="7"/>
  <c r="G11" i="7" s="1"/>
  <c r="N10" i="7"/>
  <c r="G10" i="7" s="1"/>
  <c r="M57" i="7"/>
  <c r="N57" i="7"/>
  <c r="N7" i="7"/>
  <c r="G7" i="7" s="1"/>
  <c r="E7" i="7" s="1"/>
  <c r="M58" i="7"/>
  <c r="N58" i="7"/>
  <c r="N13" i="7"/>
  <c r="G13" i="7" s="1"/>
  <c r="N9" i="7"/>
  <c r="G9" i="7" s="1"/>
  <c r="M6" i="7"/>
  <c r="AX7" i="28"/>
  <c r="AU9" i="28"/>
  <c r="AT9" i="28"/>
  <c r="AT10" i="28"/>
  <c r="AT7" i="28"/>
  <c r="AX10" i="28"/>
  <c r="AW7" i="28"/>
  <c r="AW9" i="28"/>
  <c r="AU7" i="28"/>
  <c r="AV9" i="28"/>
  <c r="AV10" i="28"/>
  <c r="BA16" i="28"/>
  <c r="AY64" i="28"/>
  <c r="BF64" i="28" s="1"/>
  <c r="O7" i="28"/>
  <c r="BF16" i="28"/>
  <c r="AX11" i="28"/>
  <c r="AV11" i="28"/>
  <c r="AV7" i="28"/>
  <c r="F34" i="11" s="1"/>
  <c r="AX9" i="28"/>
  <c r="AT11" i="28"/>
  <c r="AU10" i="28"/>
  <c r="BD16" i="28"/>
  <c r="AW11" i="28" s="1"/>
  <c r="BB45" i="28"/>
  <c r="AU11" i="28" s="1"/>
  <c r="AW10" i="28"/>
  <c r="Q7" i="28"/>
  <c r="V11" i="28"/>
  <c r="U11" i="28"/>
  <c r="T11" i="28"/>
  <c r="R11" i="28"/>
  <c r="Q11" i="28"/>
  <c r="R9" i="28"/>
  <c r="S11" i="28"/>
  <c r="Q9" i="28"/>
  <c r="U9" i="28"/>
  <c r="U10" i="28"/>
  <c r="T9" i="28"/>
  <c r="V7" i="28"/>
  <c r="I25" i="11" s="1"/>
  <c r="S9" i="28"/>
  <c r="T7" i="28"/>
  <c r="G25" i="11" s="1"/>
  <c r="Q10" i="28"/>
  <c r="T10" i="28"/>
  <c r="U7" i="28"/>
  <c r="H25" i="11" s="1"/>
  <c r="V9" i="28"/>
  <c r="V10" i="28"/>
  <c r="R10" i="28"/>
  <c r="S7" i="28"/>
  <c r="F25" i="11" s="1"/>
  <c r="S10" i="28"/>
  <c r="R7" i="28"/>
  <c r="E25" i="11" s="1"/>
  <c r="AU12" i="28" l="1"/>
  <c r="E35" i="11" s="1"/>
  <c r="E34" i="11"/>
  <c r="AX12" i="28"/>
  <c r="H35" i="11" s="1"/>
  <c r="H34" i="11"/>
  <c r="AW13" i="28"/>
  <c r="G36" i="11" s="1"/>
  <c r="G34" i="11"/>
  <c r="AT12" i="28"/>
  <c r="D35" i="11" s="1"/>
  <c r="D34" i="11"/>
  <c r="D25" i="11"/>
  <c r="Q12" i="28"/>
  <c r="D26" i="11" s="1"/>
  <c r="G57" i="7"/>
  <c r="G58" i="7"/>
  <c r="N6" i="7"/>
  <c r="G6" i="7" s="1"/>
  <c r="E6" i="7" s="1"/>
  <c r="R13" i="28"/>
  <c r="E27" i="11" s="1"/>
  <c r="R12" i="28"/>
  <c r="E26" i="11" s="1"/>
  <c r="T12" i="28"/>
  <c r="G26" i="11" s="1"/>
  <c r="T13" i="28"/>
  <c r="G27" i="11" s="1"/>
  <c r="Q13" i="28"/>
  <c r="D27" i="11" s="1"/>
  <c r="S12" i="28"/>
  <c r="F26" i="11" s="1"/>
  <c r="S13" i="28"/>
  <c r="F27" i="11" s="1"/>
  <c r="V13" i="28"/>
  <c r="I27" i="11" s="1"/>
  <c r="V12" i="28"/>
  <c r="I26" i="11" s="1"/>
  <c r="U13" i="28"/>
  <c r="H27" i="11" s="1"/>
  <c r="U12" i="28"/>
  <c r="H26" i="11" s="1"/>
  <c r="AY11" i="28"/>
  <c r="AY7" i="28"/>
  <c r="AY10" i="28"/>
  <c r="AY9" i="28"/>
  <c r="AT13" i="28"/>
  <c r="D36" i="11" s="1"/>
  <c r="AX13" i="28"/>
  <c r="H36" i="11" s="1"/>
  <c r="AU13" i="28"/>
  <c r="E36" i="11" s="1"/>
  <c r="AW12" i="28"/>
  <c r="G35" i="11" s="1"/>
  <c r="AV13" i="28"/>
  <c r="F36" i="11" s="1"/>
  <c r="AV12" i="28"/>
  <c r="F35" i="11" s="1"/>
  <c r="AY12" i="28" l="1"/>
  <c r="I35" i="11" s="1"/>
  <c r="I34" i="11"/>
  <c r="AY13" i="28"/>
  <c r="I36" i="11" s="1"/>
  <c r="H54" i="15"/>
  <c r="C81" i="15" s="1"/>
  <c r="C80" i="15" l="1"/>
  <c r="C63" i="15"/>
  <c r="C69" i="15"/>
  <c r="B14" i="9"/>
  <c r="B8" i="9"/>
  <c r="J8" i="9"/>
  <c r="B11" i="9"/>
  <c r="J10" i="9"/>
  <c r="J11" i="9"/>
  <c r="B17" i="9"/>
  <c r="J13" i="9"/>
  <c r="B10" i="9"/>
  <c r="J14" i="9"/>
  <c r="B13" i="9"/>
  <c r="J16" i="9"/>
  <c r="B16" i="9"/>
  <c r="J17" i="9"/>
  <c r="B19" i="9"/>
  <c r="J19" i="9"/>
  <c r="B5" i="9"/>
  <c r="R6" i="5" l="1"/>
  <c r="AE117" i="15" l="1"/>
  <c r="X117" i="15"/>
  <c r="Q117" i="15"/>
  <c r="AE69" i="15"/>
  <c r="X69" i="15"/>
  <c r="Q69" i="15"/>
  <c r="H102" i="15"/>
  <c r="H106" i="15"/>
  <c r="AF118" i="15" s="1"/>
  <c r="H91" i="15"/>
  <c r="H62" i="15"/>
  <c r="C70" i="15"/>
  <c r="AX108" i="26"/>
  <c r="AW108" i="26"/>
  <c r="AV108" i="26"/>
  <c r="AU108" i="26"/>
  <c r="AT108" i="26"/>
  <c r="AS108" i="26"/>
  <c r="AR108" i="26"/>
  <c r="AQ108" i="26"/>
  <c r="AP108" i="26"/>
  <c r="AO108" i="26"/>
  <c r="AN108" i="26"/>
  <c r="AM108" i="26"/>
  <c r="AL108" i="26"/>
  <c r="AK108" i="26"/>
  <c r="AF108" i="26"/>
  <c r="AE108" i="26"/>
  <c r="AD108" i="26"/>
  <c r="AC108" i="26"/>
  <c r="AB108" i="26"/>
  <c r="AA108" i="26"/>
  <c r="Z108" i="26"/>
  <c r="Y108" i="26"/>
  <c r="X108" i="26"/>
  <c r="W108" i="26"/>
  <c r="V108" i="26"/>
  <c r="U108" i="26"/>
  <c r="T108" i="26"/>
  <c r="S108" i="26"/>
  <c r="P108" i="26"/>
  <c r="O108" i="26"/>
  <c r="N108" i="26"/>
  <c r="M108" i="26"/>
  <c r="L108" i="26"/>
  <c r="K108" i="26"/>
  <c r="J108" i="26"/>
  <c r="I108" i="26"/>
  <c r="H108" i="26"/>
  <c r="G108" i="26"/>
  <c r="F108" i="26"/>
  <c r="E108" i="26"/>
  <c r="D108" i="26"/>
  <c r="C108" i="26"/>
  <c r="AX8" i="26"/>
  <c r="AW8" i="26"/>
  <c r="AV8" i="26"/>
  <c r="AU8" i="26"/>
  <c r="AT8" i="26"/>
  <c r="AS8" i="26"/>
  <c r="AR8" i="26"/>
  <c r="AQ8" i="26"/>
  <c r="AP8" i="26"/>
  <c r="AO8" i="26"/>
  <c r="AN8" i="26"/>
  <c r="AM8" i="26"/>
  <c r="AL8" i="26"/>
  <c r="AK8" i="26"/>
  <c r="AF8" i="26"/>
  <c r="AE8" i="26"/>
  <c r="AD8" i="26"/>
  <c r="AC8" i="26"/>
  <c r="AB8" i="26"/>
  <c r="AA8" i="26"/>
  <c r="Z8" i="26"/>
  <c r="Y8" i="26"/>
  <c r="X8" i="26"/>
  <c r="W8" i="26"/>
  <c r="V8" i="26"/>
  <c r="U8" i="26"/>
  <c r="T8" i="26"/>
  <c r="S8" i="26"/>
  <c r="P8" i="26"/>
  <c r="O8" i="26"/>
  <c r="N8" i="26"/>
  <c r="M8" i="26"/>
  <c r="L8" i="26"/>
  <c r="K8" i="26"/>
  <c r="J8" i="26"/>
  <c r="I8" i="26"/>
  <c r="H8" i="26"/>
  <c r="G8" i="26"/>
  <c r="F8" i="26"/>
  <c r="E8" i="26"/>
  <c r="D8" i="26"/>
  <c r="C8" i="26"/>
  <c r="H58" i="15"/>
  <c r="H40" i="15"/>
  <c r="J33" i="4"/>
  <c r="J34" i="4"/>
  <c r="J35" i="4"/>
  <c r="J36" i="4"/>
  <c r="J37" i="4"/>
  <c r="J38" i="4"/>
  <c r="J39" i="4"/>
  <c r="J40" i="4"/>
  <c r="J41" i="4"/>
  <c r="J42" i="4"/>
  <c r="J43" i="4"/>
  <c r="J44" i="4"/>
  <c r="J45" i="4"/>
  <c r="J32" i="4"/>
  <c r="J6" i="20"/>
  <c r="B6" i="20"/>
  <c r="C41" i="7"/>
  <c r="C40" i="7"/>
  <c r="C39" i="7"/>
  <c r="C38" i="7"/>
  <c r="C37" i="7"/>
  <c r="C36" i="7"/>
  <c r="C35" i="7"/>
  <c r="C34" i="7"/>
  <c r="C33" i="7"/>
  <c r="C32" i="7"/>
  <c r="C31" i="7"/>
  <c r="C30" i="7"/>
  <c r="C29" i="7"/>
  <c r="C28" i="7"/>
  <c r="C27" i="7"/>
  <c r="C26" i="7"/>
  <c r="C25" i="7"/>
  <c r="C24" i="7"/>
  <c r="C23" i="7"/>
  <c r="C22" i="7"/>
  <c r="C21" i="7"/>
  <c r="C19" i="7"/>
  <c r="C18" i="7"/>
  <c r="H18" i="21" s="1"/>
  <c r="C17" i="7"/>
  <c r="C16" i="7"/>
  <c r="C15" i="7"/>
  <c r="C14" i="7"/>
  <c r="C55" i="7"/>
  <c r="C54" i="7"/>
  <c r="C53" i="7"/>
  <c r="C52" i="7"/>
  <c r="C51" i="7"/>
  <c r="C50" i="7"/>
  <c r="C49" i="7"/>
  <c r="C48" i="7"/>
  <c r="C47" i="7"/>
  <c r="C46" i="7"/>
  <c r="C45" i="7"/>
  <c r="C44" i="7"/>
  <c r="C43" i="7"/>
  <c r="C42" i="7"/>
  <c r="AL127" i="15"/>
  <c r="AE127" i="15"/>
  <c r="X127" i="15"/>
  <c r="Q127" i="15"/>
  <c r="H127" i="15"/>
  <c r="C127" i="15"/>
  <c r="AL126" i="15"/>
  <c r="AE126" i="15"/>
  <c r="X126" i="15"/>
  <c r="Q126" i="15"/>
  <c r="H126" i="15"/>
  <c r="C126" i="15"/>
  <c r="AL125" i="15"/>
  <c r="AE125" i="15"/>
  <c r="X125" i="15"/>
  <c r="Q125" i="15"/>
  <c r="H125" i="15"/>
  <c r="C125" i="15"/>
  <c r="AL124" i="15"/>
  <c r="AE124" i="15"/>
  <c r="X124" i="15"/>
  <c r="Q124" i="15"/>
  <c r="H124" i="15"/>
  <c r="C124" i="15"/>
  <c r="AL123" i="15"/>
  <c r="AE123" i="15"/>
  <c r="X123" i="15"/>
  <c r="Q123" i="15"/>
  <c r="H123" i="15"/>
  <c r="C123" i="15"/>
  <c r="AL122" i="15"/>
  <c r="AE122" i="15"/>
  <c r="X122" i="15"/>
  <c r="Q122" i="15"/>
  <c r="H122" i="15"/>
  <c r="C122" i="15"/>
  <c r="AL121" i="15"/>
  <c r="AE121" i="15"/>
  <c r="X121" i="15"/>
  <c r="Q121" i="15"/>
  <c r="H121" i="15"/>
  <c r="C121" i="15"/>
  <c r="AL120" i="15"/>
  <c r="AE120" i="15"/>
  <c r="X120" i="15"/>
  <c r="Q120" i="15"/>
  <c r="H120" i="15"/>
  <c r="C120" i="15"/>
  <c r="AL119" i="15"/>
  <c r="AE119" i="15"/>
  <c r="X119" i="15"/>
  <c r="Q119" i="15"/>
  <c r="H119" i="15"/>
  <c r="C119" i="15"/>
  <c r="AL118" i="15"/>
  <c r="AE118" i="15"/>
  <c r="X118" i="15"/>
  <c r="Q118" i="15"/>
  <c r="H118" i="15"/>
  <c r="C118" i="15"/>
  <c r="AL116" i="15"/>
  <c r="AE116" i="15"/>
  <c r="X116" i="15"/>
  <c r="Q116" i="15"/>
  <c r="H116" i="15"/>
  <c r="C116" i="15"/>
  <c r="AL115" i="15"/>
  <c r="AE115" i="15"/>
  <c r="X115" i="15"/>
  <c r="Q115" i="15"/>
  <c r="H115" i="15"/>
  <c r="C115" i="15"/>
  <c r="AL114" i="15"/>
  <c r="AE114" i="15"/>
  <c r="X114" i="15"/>
  <c r="Q114" i="15"/>
  <c r="H114" i="15"/>
  <c r="C114" i="15"/>
  <c r="AL113" i="15"/>
  <c r="AE113" i="15"/>
  <c r="X113" i="15"/>
  <c r="Q113" i="15"/>
  <c r="H113" i="15"/>
  <c r="C113" i="15"/>
  <c r="AL79" i="15"/>
  <c r="AE79" i="15"/>
  <c r="X79" i="15"/>
  <c r="Q79" i="15"/>
  <c r="H79" i="15"/>
  <c r="C79" i="15"/>
  <c r="AL78" i="15"/>
  <c r="AE78" i="15"/>
  <c r="X78" i="15"/>
  <c r="Q78" i="15"/>
  <c r="H78" i="15"/>
  <c r="C78" i="15"/>
  <c r="AL77" i="15"/>
  <c r="AE77" i="15"/>
  <c r="X77" i="15"/>
  <c r="Q77" i="15"/>
  <c r="H77" i="15"/>
  <c r="C77" i="15"/>
  <c r="AL76" i="15"/>
  <c r="AE76" i="15"/>
  <c r="X76" i="15"/>
  <c r="Q76" i="15"/>
  <c r="H76" i="15"/>
  <c r="C76" i="15"/>
  <c r="AL75" i="15"/>
  <c r="AE75" i="15"/>
  <c r="X75" i="15"/>
  <c r="Q75" i="15"/>
  <c r="H75" i="15"/>
  <c r="C75" i="15"/>
  <c r="AL74" i="15"/>
  <c r="AE74" i="15"/>
  <c r="X74" i="15"/>
  <c r="Q74" i="15"/>
  <c r="H74" i="15"/>
  <c r="C74" i="15"/>
  <c r="AL73" i="15"/>
  <c r="AE73" i="15"/>
  <c r="X73" i="15"/>
  <c r="Q73" i="15"/>
  <c r="H73" i="15"/>
  <c r="C73" i="15"/>
  <c r="AL72" i="15"/>
  <c r="AE72" i="15"/>
  <c r="X72" i="15"/>
  <c r="Q72" i="15"/>
  <c r="H72" i="15"/>
  <c r="C72" i="15"/>
  <c r="AL71" i="15"/>
  <c r="AE71" i="15"/>
  <c r="X71" i="15"/>
  <c r="Q71" i="15"/>
  <c r="H71" i="15"/>
  <c r="C71" i="15"/>
  <c r="AL70" i="15"/>
  <c r="AE70" i="15"/>
  <c r="X70" i="15"/>
  <c r="Q70" i="15"/>
  <c r="H70" i="15"/>
  <c r="AL68" i="15"/>
  <c r="AE68" i="15"/>
  <c r="X68" i="15"/>
  <c r="Q68" i="15"/>
  <c r="H68" i="15"/>
  <c r="C68" i="15"/>
  <c r="AL67" i="15"/>
  <c r="AE67" i="15"/>
  <c r="X67" i="15"/>
  <c r="Q67" i="15"/>
  <c r="H67" i="15"/>
  <c r="C67" i="15"/>
  <c r="AL66" i="15"/>
  <c r="AE66" i="15"/>
  <c r="X66" i="15"/>
  <c r="Q66" i="15"/>
  <c r="H66" i="15"/>
  <c r="C66" i="15"/>
  <c r="AL65" i="15"/>
  <c r="AE65" i="15"/>
  <c r="X65" i="15"/>
  <c r="Q65" i="15"/>
  <c r="H65" i="15"/>
  <c r="C65" i="15"/>
  <c r="C28" i="15"/>
  <c r="C27" i="15"/>
  <c r="C26" i="15"/>
  <c r="C25" i="15"/>
  <c r="C24" i="15"/>
  <c r="C23" i="15"/>
  <c r="C22" i="15"/>
  <c r="C21" i="15"/>
  <c r="C20" i="15"/>
  <c r="C19" i="15"/>
  <c r="C15" i="15"/>
  <c r="C13" i="15"/>
  <c r="C12" i="15"/>
  <c r="C14" i="15"/>
  <c r="C84" i="11"/>
  <c r="D72" i="11"/>
  <c r="D81" i="11"/>
  <c r="C59" i="11"/>
  <c r="C33" i="11"/>
  <c r="B68" i="11"/>
  <c r="C74" i="11" s="1"/>
  <c r="C83" i="11" s="1"/>
  <c r="B43" i="11"/>
  <c r="C49" i="11" s="1"/>
  <c r="C58" i="11" s="1"/>
  <c r="C22" i="11"/>
  <c r="C31" i="11" s="1"/>
  <c r="B41" i="27"/>
  <c r="B17" i="11"/>
  <c r="C23" i="11" s="1"/>
  <c r="C32" i="11" s="1"/>
  <c r="P14" i="24"/>
  <c r="B8" i="27"/>
  <c r="C45" i="4"/>
  <c r="C44" i="4"/>
  <c r="C43" i="4"/>
  <c r="C42" i="4"/>
  <c r="C41" i="4"/>
  <c r="C40" i="4"/>
  <c r="C39" i="4"/>
  <c r="C38" i="4"/>
  <c r="C37" i="4"/>
  <c r="C36" i="4"/>
  <c r="C34" i="4"/>
  <c r="C33" i="4"/>
  <c r="C32" i="4"/>
  <c r="C35" i="4"/>
  <c r="C215" i="4"/>
  <c r="C214" i="4"/>
  <c r="C213" i="4"/>
  <c r="C212" i="4"/>
  <c r="C211" i="4"/>
  <c r="C210" i="4"/>
  <c r="C209" i="4"/>
  <c r="C208" i="4"/>
  <c r="C207" i="4"/>
  <c r="C206" i="4"/>
  <c r="C205" i="4"/>
  <c r="C204" i="4"/>
  <c r="C203" i="4"/>
  <c r="C202" i="4"/>
  <c r="J80" i="24"/>
  <c r="F84" i="24"/>
  <c r="G84" i="24" s="1"/>
  <c r="E85" i="24"/>
  <c r="F85" i="24" s="1"/>
  <c r="G85" i="24" s="1"/>
  <c r="H85" i="24" s="1"/>
  <c r="I85" i="24" s="1"/>
  <c r="E86" i="24"/>
  <c r="F86" i="24" s="1"/>
  <c r="G86" i="24" s="1"/>
  <c r="H86" i="24" s="1"/>
  <c r="I86" i="24" s="1"/>
  <c r="E87" i="24"/>
  <c r="F87" i="24" s="1"/>
  <c r="G87" i="24" s="1"/>
  <c r="H87" i="24" s="1"/>
  <c r="I87" i="24" s="1"/>
  <c r="E88" i="24"/>
  <c r="F88" i="24" s="1"/>
  <c r="G88" i="24" s="1"/>
  <c r="H88" i="24" s="1"/>
  <c r="I88" i="24" s="1"/>
  <c r="E10" i="24"/>
  <c r="C67" i="24"/>
  <c r="C26" i="24"/>
  <c r="C56" i="3"/>
  <c r="C57" i="3" s="1"/>
  <c r="D56" i="3"/>
  <c r="D57" i="3" s="1"/>
  <c r="E56" i="3"/>
  <c r="E57" i="3" s="1"/>
  <c r="F56" i="3"/>
  <c r="F57" i="3" s="1"/>
  <c r="G56" i="3"/>
  <c r="G57" i="3" s="1"/>
  <c r="B26" i="3"/>
  <c r="P26" i="3" s="1"/>
  <c r="P96" i="3"/>
  <c r="B95" i="3"/>
  <c r="P95" i="3" s="1"/>
  <c r="B94" i="3"/>
  <c r="P94" i="3" s="1"/>
  <c r="B93" i="3"/>
  <c r="P93" i="3" s="1"/>
  <c r="B92" i="3"/>
  <c r="P92" i="3" s="1"/>
  <c r="B91" i="3"/>
  <c r="P91" i="3" s="1"/>
  <c r="B90" i="3"/>
  <c r="P90" i="3" s="1"/>
  <c r="B89" i="3"/>
  <c r="P89" i="3" s="1"/>
  <c r="B88" i="3"/>
  <c r="P88" i="3" s="1"/>
  <c r="B87" i="3"/>
  <c r="P87" i="3" s="1"/>
  <c r="B86" i="3"/>
  <c r="P86" i="3" s="1"/>
  <c r="B85" i="3"/>
  <c r="P85" i="3" s="1"/>
  <c r="B84" i="3"/>
  <c r="P84" i="3" s="1"/>
  <c r="B83" i="3"/>
  <c r="P83" i="3" s="1"/>
  <c r="B82" i="3"/>
  <c r="P82" i="3" s="1"/>
  <c r="P81" i="3"/>
  <c r="P80" i="3"/>
  <c r="P79" i="3"/>
  <c r="P78" i="3"/>
  <c r="P76" i="3"/>
  <c r="B75" i="3"/>
  <c r="P75" i="3" s="1"/>
  <c r="B74" i="3"/>
  <c r="P74" i="3" s="1"/>
  <c r="B73" i="3"/>
  <c r="P73" i="3" s="1"/>
  <c r="B72" i="3"/>
  <c r="P72" i="3" s="1"/>
  <c r="B71" i="3"/>
  <c r="P71" i="3" s="1"/>
  <c r="B70" i="3"/>
  <c r="P70" i="3" s="1"/>
  <c r="B69" i="3"/>
  <c r="P69" i="3" s="1"/>
  <c r="B68" i="3"/>
  <c r="P68" i="3" s="1"/>
  <c r="B67" i="3"/>
  <c r="P67" i="3" s="1"/>
  <c r="B66" i="3"/>
  <c r="P66" i="3" s="1"/>
  <c r="B65" i="3"/>
  <c r="P65" i="3" s="1"/>
  <c r="B64" i="3"/>
  <c r="P64" i="3" s="1"/>
  <c r="B63" i="3"/>
  <c r="P63" i="3" s="1"/>
  <c r="B62" i="3"/>
  <c r="P62" i="3" s="1"/>
  <c r="P61" i="3"/>
  <c r="P60" i="3"/>
  <c r="P59" i="3"/>
  <c r="P57" i="3"/>
  <c r="P56" i="3"/>
  <c r="B55" i="3"/>
  <c r="P55" i="3" s="1"/>
  <c r="B54" i="3"/>
  <c r="P54" i="3" s="1"/>
  <c r="B53" i="3"/>
  <c r="P53" i="3" s="1"/>
  <c r="B52" i="3"/>
  <c r="P52" i="3" s="1"/>
  <c r="B51" i="3"/>
  <c r="P51" i="3" s="1"/>
  <c r="B50" i="3"/>
  <c r="P50" i="3" s="1"/>
  <c r="B49" i="3"/>
  <c r="P49" i="3" s="1"/>
  <c r="B48" i="3"/>
  <c r="P48" i="3" s="1"/>
  <c r="B47" i="3"/>
  <c r="P47" i="3" s="1"/>
  <c r="B46" i="3"/>
  <c r="P46" i="3" s="1"/>
  <c r="B45" i="3"/>
  <c r="P45" i="3" s="1"/>
  <c r="B44" i="3"/>
  <c r="P44" i="3" s="1"/>
  <c r="B43" i="3"/>
  <c r="P43" i="3" s="1"/>
  <c r="B42" i="3"/>
  <c r="P42" i="3" s="1"/>
  <c r="P41" i="3"/>
  <c r="P40" i="3"/>
  <c r="P39" i="3"/>
  <c r="P37" i="3"/>
  <c r="P36" i="3"/>
  <c r="B35" i="3"/>
  <c r="P35" i="3" s="1"/>
  <c r="B34" i="3"/>
  <c r="P34" i="3" s="1"/>
  <c r="B33" i="3"/>
  <c r="P33" i="3" s="1"/>
  <c r="B32" i="3"/>
  <c r="P32" i="3" s="1"/>
  <c r="B31" i="3"/>
  <c r="P31" i="3" s="1"/>
  <c r="B30" i="3"/>
  <c r="P30" i="3" s="1"/>
  <c r="B29" i="3"/>
  <c r="P29" i="3" s="1"/>
  <c r="B28" i="3"/>
  <c r="P28" i="3" s="1"/>
  <c r="B27" i="3"/>
  <c r="P27" i="3" s="1"/>
  <c r="B25" i="3"/>
  <c r="P25" i="3" s="1"/>
  <c r="B24" i="3"/>
  <c r="P24" i="3" s="1"/>
  <c r="B23" i="3"/>
  <c r="P23" i="3" s="1"/>
  <c r="B22" i="3"/>
  <c r="P22" i="3" s="1"/>
  <c r="T67" i="15" l="1"/>
  <c r="R67" i="15"/>
  <c r="S68" i="15"/>
  <c r="R68" i="15"/>
  <c r="S67" i="15"/>
  <c r="U67" i="15"/>
  <c r="S19" i="9" s="1"/>
  <c r="U68" i="15"/>
  <c r="AA19" i="9" s="1"/>
  <c r="T68" i="15"/>
  <c r="AI66" i="15"/>
  <c r="AI65" i="15"/>
  <c r="AF65" i="15"/>
  <c r="AO65" i="15"/>
  <c r="AN65" i="15"/>
  <c r="AM65" i="15"/>
  <c r="AG65" i="15"/>
  <c r="AH65" i="15"/>
  <c r="AP65" i="15"/>
  <c r="H84" i="24"/>
  <c r="I84" i="24" s="1"/>
  <c r="F32" i="4"/>
  <c r="F42" i="7" s="1"/>
  <c r="F33" i="4"/>
  <c r="F43" i="7" s="1"/>
  <c r="D43" i="4"/>
  <c r="F25" i="7" s="1"/>
  <c r="F43" i="4"/>
  <c r="F53" i="7" s="1"/>
  <c r="F44" i="4"/>
  <c r="F54" i="7" s="1"/>
  <c r="D44" i="4"/>
  <c r="F26" i="7" s="1"/>
  <c r="F39" i="4"/>
  <c r="F49" i="7" s="1"/>
  <c r="D39" i="4"/>
  <c r="F21" i="7" s="1"/>
  <c r="D40" i="4"/>
  <c r="F22" i="7" s="1"/>
  <c r="F40" i="4"/>
  <c r="F50" i="7" s="1"/>
  <c r="F45" i="4"/>
  <c r="F55" i="7" s="1"/>
  <c r="E45" i="4"/>
  <c r="F41" i="7" s="1"/>
  <c r="D45" i="4"/>
  <c r="F27" i="7" s="1"/>
  <c r="D38" i="4"/>
  <c r="F20" i="7" s="1"/>
  <c r="F38" i="4"/>
  <c r="F48" i="7" s="1"/>
  <c r="F41" i="4"/>
  <c r="F51" i="7" s="1"/>
  <c r="D41" i="4"/>
  <c r="F23" i="7" s="1"/>
  <c r="D37" i="4"/>
  <c r="F19" i="7" s="1"/>
  <c r="F37" i="4"/>
  <c r="F47" i="7" s="1"/>
  <c r="F42" i="4"/>
  <c r="F52" i="7" s="1"/>
  <c r="D42" i="4"/>
  <c r="F24" i="7" s="1"/>
  <c r="F36" i="4"/>
  <c r="F46" i="7" s="1"/>
  <c r="F34" i="4"/>
  <c r="F44" i="7" s="1"/>
  <c r="D34" i="4"/>
  <c r="F16" i="7" s="1"/>
  <c r="F35" i="4"/>
  <c r="F45" i="7" s="1"/>
  <c r="D35" i="4"/>
  <c r="F17" i="7" s="1"/>
  <c r="H111" i="15"/>
  <c r="H117" i="15" s="1"/>
  <c r="C111" i="15"/>
  <c r="H63" i="15"/>
  <c r="H69" i="15" s="1"/>
  <c r="C117" i="15"/>
  <c r="C73" i="11"/>
  <c r="C82" i="11" s="1"/>
  <c r="J86" i="24"/>
  <c r="J88" i="24"/>
  <c r="J87" i="24"/>
  <c r="J85" i="24"/>
  <c r="C48" i="11"/>
  <c r="C57" i="11" s="1"/>
  <c r="R5" i="5"/>
  <c r="E8" i="5" s="1"/>
  <c r="W20" i="7" l="1"/>
  <c r="V20" i="7"/>
  <c r="E20" i="7" s="1"/>
  <c r="W24" i="7"/>
  <c r="V24" i="7"/>
  <c r="E24" i="7" s="1"/>
  <c r="V54" i="7"/>
  <c r="E54" i="7" s="1"/>
  <c r="W54" i="7"/>
  <c r="V26" i="7"/>
  <c r="W26" i="7"/>
  <c r="V27" i="7"/>
  <c r="W27" i="7"/>
  <c r="W52" i="7"/>
  <c r="V52" i="7"/>
  <c r="E52" i="7" s="1"/>
  <c r="V41" i="7"/>
  <c r="E41" i="7" s="1"/>
  <c r="W41" i="7"/>
  <c r="W53" i="7"/>
  <c r="V53" i="7"/>
  <c r="E53" i="7" s="1"/>
  <c r="V46" i="7"/>
  <c r="W46" i="7"/>
  <c r="V47" i="7"/>
  <c r="W47" i="7"/>
  <c r="E47" i="7" s="1"/>
  <c r="V55" i="7"/>
  <c r="W55" i="7"/>
  <c r="E55" i="7" s="1"/>
  <c r="V25" i="7"/>
  <c r="W25" i="7"/>
  <c r="V17" i="7"/>
  <c r="E17" i="7" s="1"/>
  <c r="W17" i="7"/>
  <c r="V19" i="7"/>
  <c r="W19" i="7"/>
  <c r="E19" i="7" s="1"/>
  <c r="V50" i="7"/>
  <c r="W50" i="7"/>
  <c r="V43" i="7"/>
  <c r="W43" i="7"/>
  <c r="V23" i="7"/>
  <c r="E23" i="7" s="1"/>
  <c r="W23" i="7"/>
  <c r="V22" i="7"/>
  <c r="W22" i="7"/>
  <c r="V42" i="7"/>
  <c r="W42" i="7"/>
  <c r="V45" i="7"/>
  <c r="E45" i="7" s="1"/>
  <c r="W45" i="7"/>
  <c r="W16" i="7"/>
  <c r="V16" i="7"/>
  <c r="V51" i="7"/>
  <c r="W51" i="7"/>
  <c r="V21" i="7"/>
  <c r="W21" i="7"/>
  <c r="W44" i="7"/>
  <c r="V44" i="7"/>
  <c r="V48" i="7"/>
  <c r="W48" i="7"/>
  <c r="V49" i="7"/>
  <c r="W49" i="7"/>
  <c r="J84" i="24"/>
  <c r="AA16" i="9"/>
  <c r="AB16" i="9"/>
  <c r="AB10" i="9"/>
  <c r="AA10" i="9"/>
  <c r="AD10" i="9"/>
  <c r="AC10" i="9"/>
  <c r="AA13" i="9"/>
  <c r="AB13" i="9"/>
  <c r="AC13" i="9"/>
  <c r="U10" i="9"/>
  <c r="S10" i="9"/>
  <c r="T10" i="9"/>
  <c r="V10" i="9"/>
  <c r="U13" i="9"/>
  <c r="S13" i="9"/>
  <c r="T13" i="9"/>
  <c r="S16" i="9"/>
  <c r="T16" i="9"/>
  <c r="E103" i="21"/>
  <c r="E87" i="21"/>
  <c r="E90" i="21"/>
  <c r="E88" i="21"/>
  <c r="E92" i="21"/>
  <c r="E91" i="21"/>
  <c r="E108" i="21"/>
  <c r="E107" i="21"/>
  <c r="E112" i="21"/>
  <c r="E70" i="21"/>
  <c r="E123" i="21"/>
  <c r="E122" i="21"/>
  <c r="E85" i="21"/>
  <c r="E71" i="21"/>
  <c r="E72" i="21"/>
  <c r="E73" i="21"/>
  <c r="E74" i="21"/>
  <c r="E75" i="21"/>
  <c r="E76" i="21"/>
  <c r="E77" i="21"/>
  <c r="E78" i="21"/>
  <c r="E79" i="21"/>
  <c r="E113" i="21"/>
  <c r="E82" i="21"/>
  <c r="E99" i="21"/>
  <c r="E96" i="21"/>
  <c r="E121" i="21"/>
  <c r="E104" i="21"/>
  <c r="E83" i="21"/>
  <c r="E93" i="21"/>
  <c r="E89" i="21"/>
  <c r="E105" i="21"/>
  <c r="E100" i="21"/>
  <c r="E95" i="21"/>
  <c r="E97" i="21"/>
  <c r="E84" i="21"/>
  <c r="E101" i="21"/>
  <c r="E80" i="21"/>
  <c r="E102" i="21"/>
  <c r="E81" i="21"/>
  <c r="E98" i="21"/>
  <c r="E117" i="21"/>
  <c r="E94" i="21"/>
  <c r="E86" i="21"/>
  <c r="E120" i="21"/>
  <c r="E114" i="21"/>
  <c r="E115" i="21"/>
  <c r="E111" i="21"/>
  <c r="E119" i="21"/>
  <c r="E110" i="21"/>
  <c r="E109" i="21"/>
  <c r="E118" i="21"/>
  <c r="E116" i="21"/>
  <c r="E124" i="21"/>
  <c r="E125" i="21"/>
  <c r="E126" i="21"/>
  <c r="E127" i="21"/>
  <c r="E128" i="21"/>
  <c r="E129" i="21"/>
  <c r="K103" i="21"/>
  <c r="K87" i="21"/>
  <c r="K90" i="21"/>
  <c r="K88" i="21"/>
  <c r="K92" i="21"/>
  <c r="K91" i="21"/>
  <c r="K108" i="21"/>
  <c r="K107" i="21"/>
  <c r="K112" i="21"/>
  <c r="K114" i="21"/>
  <c r="K119" i="21"/>
  <c r="K116" i="21"/>
  <c r="K121" i="21"/>
  <c r="K89" i="21"/>
  <c r="K104" i="21"/>
  <c r="K97" i="21"/>
  <c r="K101" i="21"/>
  <c r="K98" i="21"/>
  <c r="K70" i="21"/>
  <c r="K123" i="21"/>
  <c r="K122" i="21"/>
  <c r="K85" i="21"/>
  <c r="K71" i="21"/>
  <c r="K120" i="21"/>
  <c r="K72" i="21"/>
  <c r="K111" i="21"/>
  <c r="K115" i="21"/>
  <c r="K73" i="21"/>
  <c r="K109" i="21"/>
  <c r="K110" i="21"/>
  <c r="K74" i="21"/>
  <c r="K113" i="21"/>
  <c r="K118" i="21"/>
  <c r="K75" i="21"/>
  <c r="K99" i="21"/>
  <c r="K82" i="21"/>
  <c r="K76" i="21"/>
  <c r="K100" i="21"/>
  <c r="K83" i="21"/>
  <c r="K77" i="21"/>
  <c r="K93" i="21"/>
  <c r="K96" i="21"/>
  <c r="K78" i="21"/>
  <c r="K105" i="21"/>
  <c r="K102" i="21"/>
  <c r="K79" i="21"/>
  <c r="K84" i="21"/>
  <c r="K95" i="21"/>
  <c r="K80" i="21"/>
  <c r="K81" i="21"/>
  <c r="K117" i="21"/>
  <c r="K86" i="21"/>
  <c r="K94" i="21"/>
  <c r="K124" i="21"/>
  <c r="K125" i="21"/>
  <c r="K126" i="21"/>
  <c r="K127" i="21"/>
  <c r="K128" i="21"/>
  <c r="K129" i="21"/>
  <c r="E51" i="7" l="1"/>
  <c r="E49" i="7"/>
  <c r="E26" i="7"/>
  <c r="E16" i="7"/>
  <c r="E50" i="7"/>
  <c r="E25" i="7"/>
  <c r="E48" i="7"/>
  <c r="E46" i="7"/>
  <c r="E44" i="7"/>
  <c r="E43" i="7"/>
  <c r="E42" i="7"/>
  <c r="E27" i="7"/>
  <c r="E22" i="7"/>
  <c r="E21" i="7"/>
  <c r="I26" i="7"/>
  <c r="I50" i="7"/>
  <c r="I44" i="7"/>
  <c r="I54" i="7"/>
  <c r="I55" i="7"/>
  <c r="I42" i="7"/>
  <c r="I19" i="7"/>
  <c r="I52" i="7"/>
  <c r="I27" i="7"/>
  <c r="I24" i="7"/>
  <c r="I23" i="7"/>
  <c r="I46" i="7"/>
  <c r="I22" i="7"/>
  <c r="I16" i="7"/>
  <c r="I20" i="7"/>
  <c r="I48" i="7"/>
  <c r="I47" i="7"/>
  <c r="I41" i="7"/>
  <c r="I49" i="7"/>
  <c r="I53" i="7"/>
  <c r="I45" i="7"/>
  <c r="I25" i="7"/>
  <c r="I51" i="7"/>
  <c r="I17" i="7"/>
  <c r="I21" i="7"/>
  <c r="I43" i="7"/>
  <c r="AX109" i="26"/>
  <c r="AX113" i="26" s="1"/>
  <c r="AW109" i="26"/>
  <c r="AW131" i="26" s="1"/>
  <c r="AV109" i="26"/>
  <c r="AV119" i="26" s="1"/>
  <c r="AU109" i="26"/>
  <c r="AU131" i="26" s="1"/>
  <c r="AT109" i="26"/>
  <c r="AT115" i="26" s="1"/>
  <c r="AS109" i="26"/>
  <c r="AS115" i="26" s="1"/>
  <c r="AR109" i="26"/>
  <c r="AR115" i="26" s="1"/>
  <c r="AQ109" i="26"/>
  <c r="AQ133" i="26" s="1"/>
  <c r="AP109" i="26"/>
  <c r="AP128" i="26" s="1"/>
  <c r="AO109" i="26"/>
  <c r="AO127" i="26" s="1"/>
  <c r="AN109" i="26"/>
  <c r="AN112" i="26" s="1"/>
  <c r="AM109" i="26"/>
  <c r="AM141" i="26" s="1"/>
  <c r="AL109" i="26"/>
  <c r="AL120" i="26" s="1"/>
  <c r="AX120" i="26"/>
  <c r="AW130" i="26"/>
  <c r="AX134" i="26"/>
  <c r="AW136" i="26"/>
  <c r="AX136" i="26"/>
  <c r="AX138" i="26"/>
  <c r="AX141" i="26"/>
  <c r="AX142" i="26"/>
  <c r="AX143" i="26"/>
  <c r="AW144" i="26"/>
  <c r="AX144" i="26"/>
  <c r="AX148" i="26"/>
  <c r="AX149" i="26"/>
  <c r="AX150" i="26"/>
  <c r="AX151" i="26"/>
  <c r="AX156" i="26"/>
  <c r="AX157" i="26"/>
  <c r="AK109" i="26"/>
  <c r="AK121" i="26" s="1"/>
  <c r="AX110" i="26"/>
  <c r="N21" i="7" l="1"/>
  <c r="M21" i="7"/>
  <c r="N53" i="7"/>
  <c r="M53" i="7"/>
  <c r="N17" i="7"/>
  <c r="M17" i="7"/>
  <c r="N16" i="7"/>
  <c r="M16" i="7"/>
  <c r="N44" i="7"/>
  <c r="M44" i="7"/>
  <c r="N45" i="7"/>
  <c r="M45" i="7"/>
  <c r="N50" i="7"/>
  <c r="M50" i="7"/>
  <c r="N19" i="7"/>
  <c r="M19" i="7"/>
  <c r="N22" i="7"/>
  <c r="M22" i="7"/>
  <c r="N43" i="7"/>
  <c r="M43" i="7"/>
  <c r="N20" i="7"/>
  <c r="M20" i="7"/>
  <c r="N55" i="7"/>
  <c r="M55" i="7"/>
  <c r="N54" i="7"/>
  <c r="M54" i="7"/>
  <c r="N48" i="7"/>
  <c r="M48" i="7"/>
  <c r="N41" i="7"/>
  <c r="M41" i="7"/>
  <c r="N51" i="7"/>
  <c r="M51" i="7"/>
  <c r="N25" i="7"/>
  <c r="M25" i="7"/>
  <c r="N26" i="7"/>
  <c r="M26" i="7"/>
  <c r="N42" i="7"/>
  <c r="M42" i="7"/>
  <c r="N27" i="7"/>
  <c r="M27" i="7"/>
  <c r="N52" i="7"/>
  <c r="M52" i="7"/>
  <c r="N46" i="7"/>
  <c r="M46" i="7"/>
  <c r="N49" i="7"/>
  <c r="M49" i="7"/>
  <c r="N47" i="7"/>
  <c r="M47" i="7"/>
  <c r="N24" i="7"/>
  <c r="M24" i="7"/>
  <c r="N23" i="7"/>
  <c r="M23" i="7"/>
  <c r="AW110" i="26"/>
  <c r="AW137" i="26"/>
  <c r="AW112" i="26"/>
  <c r="AW125" i="26"/>
  <c r="AW150" i="26"/>
  <c r="AW117" i="26"/>
  <c r="AW126" i="26"/>
  <c r="AX155" i="26"/>
  <c r="AX147" i="26"/>
  <c r="AW141" i="26"/>
  <c r="AX132" i="26"/>
  <c r="AX116" i="26"/>
  <c r="AW155" i="26"/>
  <c r="AW147" i="26"/>
  <c r="AX140" i="26"/>
  <c r="AW132" i="26"/>
  <c r="AW116" i="26"/>
  <c r="AX154" i="26"/>
  <c r="AX146" i="26"/>
  <c r="AW140" i="26"/>
  <c r="AX130" i="26"/>
  <c r="AX114" i="26"/>
  <c r="AR153" i="26"/>
  <c r="AR140" i="26"/>
  <c r="AU127" i="26"/>
  <c r="AS110" i="26"/>
  <c r="AU143" i="26"/>
  <c r="AV130" i="26"/>
  <c r="AW156" i="26"/>
  <c r="AW142" i="26"/>
  <c r="AX158" i="26"/>
  <c r="AV156" i="26"/>
  <c r="AX152" i="26"/>
  <c r="AW149" i="26"/>
  <c r="AV146" i="26"/>
  <c r="AP142" i="26"/>
  <c r="AX139" i="26"/>
  <c r="AW134" i="26"/>
  <c r="AV128" i="26"/>
  <c r="AW120" i="26"/>
  <c r="AW113" i="26"/>
  <c r="AV148" i="26"/>
  <c r="AV151" i="26"/>
  <c r="AT117" i="26"/>
  <c r="AU157" i="26"/>
  <c r="AV124" i="26"/>
  <c r="AW153" i="26"/>
  <c r="AV150" i="26"/>
  <c r="AW129" i="26"/>
  <c r="AW158" i="26"/>
  <c r="AW152" i="26"/>
  <c r="AW145" i="26"/>
  <c r="AW139" i="26"/>
  <c r="AW127" i="26"/>
  <c r="AW119" i="26"/>
  <c r="AX112" i="26"/>
  <c r="AV158" i="26"/>
  <c r="AV155" i="26"/>
  <c r="AV157" i="26"/>
  <c r="AS154" i="26"/>
  <c r="AV147" i="26"/>
  <c r="AV140" i="26"/>
  <c r="AT140" i="26"/>
  <c r="AW135" i="26"/>
  <c r="AW123" i="26"/>
  <c r="AW146" i="26"/>
  <c r="AW128" i="26"/>
  <c r="AW114" i="26"/>
  <c r="AQ147" i="26"/>
  <c r="AR157" i="26"/>
  <c r="AV136" i="26"/>
  <c r="AV131" i="26"/>
  <c r="AV123" i="26"/>
  <c r="AV117" i="26"/>
  <c r="AQ128" i="26"/>
  <c r="AV154" i="26"/>
  <c r="AV152" i="26"/>
  <c r="AV149" i="26"/>
  <c r="AV143" i="26"/>
  <c r="AV139" i="26"/>
  <c r="AR136" i="26"/>
  <c r="AV127" i="26"/>
  <c r="AV121" i="26"/>
  <c r="AQ121" i="26"/>
  <c r="AU158" i="26"/>
  <c r="AQ156" i="26"/>
  <c r="AV153" i="26"/>
  <c r="AV145" i="26"/>
  <c r="AU140" i="26"/>
  <c r="AV137" i="26"/>
  <c r="AV110" i="26"/>
  <c r="AU153" i="26"/>
  <c r="AU145" i="26"/>
  <c r="AV142" i="26"/>
  <c r="AU137" i="26"/>
  <c r="AV134" i="26"/>
  <c r="AV125" i="26"/>
  <c r="AV120" i="26"/>
  <c r="AQ113" i="26"/>
  <c r="AR121" i="26"/>
  <c r="AQ152" i="26"/>
  <c r="AQ150" i="26"/>
  <c r="AQ154" i="26"/>
  <c r="AQ134" i="26"/>
  <c r="AP134" i="26"/>
  <c r="AQ140" i="26"/>
  <c r="AQ143" i="26"/>
  <c r="AR144" i="26"/>
  <c r="AR120" i="26"/>
  <c r="AR156" i="26"/>
  <c r="AR147" i="26"/>
  <c r="AR128" i="26"/>
  <c r="AR134" i="26"/>
  <c r="AR151" i="26"/>
  <c r="AR139" i="26"/>
  <c r="AR133" i="26"/>
  <c r="AR155" i="26"/>
  <c r="AR142" i="26"/>
  <c r="AR124" i="26"/>
  <c r="AR110" i="26"/>
  <c r="AR150" i="26"/>
  <c r="AR114" i="26"/>
  <c r="AR149" i="26"/>
  <c r="AR158" i="26"/>
  <c r="AR131" i="26"/>
  <c r="AR145" i="26"/>
  <c r="AQ118" i="26"/>
  <c r="AQ146" i="26"/>
  <c r="AQ141" i="26"/>
  <c r="AQ137" i="26"/>
  <c r="AQ123" i="26"/>
  <c r="AP154" i="26"/>
  <c r="AP110" i="26"/>
  <c r="AP118" i="26"/>
  <c r="AP132" i="26"/>
  <c r="AP148" i="26"/>
  <c r="AP144" i="26"/>
  <c r="AP136" i="26"/>
  <c r="AP137" i="26"/>
  <c r="AP156" i="26"/>
  <c r="AP158" i="26"/>
  <c r="AO131" i="26"/>
  <c r="AO125" i="26"/>
  <c r="AO149" i="26"/>
  <c r="AO153" i="26"/>
  <c r="AO110" i="26"/>
  <c r="AO118" i="26"/>
  <c r="AN152" i="26"/>
  <c r="AN124" i="26"/>
  <c r="AN130" i="26"/>
  <c r="AN145" i="26"/>
  <c r="AM110" i="26"/>
  <c r="AM139" i="26"/>
  <c r="AK135" i="26"/>
  <c r="AK134" i="26"/>
  <c r="AK120" i="26"/>
  <c r="AK119" i="26"/>
  <c r="AK118" i="26"/>
  <c r="AN141" i="26"/>
  <c r="AM134" i="26"/>
  <c r="AN134" i="26"/>
  <c r="AL148" i="26"/>
  <c r="AN128" i="26"/>
  <c r="AL147" i="26"/>
  <c r="AN157" i="26"/>
  <c r="AM154" i="26"/>
  <c r="AN147" i="26"/>
  <c r="AN116" i="26"/>
  <c r="AL131" i="26"/>
  <c r="AN132" i="26"/>
  <c r="AM121" i="26"/>
  <c r="AN115" i="26"/>
  <c r="AL130" i="26"/>
  <c r="AM132" i="26"/>
  <c r="AL113" i="26"/>
  <c r="AN143" i="26"/>
  <c r="AK152" i="26"/>
  <c r="AN126" i="26"/>
  <c r="AL112" i="26"/>
  <c r="AK151" i="26"/>
  <c r="AM146" i="26"/>
  <c r="AK150" i="26"/>
  <c r="AN120" i="26"/>
  <c r="AL110" i="26"/>
  <c r="AK136" i="26"/>
  <c r="AS148" i="26"/>
  <c r="AS117" i="26"/>
  <c r="AS151" i="26"/>
  <c r="AS133" i="26"/>
  <c r="AT120" i="26"/>
  <c r="AS156" i="26"/>
  <c r="AS145" i="26"/>
  <c r="AS136" i="26"/>
  <c r="AS127" i="26"/>
  <c r="AS116" i="26"/>
  <c r="AS112" i="26"/>
  <c r="AS139" i="26"/>
  <c r="AU130" i="26"/>
  <c r="AX126" i="26"/>
  <c r="AS123" i="26"/>
  <c r="AR116" i="26"/>
  <c r="AV112" i="26"/>
  <c r="AS153" i="26"/>
  <c r="AT147" i="26"/>
  <c r="AS130" i="26"/>
  <c r="AQ116" i="26"/>
  <c r="AU111" i="26"/>
  <c r="AS150" i="26"/>
  <c r="AS147" i="26"/>
  <c r="AU132" i="26"/>
  <c r="AV126" i="26"/>
  <c r="AW122" i="26"/>
  <c r="AW118" i="26"/>
  <c r="AP116" i="26"/>
  <c r="AR111" i="26"/>
  <c r="AS124" i="26"/>
  <c r="AS141" i="26"/>
  <c r="AT135" i="26"/>
  <c r="AS132" i="26"/>
  <c r="AR126" i="26"/>
  <c r="AV122" i="26"/>
  <c r="AV118" i="26"/>
  <c r="AS144" i="26"/>
  <c r="AV138" i="26"/>
  <c r="AR135" i="26"/>
  <c r="AR132" i="26"/>
  <c r="AV129" i="26"/>
  <c r="AQ126" i="26"/>
  <c r="AP122" i="26"/>
  <c r="AS118" i="26"/>
  <c r="AQ115" i="26"/>
  <c r="AS138" i="26"/>
  <c r="AQ132" i="26"/>
  <c r="AX128" i="26"/>
  <c r="AW121" i="26"/>
  <c r="AR118" i="26"/>
  <c r="AS155" i="26"/>
  <c r="AT152" i="26"/>
  <c r="AS121" i="26"/>
  <c r="AS131" i="26"/>
  <c r="AS152" i="26"/>
  <c r="AS134" i="26"/>
  <c r="AS128" i="26"/>
  <c r="AS125" i="26"/>
  <c r="AV114" i="26"/>
  <c r="AS157" i="26"/>
  <c r="AS146" i="26"/>
  <c r="AS137" i="26"/>
  <c r="AS114" i="26"/>
  <c r="AW111" i="26"/>
  <c r="AV113" i="26"/>
  <c r="AV144" i="26"/>
  <c r="AV141" i="26"/>
  <c r="AV135" i="26"/>
  <c r="AV132" i="26"/>
  <c r="AU114" i="26"/>
  <c r="AU123" i="26"/>
  <c r="AU147" i="26"/>
  <c r="AU126" i="26"/>
  <c r="AU120" i="26"/>
  <c r="AU142" i="26"/>
  <c r="AU134" i="26"/>
  <c r="AU152" i="26"/>
  <c r="AU155" i="26"/>
  <c r="AU150" i="26"/>
  <c r="AU117" i="26"/>
  <c r="AU154" i="26"/>
  <c r="AU139" i="26"/>
  <c r="AU128" i="26"/>
  <c r="AU122" i="26"/>
  <c r="AU116" i="26"/>
  <c r="AU113" i="26"/>
  <c r="AU129" i="26"/>
  <c r="AU144" i="26"/>
  <c r="AU125" i="26"/>
  <c r="AU156" i="26"/>
  <c r="AU133" i="26"/>
  <c r="AU110" i="26"/>
  <c r="AU121" i="26"/>
  <c r="AU112" i="26"/>
  <c r="AU118" i="26"/>
  <c r="AU151" i="26"/>
  <c r="AU148" i="26"/>
  <c r="AU138" i="26"/>
  <c r="AU135" i="26"/>
  <c r="AT114" i="26"/>
  <c r="AT122" i="26"/>
  <c r="AT130" i="26"/>
  <c r="AT158" i="26"/>
  <c r="AT127" i="26"/>
  <c r="AT116" i="26"/>
  <c r="AT144" i="26"/>
  <c r="AT125" i="26"/>
  <c r="AT149" i="26"/>
  <c r="AT121" i="26"/>
  <c r="AT118" i="26"/>
  <c r="AT113" i="26"/>
  <c r="AT132" i="26"/>
  <c r="AT153" i="26"/>
  <c r="AT146" i="26"/>
  <c r="AT156" i="26"/>
  <c r="AT110" i="26"/>
  <c r="AT141" i="26"/>
  <c r="AT136" i="26"/>
  <c r="AT126" i="26"/>
  <c r="AT123" i="26"/>
  <c r="AT112" i="26"/>
  <c r="AT150" i="26"/>
  <c r="AT143" i="26"/>
  <c r="AT133" i="26"/>
  <c r="AT128" i="26"/>
  <c r="AT155" i="26"/>
  <c r="AT138" i="26"/>
  <c r="AS113" i="26"/>
  <c r="AS126" i="26"/>
  <c r="AS140" i="26"/>
  <c r="AS111" i="26"/>
  <c r="AS158" i="26"/>
  <c r="AS149" i="26"/>
  <c r="AS142" i="26"/>
  <c r="AS120" i="26"/>
  <c r="AR113" i="26"/>
  <c r="AR123" i="26"/>
  <c r="AR137" i="26"/>
  <c r="AR148" i="26"/>
  <c r="AR146" i="26"/>
  <c r="AR130" i="26"/>
  <c r="AR112" i="26"/>
  <c r="AR154" i="26"/>
  <c r="AR127" i="26"/>
  <c r="AR117" i="26"/>
  <c r="AR152" i="26"/>
  <c r="AR143" i="26"/>
  <c r="AR129" i="26"/>
  <c r="AR119" i="26"/>
  <c r="AQ149" i="26"/>
  <c r="AQ129" i="26"/>
  <c r="AQ127" i="26"/>
  <c r="AQ120" i="26"/>
  <c r="AQ110" i="26"/>
  <c r="AQ157" i="26"/>
  <c r="AQ138" i="26"/>
  <c r="AQ153" i="26"/>
  <c r="AQ131" i="26"/>
  <c r="AQ155" i="26"/>
  <c r="AQ124" i="26"/>
  <c r="AQ117" i="26"/>
  <c r="AQ135" i="26"/>
  <c r="AQ111" i="26"/>
  <c r="AQ144" i="26"/>
  <c r="AQ114" i="26"/>
  <c r="AP138" i="26"/>
  <c r="AP152" i="26"/>
  <c r="AP150" i="26"/>
  <c r="AP140" i="26"/>
  <c r="AP120" i="26"/>
  <c r="AP157" i="26"/>
  <c r="AP135" i="26"/>
  <c r="AP124" i="26"/>
  <c r="AP141" i="26"/>
  <c r="AP155" i="26"/>
  <c r="AP151" i="26"/>
  <c r="AP145" i="26"/>
  <c r="AP139" i="26"/>
  <c r="AP149" i="26"/>
  <c r="AP147" i="26"/>
  <c r="AP126" i="26"/>
  <c r="AP114" i="26"/>
  <c r="AO137" i="26"/>
  <c r="AO124" i="26"/>
  <c r="AO141" i="26"/>
  <c r="AO145" i="26"/>
  <c r="AO156" i="26"/>
  <c r="AO130" i="26"/>
  <c r="AO152" i="26"/>
  <c r="AO148" i="26"/>
  <c r="AO121" i="26"/>
  <c r="AO134" i="26"/>
  <c r="AO111" i="26"/>
  <c r="AN150" i="26"/>
  <c r="AN113" i="26"/>
  <c r="AN139" i="26"/>
  <c r="AN148" i="26"/>
  <c r="AN119" i="26"/>
  <c r="AN155" i="26"/>
  <c r="AN137" i="26"/>
  <c r="AN135" i="26"/>
  <c r="AN133" i="26"/>
  <c r="AN129" i="26"/>
  <c r="AN121" i="26"/>
  <c r="AN117" i="26"/>
  <c r="AN153" i="26"/>
  <c r="AN146" i="26"/>
  <c r="AN131" i="26"/>
  <c r="AN127" i="26"/>
  <c r="AN123" i="26"/>
  <c r="AN158" i="26"/>
  <c r="AN125" i="26"/>
  <c r="AN151" i="26"/>
  <c r="AN142" i="26"/>
  <c r="AN144" i="26"/>
  <c r="AN110" i="26"/>
  <c r="AN156" i="26"/>
  <c r="AN114" i="26"/>
  <c r="AN140" i="26"/>
  <c r="AN154" i="26"/>
  <c r="AN149" i="26"/>
  <c r="AN138" i="26"/>
  <c r="AN122" i="26"/>
  <c r="AN111" i="26"/>
  <c r="AN136" i="26"/>
  <c r="AN118" i="26"/>
  <c r="AM128" i="26"/>
  <c r="AM142" i="26"/>
  <c r="AM126" i="26"/>
  <c r="AM124" i="26"/>
  <c r="AM122" i="26"/>
  <c r="AM152" i="26"/>
  <c r="AM133" i="26"/>
  <c r="AM147" i="26"/>
  <c r="AM144" i="26"/>
  <c r="AM135" i="26"/>
  <c r="AM155" i="26"/>
  <c r="AM140" i="26"/>
  <c r="AM131" i="26"/>
  <c r="AM129" i="26"/>
  <c r="AM112" i="26"/>
  <c r="AM158" i="26"/>
  <c r="AM150" i="26"/>
  <c r="AM118" i="26"/>
  <c r="AM114" i="26"/>
  <c r="AM138" i="26"/>
  <c r="AM120" i="26"/>
  <c r="AM116" i="26"/>
  <c r="AM136" i="26"/>
  <c r="AM156" i="26"/>
  <c r="AM125" i="26"/>
  <c r="AM111" i="26"/>
  <c r="AM143" i="26"/>
  <c r="AM148" i="26"/>
  <c r="AM151" i="26"/>
  <c r="AM123" i="26"/>
  <c r="AM119" i="26"/>
  <c r="AM115" i="26"/>
  <c r="AL145" i="26"/>
  <c r="AL127" i="26"/>
  <c r="AL111" i="26"/>
  <c r="AL126" i="26"/>
  <c r="AL144" i="26"/>
  <c r="AL158" i="26"/>
  <c r="AL125" i="26"/>
  <c r="AL142" i="26"/>
  <c r="AL157" i="26"/>
  <c r="AL141" i="26"/>
  <c r="AL123" i="26"/>
  <c r="AL146" i="26"/>
  <c r="AL122" i="26"/>
  <c r="AL129" i="26"/>
  <c r="AL156" i="26"/>
  <c r="AL155" i="26"/>
  <c r="AL139" i="26"/>
  <c r="AL121" i="26"/>
  <c r="AL128" i="26"/>
  <c r="AL143" i="26"/>
  <c r="AL140" i="26"/>
  <c r="AL154" i="26"/>
  <c r="AL138" i="26"/>
  <c r="AL119" i="26"/>
  <c r="AL118" i="26"/>
  <c r="AL117" i="26"/>
  <c r="AL116" i="26"/>
  <c r="AL153" i="26"/>
  <c r="AL135" i="26"/>
  <c r="AL151" i="26"/>
  <c r="AL150" i="26"/>
  <c r="AL133" i="26"/>
  <c r="AL115" i="26"/>
  <c r="AL137" i="26"/>
  <c r="AL152" i="26"/>
  <c r="AL134" i="26"/>
  <c r="AL149" i="26"/>
  <c r="AL132" i="26"/>
  <c r="AL114" i="26"/>
  <c r="AK117" i="26"/>
  <c r="AK148" i="26"/>
  <c r="AK115" i="26"/>
  <c r="AK131" i="26"/>
  <c r="AK146" i="26"/>
  <c r="AK130" i="26"/>
  <c r="AK114" i="26"/>
  <c r="AK145" i="26"/>
  <c r="AK129" i="26"/>
  <c r="AK113" i="26"/>
  <c r="AK116" i="26"/>
  <c r="AK144" i="26"/>
  <c r="AK128" i="26"/>
  <c r="AK112" i="26"/>
  <c r="AK132" i="26"/>
  <c r="AK143" i="26"/>
  <c r="AK127" i="26"/>
  <c r="AK111" i="26"/>
  <c r="AK147" i="26"/>
  <c r="AK158" i="26"/>
  <c r="AK142" i="26"/>
  <c r="AK126" i="26"/>
  <c r="AK157" i="26"/>
  <c r="AK141" i="26"/>
  <c r="AK125" i="26"/>
  <c r="AK124" i="26"/>
  <c r="AK155" i="26"/>
  <c r="AK139" i="26"/>
  <c r="AK123" i="26"/>
  <c r="AK133" i="26"/>
  <c r="AK156" i="26"/>
  <c r="AK154" i="26"/>
  <c r="AK138" i="26"/>
  <c r="AK122" i="26"/>
  <c r="AK149" i="26"/>
  <c r="AK140" i="26"/>
  <c r="AK110" i="26"/>
  <c r="AK153" i="26"/>
  <c r="AK137" i="26"/>
  <c r="AX124" i="26"/>
  <c r="AX153" i="26"/>
  <c r="AX145" i="26"/>
  <c r="AX122" i="26"/>
  <c r="AX118" i="26"/>
  <c r="AW148" i="26"/>
  <c r="AW133" i="26"/>
  <c r="AW124" i="26"/>
  <c r="AW138" i="26"/>
  <c r="AW157" i="26"/>
  <c r="AW154" i="26"/>
  <c r="AW151" i="26"/>
  <c r="AW143" i="26"/>
  <c r="AV133" i="26"/>
  <c r="AU149" i="26"/>
  <c r="AU146" i="26"/>
  <c r="AU141" i="26"/>
  <c r="AU124" i="26"/>
  <c r="AU119" i="26"/>
  <c r="AU136" i="26"/>
  <c r="AT131" i="26"/>
  <c r="AT139" i="26"/>
  <c r="AT124" i="26"/>
  <c r="AT157" i="26"/>
  <c r="AT142" i="26"/>
  <c r="AT134" i="26"/>
  <c r="AT119" i="26"/>
  <c r="AT111" i="26"/>
  <c r="AT154" i="26"/>
  <c r="AT129" i="26"/>
  <c r="AT151" i="26"/>
  <c r="AT148" i="26"/>
  <c r="AT145" i="26"/>
  <c r="AT137" i="26"/>
  <c r="AS129" i="26"/>
  <c r="AS119" i="26"/>
  <c r="AS143" i="26"/>
  <c r="AS135" i="26"/>
  <c r="AS122" i="26"/>
  <c r="AR122" i="26"/>
  <c r="AR141" i="26"/>
  <c r="AR138" i="26"/>
  <c r="AR125" i="26"/>
  <c r="AQ151" i="26"/>
  <c r="AQ119" i="26"/>
  <c r="AQ112" i="26"/>
  <c r="AQ148" i="26"/>
  <c r="AQ125" i="26"/>
  <c r="AQ122" i="26"/>
  <c r="AQ145" i="26"/>
  <c r="AQ142" i="26"/>
  <c r="AQ130" i="26"/>
  <c r="AQ158" i="26"/>
  <c r="AQ139" i="26"/>
  <c r="AQ136" i="26"/>
  <c r="AP133" i="26"/>
  <c r="AP130" i="26"/>
  <c r="AP112" i="26"/>
  <c r="AP111" i="26"/>
  <c r="AP146" i="26"/>
  <c r="AP153" i="26"/>
  <c r="AP143" i="26"/>
  <c r="AO128" i="26"/>
  <c r="AO116" i="26"/>
  <c r="AO138" i="26"/>
  <c r="AO122" i="26"/>
  <c r="AO119" i="26"/>
  <c r="AO142" i="26"/>
  <c r="AO135" i="26"/>
  <c r="AO157" i="26"/>
  <c r="AO146" i="26"/>
  <c r="AO114" i="26"/>
  <c r="AO150" i="26"/>
  <c r="AO129" i="26"/>
  <c r="AO154" i="26"/>
  <c r="AO139" i="26"/>
  <c r="AO132" i="26"/>
  <c r="AO126" i="26"/>
  <c r="AO123" i="26"/>
  <c r="AO158" i="26"/>
  <c r="AO143" i="26"/>
  <c r="AO112" i="26"/>
  <c r="AO147" i="26"/>
  <c r="AO136" i="26"/>
  <c r="AO120" i="26"/>
  <c r="AO115" i="26"/>
  <c r="AO113" i="26"/>
  <c r="AO151" i="26"/>
  <c r="AO155" i="26"/>
  <c r="AO140" i="26"/>
  <c r="AO133" i="26"/>
  <c r="AO144" i="26"/>
  <c r="AM117" i="26"/>
  <c r="AM137" i="26"/>
  <c r="AM130" i="26"/>
  <c r="AM127" i="26"/>
  <c r="AM113" i="26"/>
  <c r="AM157" i="26"/>
  <c r="AM153" i="26"/>
  <c r="AM149" i="26"/>
  <c r="AM145" i="26"/>
  <c r="AL124" i="26"/>
  <c r="AL136" i="26"/>
  <c r="AX135" i="26"/>
  <c r="AX131" i="26"/>
  <c r="AP129" i="26"/>
  <c r="AX127" i="26"/>
  <c r="AP125" i="26"/>
  <c r="AX123" i="26"/>
  <c r="AP121" i="26"/>
  <c r="AX119" i="26"/>
  <c r="AP117" i="26"/>
  <c r="AX115" i="26"/>
  <c r="AP113" i="26"/>
  <c r="AX111" i="26"/>
  <c r="AO117" i="26"/>
  <c r="AW115" i="26"/>
  <c r="AV115" i="26"/>
  <c r="AV111" i="26"/>
  <c r="AU115" i="26"/>
  <c r="AV116" i="26"/>
  <c r="AX137" i="26"/>
  <c r="AX133" i="26"/>
  <c r="AP131" i="26"/>
  <c r="AX129" i="26"/>
  <c r="AP127" i="26"/>
  <c r="AX125" i="26"/>
  <c r="AP123" i="26"/>
  <c r="AX121" i="26"/>
  <c r="AP119" i="26"/>
  <c r="AX117" i="26"/>
  <c r="AP115" i="26"/>
  <c r="I79" i="4"/>
  <c r="E39" i="4" s="1"/>
  <c r="F35" i="7" s="1"/>
  <c r="V35" i="7" l="1"/>
  <c r="W35" i="7"/>
  <c r="G49" i="7"/>
  <c r="G42" i="7"/>
  <c r="G41" i="7"/>
  <c r="G20" i="7"/>
  <c r="G50" i="7"/>
  <c r="G17" i="7"/>
  <c r="G47" i="7"/>
  <c r="G27" i="7"/>
  <c r="G51" i="7"/>
  <c r="G55" i="7"/>
  <c r="G19" i="7"/>
  <c r="G23" i="7"/>
  <c r="G46" i="7"/>
  <c r="G26" i="7"/>
  <c r="G48" i="7"/>
  <c r="G43" i="7"/>
  <c r="G45" i="7"/>
  <c r="G53" i="7"/>
  <c r="G24" i="7"/>
  <c r="G52" i="7"/>
  <c r="G25" i="7"/>
  <c r="G54" i="7"/>
  <c r="G22" i="7"/>
  <c r="G44" i="7"/>
  <c r="G21" i="7"/>
  <c r="G16" i="7"/>
  <c r="AB127" i="15"/>
  <c r="AB125" i="15"/>
  <c r="AA126" i="15"/>
  <c r="AA127" i="15"/>
  <c r="Y126" i="15"/>
  <c r="AB126" i="15"/>
  <c r="AB122" i="15"/>
  <c r="Y125" i="15"/>
  <c r="AA125" i="15"/>
  <c r="AA121" i="15"/>
  <c r="Y122" i="15"/>
  <c r="AA113" i="15"/>
  <c r="Y113" i="15"/>
  <c r="Y115" i="15"/>
  <c r="AA120" i="15"/>
  <c r="Z120" i="15"/>
  <c r="Y118" i="15"/>
  <c r="Z118" i="15"/>
  <c r="AB120" i="15"/>
  <c r="Y121" i="15"/>
  <c r="AA119" i="15"/>
  <c r="Z116" i="15"/>
  <c r="Z114" i="15"/>
  <c r="AB114" i="15"/>
  <c r="Z115" i="15"/>
  <c r="AB116" i="15"/>
  <c r="Y114" i="15"/>
  <c r="AA114" i="15"/>
  <c r="AA116" i="15"/>
  <c r="AA115" i="15"/>
  <c r="Z113" i="15"/>
  <c r="Y116" i="15"/>
  <c r="AB115" i="15"/>
  <c r="AB113" i="15"/>
  <c r="Z121" i="15"/>
  <c r="AA123" i="15"/>
  <c r="Y123" i="15"/>
  <c r="Y124" i="15"/>
  <c r="Z122" i="15"/>
  <c r="AA118" i="15"/>
  <c r="Y120" i="15"/>
  <c r="AB123" i="15"/>
  <c r="Z125" i="15"/>
  <c r="AB121" i="15"/>
  <c r="Z123" i="15"/>
  <c r="AA124" i="15"/>
  <c r="AB119" i="15"/>
  <c r="Y127" i="15"/>
  <c r="Z127" i="15"/>
  <c r="Z124" i="15"/>
  <c r="Z119" i="15"/>
  <c r="Y119" i="15"/>
  <c r="AB118" i="15"/>
  <c r="AB124" i="15"/>
  <c r="AA122" i="15"/>
  <c r="Z126" i="15"/>
  <c r="D96" i="3"/>
  <c r="D97" i="3" s="1"/>
  <c r="E96" i="3"/>
  <c r="E97" i="3" s="1"/>
  <c r="F96" i="3"/>
  <c r="F97" i="3" s="1"/>
  <c r="G96" i="3"/>
  <c r="G97" i="3" s="1"/>
  <c r="C96" i="3"/>
  <c r="C97" i="3" s="1"/>
  <c r="D76" i="3"/>
  <c r="D77" i="3" s="1"/>
  <c r="E76" i="3"/>
  <c r="E77" i="3" s="1"/>
  <c r="F76" i="3"/>
  <c r="F77" i="3" s="1"/>
  <c r="G76" i="3"/>
  <c r="G77" i="3" s="1"/>
  <c r="C76" i="3"/>
  <c r="C77" i="3" s="1"/>
  <c r="D36" i="3"/>
  <c r="D37" i="3" s="1"/>
  <c r="E36" i="3"/>
  <c r="E37" i="3" s="1"/>
  <c r="F36" i="3"/>
  <c r="F37" i="3" s="1"/>
  <c r="G36" i="3"/>
  <c r="G37" i="3" s="1"/>
  <c r="C36" i="3"/>
  <c r="C37" i="3" s="1"/>
  <c r="I35" i="7" l="1"/>
  <c r="AI120" i="15"/>
  <c r="AH122" i="15"/>
  <c r="AG124" i="15"/>
  <c r="AI116" i="15"/>
  <c r="AG116" i="15"/>
  <c r="AF123" i="15"/>
  <c r="R123" i="15" s="1"/>
  <c r="AF113" i="15"/>
  <c r="R113" i="15" s="1"/>
  <c r="AH126" i="15"/>
  <c r="AF119" i="15"/>
  <c r="AG127" i="15"/>
  <c r="AI127" i="15"/>
  <c r="AI119" i="15"/>
  <c r="AH121" i="15"/>
  <c r="AG123" i="15"/>
  <c r="AI114" i="15"/>
  <c r="AG115" i="15"/>
  <c r="AF122" i="15"/>
  <c r="AI118" i="15"/>
  <c r="AG122" i="15"/>
  <c r="AI115" i="15"/>
  <c r="AF121" i="15"/>
  <c r="AG120" i="15"/>
  <c r="S120" i="15" s="1"/>
  <c r="AH125" i="15"/>
  <c r="AI126" i="15"/>
  <c r="AH120" i="15"/>
  <c r="AG114" i="15"/>
  <c r="AF127" i="15"/>
  <c r="AG119" i="15"/>
  <c r="AI125" i="15"/>
  <c r="AH127" i="15"/>
  <c r="AH119" i="15"/>
  <c r="AG121" i="15"/>
  <c r="AI113" i="15"/>
  <c r="AG113" i="15"/>
  <c r="AF120" i="15"/>
  <c r="AH118" i="15"/>
  <c r="AH115" i="15"/>
  <c r="AI122" i="15"/>
  <c r="U122" i="15" s="1"/>
  <c r="BO18" i="9" s="1"/>
  <c r="AH124" i="15"/>
  <c r="AG126" i="15"/>
  <c r="AG118" i="15"/>
  <c r="AH114" i="15"/>
  <c r="AF125" i="15"/>
  <c r="AF115" i="15"/>
  <c r="AH123" i="15"/>
  <c r="T123" i="15" s="1"/>
  <c r="AF124" i="15"/>
  <c r="AH116" i="15"/>
  <c r="AI123" i="15"/>
  <c r="AF126" i="15"/>
  <c r="AF116" i="15"/>
  <c r="AI121" i="15"/>
  <c r="AG125" i="15"/>
  <c r="AH113" i="15"/>
  <c r="T113" i="15" s="1"/>
  <c r="AF114" i="15"/>
  <c r="R114" i="15" s="1"/>
  <c r="AI124" i="15"/>
  <c r="U124" i="15" s="1"/>
  <c r="CE18" i="9" s="1"/>
  <c r="AO127" i="15"/>
  <c r="AO123" i="15"/>
  <c r="AO119" i="15"/>
  <c r="AO114" i="15"/>
  <c r="AN127" i="15"/>
  <c r="AN123" i="15"/>
  <c r="AN119" i="15"/>
  <c r="S119" i="15" s="1"/>
  <c r="AN114" i="15"/>
  <c r="AM127" i="15"/>
  <c r="AM123" i="15"/>
  <c r="AM119" i="15"/>
  <c r="R119" i="15" s="1"/>
  <c r="AM114" i="15"/>
  <c r="AP126" i="15"/>
  <c r="AP122" i="15"/>
  <c r="AP118" i="15"/>
  <c r="U118" i="15" s="1"/>
  <c r="AI18" i="9" s="1"/>
  <c r="AP113" i="15"/>
  <c r="AO126" i="15"/>
  <c r="AO122" i="15"/>
  <c r="AO118" i="15"/>
  <c r="AO113" i="15"/>
  <c r="AN126" i="15"/>
  <c r="AN122" i="15"/>
  <c r="S122" i="15" s="1"/>
  <c r="AN118" i="15"/>
  <c r="S118" i="15" s="1"/>
  <c r="AN113" i="15"/>
  <c r="AM126" i="15"/>
  <c r="R126" i="15" s="1"/>
  <c r="AM122" i="15"/>
  <c r="R122" i="15" s="1"/>
  <c r="AM118" i="15"/>
  <c r="R118" i="15" s="1"/>
  <c r="AM113" i="15"/>
  <c r="AP125" i="15"/>
  <c r="AP121" i="15"/>
  <c r="AP116" i="15"/>
  <c r="U116" i="15" s="1"/>
  <c r="AA18" i="9" s="1"/>
  <c r="AO125" i="15"/>
  <c r="AO121" i="15"/>
  <c r="AO116" i="15"/>
  <c r="T116" i="15" s="1"/>
  <c r="AN125" i="15"/>
  <c r="AN121" i="15"/>
  <c r="AN116" i="15"/>
  <c r="S116" i="15" s="1"/>
  <c r="AP119" i="15"/>
  <c r="AM125" i="15"/>
  <c r="R125" i="15" s="1"/>
  <c r="AM121" i="15"/>
  <c r="R121" i="15" s="1"/>
  <c r="AM116" i="15"/>
  <c r="R116" i="15" s="1"/>
  <c r="AP124" i="15"/>
  <c r="AP120" i="15"/>
  <c r="U120" i="15" s="1"/>
  <c r="AY18" i="9" s="1"/>
  <c r="AP115" i="15"/>
  <c r="U115" i="15" s="1"/>
  <c r="S18" i="9" s="1"/>
  <c r="S127" i="15"/>
  <c r="AO124" i="15"/>
  <c r="AO120" i="15"/>
  <c r="T120" i="15" s="1"/>
  <c r="AO115" i="15"/>
  <c r="T115" i="15" s="1"/>
  <c r="AP123" i="15"/>
  <c r="AN124" i="15"/>
  <c r="AN120" i="15"/>
  <c r="AN115" i="15"/>
  <c r="S115" i="15" s="1"/>
  <c r="AP127" i="15"/>
  <c r="AM124" i="15"/>
  <c r="AM120" i="15"/>
  <c r="R120" i="15" s="1"/>
  <c r="AM115" i="15"/>
  <c r="R115" i="15" s="1"/>
  <c r="AP114" i="15"/>
  <c r="N35" i="7" l="1"/>
  <c r="M35" i="7"/>
  <c r="T15" i="9"/>
  <c r="S15" i="9"/>
  <c r="AC12" i="9"/>
  <c r="AB12" i="9"/>
  <c r="AA12" i="9"/>
  <c r="U9" i="9"/>
  <c r="S9" i="9"/>
  <c r="V9" i="9"/>
  <c r="T9" i="9"/>
  <c r="U114" i="15"/>
  <c r="T114" i="15"/>
  <c r="S113" i="15"/>
  <c r="S114" i="15"/>
  <c r="S12" i="9"/>
  <c r="U12" i="9"/>
  <c r="T12" i="9"/>
  <c r="AB15" i="9"/>
  <c r="AA15" i="9"/>
  <c r="U113" i="15"/>
  <c r="AC9" i="9"/>
  <c r="AB9" i="9"/>
  <c r="AA9" i="9"/>
  <c r="AD9" i="9"/>
  <c r="AZ12" i="9"/>
  <c r="AY12" i="9"/>
  <c r="BA12" i="9"/>
  <c r="BQ12" i="9"/>
  <c r="BP12" i="9"/>
  <c r="BO12" i="9"/>
  <c r="DE12" i="9"/>
  <c r="DD12" i="9"/>
  <c r="DC12" i="9"/>
  <c r="CV9" i="9"/>
  <c r="CU9" i="9"/>
  <c r="CX9" i="9"/>
  <c r="CW9" i="9"/>
  <c r="BI9" i="9"/>
  <c r="BH9" i="9"/>
  <c r="BG9" i="9"/>
  <c r="BJ9" i="9"/>
  <c r="AY9" i="9"/>
  <c r="BB9" i="9"/>
  <c r="BA9" i="9"/>
  <c r="AZ9" i="9"/>
  <c r="BY9" i="9"/>
  <c r="BX9" i="9"/>
  <c r="BW9" i="9"/>
  <c r="BZ9" i="9"/>
  <c r="BX15" i="9"/>
  <c r="BW15" i="9"/>
  <c r="AZ15" i="9"/>
  <c r="AY15" i="9"/>
  <c r="CO9" i="9"/>
  <c r="CN9" i="9"/>
  <c r="CM9" i="9"/>
  <c r="CP9" i="9"/>
  <c r="BO9" i="9"/>
  <c r="BQ9" i="9"/>
  <c r="BP9" i="9"/>
  <c r="BR9" i="9"/>
  <c r="AS12" i="9"/>
  <c r="AR12" i="9"/>
  <c r="AQ12" i="9"/>
  <c r="AI9" i="9"/>
  <c r="AI12" i="9"/>
  <c r="AS9" i="9"/>
  <c r="AR9" i="9"/>
  <c r="AQ9" i="9"/>
  <c r="AT9" i="9"/>
  <c r="K9" i="9"/>
  <c r="S126" i="15"/>
  <c r="S121" i="15"/>
  <c r="U126" i="15"/>
  <c r="CU18" i="9" s="1"/>
  <c r="S123" i="15"/>
  <c r="T124" i="15"/>
  <c r="U123" i="15"/>
  <c r="BW18" i="9" s="1"/>
  <c r="T121" i="15"/>
  <c r="S124" i="15"/>
  <c r="S125" i="15"/>
  <c r="T125" i="15"/>
  <c r="T127" i="15"/>
  <c r="U125" i="15"/>
  <c r="CM18" i="9" s="1"/>
  <c r="U121" i="15"/>
  <c r="BG18" i="9" s="1"/>
  <c r="U127" i="15"/>
  <c r="DC18" i="9" s="1"/>
  <c r="T122" i="15"/>
  <c r="T126" i="15"/>
  <c r="R127" i="15"/>
  <c r="R124" i="15"/>
  <c r="U119" i="15"/>
  <c r="AQ18" i="9" s="1"/>
  <c r="T118" i="15"/>
  <c r="T119" i="15"/>
  <c r="C9" i="9"/>
  <c r="D66" i="24"/>
  <c r="E66" i="24" s="1"/>
  <c r="F66" i="24" s="1"/>
  <c r="G66" i="24" s="1"/>
  <c r="H66" i="24" s="1"/>
  <c r="G35" i="7" l="1"/>
  <c r="E35" i="7" s="1"/>
  <c r="DE9" i="9"/>
  <c r="DF9" i="9"/>
  <c r="DD9" i="9"/>
  <c r="DC9" i="9"/>
  <c r="CW12" i="9"/>
  <c r="CU12" i="9"/>
  <c r="CV12" i="9"/>
  <c r="CG12" i="9"/>
  <c r="CF12" i="9"/>
  <c r="CE12" i="9"/>
  <c r="CU15" i="9"/>
  <c r="CV15" i="9"/>
  <c r="BO15" i="9"/>
  <c r="BP15" i="9"/>
  <c r="BH15" i="9"/>
  <c r="BG15" i="9"/>
  <c r="BY12" i="9"/>
  <c r="BX12" i="9"/>
  <c r="BW12" i="9"/>
  <c r="DC15" i="9"/>
  <c r="DD15" i="9"/>
  <c r="CO12" i="9"/>
  <c r="CN12" i="9"/>
  <c r="CM12" i="9"/>
  <c r="CE15" i="9"/>
  <c r="CF15" i="9"/>
  <c r="CF9" i="9"/>
  <c r="CE9" i="9"/>
  <c r="CG9" i="9"/>
  <c r="CH9" i="9"/>
  <c r="CM15" i="9"/>
  <c r="CN15" i="9"/>
  <c r="BG12" i="9"/>
  <c r="BH12" i="9"/>
  <c r="BI12" i="9"/>
  <c r="AQ15" i="9"/>
  <c r="AR15" i="9"/>
  <c r="AI15" i="9"/>
  <c r="D62" i="24"/>
  <c r="E62" i="24" s="1"/>
  <c r="F62" i="24" s="1"/>
  <c r="G62" i="24" s="1"/>
  <c r="H62" i="24" s="1"/>
  <c r="D59" i="24"/>
  <c r="S5" i="5"/>
  <c r="S6" i="5"/>
  <c r="S7" i="5"/>
  <c r="S8" i="5"/>
  <c r="S9" i="5"/>
  <c r="S10" i="5"/>
  <c r="C11" i="15"/>
  <c r="C18" i="15"/>
  <c r="I52" i="27"/>
  <c r="I51" i="27"/>
  <c r="I22" i="27"/>
  <c r="I21" i="27"/>
  <c r="K106" i="21"/>
  <c r="E106" i="21"/>
  <c r="C41" i="27" l="1"/>
  <c r="H5" i="21"/>
  <c r="DC85" i="9"/>
  <c r="CU85" i="9"/>
  <c r="DC70" i="9"/>
  <c r="CU70" i="9"/>
  <c r="DC55" i="9"/>
  <c r="CU55" i="9"/>
  <c r="DC40" i="9"/>
  <c r="CU40" i="9"/>
  <c r="CM40" i="9"/>
  <c r="CE40" i="9"/>
  <c r="BW40" i="9"/>
  <c r="BO40" i="9"/>
  <c r="CM55" i="9"/>
  <c r="CE55" i="9"/>
  <c r="BW55" i="9"/>
  <c r="BO55" i="9"/>
  <c r="CM70" i="9"/>
  <c r="CE70" i="9"/>
  <c r="BW70" i="9"/>
  <c r="BO70" i="9"/>
  <c r="CM85" i="9"/>
  <c r="CE85" i="9"/>
  <c r="BW85" i="9"/>
  <c r="BO85" i="9"/>
  <c r="BG85" i="9"/>
  <c r="AY85" i="9"/>
  <c r="AQ85" i="9"/>
  <c r="AI85" i="9"/>
  <c r="BG70" i="9"/>
  <c r="AY70" i="9"/>
  <c r="AQ70" i="9"/>
  <c r="AI70" i="9"/>
  <c r="BG55" i="9"/>
  <c r="AY55" i="9"/>
  <c r="AQ55" i="9"/>
  <c r="AI55" i="9"/>
  <c r="BG40" i="9"/>
  <c r="AY40" i="9"/>
  <c r="AQ40" i="9"/>
  <c r="AI40" i="9"/>
  <c r="AA85" i="9"/>
  <c r="S85" i="9"/>
  <c r="AA70" i="9"/>
  <c r="S70" i="9"/>
  <c r="AA55" i="9"/>
  <c r="S55" i="9"/>
  <c r="AA40" i="9"/>
  <c r="S40" i="9"/>
  <c r="K40" i="9"/>
  <c r="K55" i="9"/>
  <c r="K85" i="9"/>
  <c r="K70" i="9"/>
  <c r="C85" i="9"/>
  <c r="C70" i="9"/>
  <c r="C40" i="9"/>
  <c r="C55" i="9"/>
  <c r="C8" i="27"/>
  <c r="DB149" i="9" l="1"/>
  <c r="CT149" i="9"/>
  <c r="DB88" i="9"/>
  <c r="CT88" i="9"/>
  <c r="C58" i="7" l="1"/>
  <c r="C57" i="7"/>
  <c r="C56" i="7"/>
  <c r="I203" i="4"/>
  <c r="I204" i="4" s="1"/>
  <c r="I205" i="4" s="1"/>
  <c r="I206" i="4" s="1"/>
  <c r="I159" i="4"/>
  <c r="I158" i="4"/>
  <c r="I157" i="4"/>
  <c r="I156" i="4"/>
  <c r="I155" i="4"/>
  <c r="I154" i="4"/>
  <c r="I153" i="4"/>
  <c r="I152" i="4"/>
  <c r="I151" i="4"/>
  <c r="I150" i="4"/>
  <c r="G32" i="4" s="1"/>
  <c r="C7" i="7"/>
  <c r="C8" i="7"/>
  <c r="C9" i="7"/>
  <c r="C10" i="7"/>
  <c r="C11" i="7"/>
  <c r="C12" i="7"/>
  <c r="C13" i="7"/>
  <c r="I207" i="4" l="1"/>
  <c r="I208" i="4" s="1"/>
  <c r="I209" i="4" s="1"/>
  <c r="I210" i="4" s="1"/>
  <c r="I211" i="4" s="1"/>
  <c r="I212" i="4" s="1"/>
  <c r="I213" i="4" s="1"/>
  <c r="I214" i="4" s="1"/>
  <c r="I215" i="4" s="1"/>
  <c r="B58" i="21"/>
  <c r="H58" i="21"/>
  <c r="B57" i="21"/>
  <c r="H57" i="21"/>
  <c r="B56" i="21"/>
  <c r="H56" i="21"/>
  <c r="B12" i="21"/>
  <c r="H12" i="21"/>
  <c r="B10" i="21"/>
  <c r="H10" i="21"/>
  <c r="B9" i="21"/>
  <c r="H9" i="21"/>
  <c r="B11" i="21"/>
  <c r="H11" i="21"/>
  <c r="B13" i="21"/>
  <c r="H13" i="21"/>
  <c r="B47" i="21"/>
  <c r="H47" i="21"/>
  <c r="B27" i="21"/>
  <c r="H27" i="21"/>
  <c r="B48" i="21"/>
  <c r="H48" i="21"/>
  <c r="B49" i="21"/>
  <c r="H49" i="21"/>
  <c r="B50" i="21"/>
  <c r="H50" i="21"/>
  <c r="B26" i="21"/>
  <c r="H26" i="21"/>
  <c r="B35" i="21"/>
  <c r="H35" i="21"/>
  <c r="B51" i="21"/>
  <c r="H51" i="21"/>
  <c r="B41" i="21"/>
  <c r="H41" i="21"/>
  <c r="B36" i="21"/>
  <c r="H36" i="21"/>
  <c r="B52" i="21"/>
  <c r="H52" i="21"/>
  <c r="B53" i="21"/>
  <c r="H53" i="21"/>
  <c r="B40" i="21"/>
  <c r="H40" i="21"/>
  <c r="B34" i="21"/>
  <c r="H34" i="21"/>
  <c r="B38" i="21"/>
  <c r="H38" i="21"/>
  <c r="B55" i="21"/>
  <c r="H55" i="21"/>
  <c r="B33" i="21"/>
  <c r="H33" i="21"/>
  <c r="B37" i="21"/>
  <c r="H37" i="21"/>
  <c r="B39" i="21"/>
  <c r="H39" i="21"/>
  <c r="B54" i="21"/>
  <c r="H54" i="21"/>
  <c r="B6" i="21"/>
  <c r="H6" i="21"/>
  <c r="B8" i="21"/>
  <c r="H8" i="21"/>
  <c r="B7" i="21"/>
  <c r="H7" i="21"/>
  <c r="B43" i="21"/>
  <c r="H43" i="21"/>
  <c r="B44" i="21"/>
  <c r="H44" i="21"/>
  <c r="B30" i="21"/>
  <c r="H30" i="21"/>
  <c r="B45" i="21"/>
  <c r="H45" i="21"/>
  <c r="B29" i="21"/>
  <c r="H29" i="21"/>
  <c r="B31" i="21"/>
  <c r="H31" i="21"/>
  <c r="B46" i="21"/>
  <c r="H46" i="21"/>
  <c r="B32" i="21"/>
  <c r="H32" i="21"/>
  <c r="B28" i="21"/>
  <c r="H28" i="21"/>
  <c r="B42" i="21"/>
  <c r="H42" i="21"/>
  <c r="DC72" i="9"/>
  <c r="CU72" i="9"/>
  <c r="DB71" i="9"/>
  <c r="DB133" i="9" s="1"/>
  <c r="DB194" i="9" s="1"/>
  <c r="CT71" i="9"/>
  <c r="CT133" i="9" s="1"/>
  <c r="CT194" i="9" s="1"/>
  <c r="DC57" i="9"/>
  <c r="CU57" i="9"/>
  <c r="DB56" i="9"/>
  <c r="DB119" i="9" s="1"/>
  <c r="DB180" i="9" s="1"/>
  <c r="CT56" i="9"/>
  <c r="CT119" i="9" s="1"/>
  <c r="CT180" i="9" s="1"/>
  <c r="DC42" i="9"/>
  <c r="CU42" i="9"/>
  <c r="DB41" i="9"/>
  <c r="DB105" i="9" s="1"/>
  <c r="DB166" i="9" s="1"/>
  <c r="CT41" i="9"/>
  <c r="CT105" i="9" s="1"/>
  <c r="CT166" i="9" s="1"/>
  <c r="DC27" i="9"/>
  <c r="CU27" i="9"/>
  <c r="DB26" i="9"/>
  <c r="DB91" i="9" s="1"/>
  <c r="DB152" i="9" s="1"/>
  <c r="CT26" i="9"/>
  <c r="CT91" i="9" s="1"/>
  <c r="CT152" i="9" s="1"/>
  <c r="CM72" i="9"/>
  <c r="CE72" i="9"/>
  <c r="BW72" i="9"/>
  <c r="BO72" i="9"/>
  <c r="CL71" i="9"/>
  <c r="CL133" i="9" s="1"/>
  <c r="CL194" i="9" s="1"/>
  <c r="CD71" i="9"/>
  <c r="CD133" i="9" s="1"/>
  <c r="CD194" i="9" s="1"/>
  <c r="BV71" i="9"/>
  <c r="BV133" i="9" s="1"/>
  <c r="BV194" i="9" s="1"/>
  <c r="BN71" i="9"/>
  <c r="BN133" i="9" s="1"/>
  <c r="BN194" i="9" s="1"/>
  <c r="CM57" i="9"/>
  <c r="CE57" i="9"/>
  <c r="BW57" i="9"/>
  <c r="BO57" i="9"/>
  <c r="CL56" i="9"/>
  <c r="CL119" i="9" s="1"/>
  <c r="CL180" i="9" s="1"/>
  <c r="CD56" i="9"/>
  <c r="CD119" i="9" s="1"/>
  <c r="CD180" i="9" s="1"/>
  <c r="BV56" i="9"/>
  <c r="BV119" i="9" s="1"/>
  <c r="BV180" i="9" s="1"/>
  <c r="BN56" i="9"/>
  <c r="BN119" i="9" s="1"/>
  <c r="BN180" i="9" s="1"/>
  <c r="CM42" i="9"/>
  <c r="CE42" i="9"/>
  <c r="BW42" i="9"/>
  <c r="BO42" i="9"/>
  <c r="CL41" i="9"/>
  <c r="CL105" i="9" s="1"/>
  <c r="CL166" i="9" s="1"/>
  <c r="CD41" i="9"/>
  <c r="CD105" i="9" s="1"/>
  <c r="CD166" i="9" s="1"/>
  <c r="BV41" i="9"/>
  <c r="BV105" i="9" s="1"/>
  <c r="BV166" i="9" s="1"/>
  <c r="BN41" i="9"/>
  <c r="BN105" i="9" s="1"/>
  <c r="BN166" i="9" s="1"/>
  <c r="CM27" i="9"/>
  <c r="CE27" i="9"/>
  <c r="BW27" i="9"/>
  <c r="BO27" i="9"/>
  <c r="CL26" i="9"/>
  <c r="CL91" i="9" s="1"/>
  <c r="CL152" i="9" s="1"/>
  <c r="CD26" i="9"/>
  <c r="CD91" i="9" s="1"/>
  <c r="CD152" i="9" s="1"/>
  <c r="BV26" i="9"/>
  <c r="BV91" i="9" s="1"/>
  <c r="BV152" i="9" s="1"/>
  <c r="BN26" i="9"/>
  <c r="BN91" i="9" s="1"/>
  <c r="BN152" i="9" s="1"/>
  <c r="BG72" i="9"/>
  <c r="BF71" i="9"/>
  <c r="BF133" i="9" s="1"/>
  <c r="BF194" i="9" s="1"/>
  <c r="BG57" i="9"/>
  <c r="BF56" i="9"/>
  <c r="BF119" i="9" s="1"/>
  <c r="BF180" i="9" s="1"/>
  <c r="BG42" i="9"/>
  <c r="BF41" i="9"/>
  <c r="BF105" i="9" s="1"/>
  <c r="BF166" i="9" s="1"/>
  <c r="BG27" i="9"/>
  <c r="BF26" i="9"/>
  <c r="BF91" i="9" s="1"/>
  <c r="BF152" i="9" s="1"/>
  <c r="AY72" i="9"/>
  <c r="AX71" i="9"/>
  <c r="AX133" i="9" s="1"/>
  <c r="AX194" i="9" s="1"/>
  <c r="AY57" i="9"/>
  <c r="AX56" i="9"/>
  <c r="AX119" i="9" s="1"/>
  <c r="AX180" i="9" s="1"/>
  <c r="AY42" i="9"/>
  <c r="AX41" i="9"/>
  <c r="AX105" i="9" s="1"/>
  <c r="AX166" i="9" s="1"/>
  <c r="AY27" i="9"/>
  <c r="AX26" i="9"/>
  <c r="AX91" i="9" s="1"/>
  <c r="AX152" i="9" s="1"/>
  <c r="CL149" i="9"/>
  <c r="CD149" i="9"/>
  <c r="BV149" i="9"/>
  <c r="BN149" i="9"/>
  <c r="BF149" i="9"/>
  <c r="AX149" i="9"/>
  <c r="AP149" i="9"/>
  <c r="AH149" i="9"/>
  <c r="Z149" i="9"/>
  <c r="R149" i="9"/>
  <c r="J149" i="9"/>
  <c r="B149" i="9"/>
  <c r="DB23" i="9"/>
  <c r="CT23" i="9"/>
  <c r="CL23" i="9"/>
  <c r="CD23" i="9"/>
  <c r="BV23" i="9"/>
  <c r="BN23" i="9"/>
  <c r="BF23" i="9"/>
  <c r="AX23" i="9"/>
  <c r="AP23" i="9"/>
  <c r="AH23" i="9"/>
  <c r="Z23" i="9"/>
  <c r="R23" i="9"/>
  <c r="J23" i="9"/>
  <c r="B23" i="9"/>
  <c r="CL88" i="9"/>
  <c r="CD88" i="9"/>
  <c r="BV88" i="9"/>
  <c r="BN88" i="9"/>
  <c r="BF88" i="9"/>
  <c r="AX88" i="9"/>
  <c r="AP88" i="9"/>
  <c r="AH88" i="9"/>
  <c r="Z88" i="9"/>
  <c r="R88" i="9"/>
  <c r="J88" i="9"/>
  <c r="B88" i="9"/>
  <c r="AQ72" i="9"/>
  <c r="AP71" i="9"/>
  <c r="AP133" i="9" s="1"/>
  <c r="AP194" i="9" s="1"/>
  <c r="AQ57" i="9"/>
  <c r="AP56" i="9"/>
  <c r="AP119" i="9" s="1"/>
  <c r="AP180" i="9" s="1"/>
  <c r="AQ42" i="9"/>
  <c r="AP41" i="9"/>
  <c r="AP105" i="9" s="1"/>
  <c r="AP166" i="9" s="1"/>
  <c r="AQ27" i="9"/>
  <c r="AP26" i="9"/>
  <c r="AP91" i="9" s="1"/>
  <c r="AP152" i="9" s="1"/>
  <c r="AI72" i="9"/>
  <c r="AH71" i="9"/>
  <c r="AH133" i="9" s="1"/>
  <c r="AH194" i="9" s="1"/>
  <c r="AI57" i="9"/>
  <c r="AH56" i="9"/>
  <c r="AH119" i="9" s="1"/>
  <c r="AH180" i="9" s="1"/>
  <c r="AI42" i="9"/>
  <c r="AH41" i="9"/>
  <c r="AH105" i="9" s="1"/>
  <c r="AH166" i="9" s="1"/>
  <c r="AI27" i="9"/>
  <c r="AH26" i="9"/>
  <c r="AH91" i="9" s="1"/>
  <c r="AH152" i="9" s="1"/>
  <c r="AA72" i="9"/>
  <c r="Z71" i="9"/>
  <c r="Z133" i="9" s="1"/>
  <c r="Z194" i="9" s="1"/>
  <c r="AA57" i="9"/>
  <c r="Z56" i="9"/>
  <c r="Z119" i="9" s="1"/>
  <c r="Z180" i="9" s="1"/>
  <c r="AA42" i="9"/>
  <c r="Z41" i="9"/>
  <c r="Z105" i="9" s="1"/>
  <c r="Z166" i="9" s="1"/>
  <c r="AA27" i="9"/>
  <c r="Z26" i="9"/>
  <c r="Z91" i="9" s="1"/>
  <c r="Z152" i="9" s="1"/>
  <c r="S72" i="9"/>
  <c r="R71" i="9"/>
  <c r="R133" i="9" s="1"/>
  <c r="R194" i="9" s="1"/>
  <c r="S57" i="9"/>
  <c r="R56" i="9"/>
  <c r="R119" i="9" s="1"/>
  <c r="R180" i="9" s="1"/>
  <c r="S42" i="9"/>
  <c r="R41" i="9"/>
  <c r="R105" i="9" s="1"/>
  <c r="R166" i="9" s="1"/>
  <c r="S27" i="9"/>
  <c r="R26" i="9"/>
  <c r="R91" i="9" s="1"/>
  <c r="R152" i="9" s="1"/>
  <c r="K72" i="9"/>
  <c r="J71" i="9"/>
  <c r="J133" i="9" s="1"/>
  <c r="J194" i="9" s="1"/>
  <c r="K57" i="9"/>
  <c r="J56" i="9"/>
  <c r="J119" i="9" s="1"/>
  <c r="J180" i="9" s="1"/>
  <c r="K42" i="9"/>
  <c r="J41" i="9"/>
  <c r="J105" i="9" s="1"/>
  <c r="J166" i="9" s="1"/>
  <c r="K27" i="9"/>
  <c r="J26" i="9"/>
  <c r="J91" i="9" s="1"/>
  <c r="J152" i="9" s="1"/>
  <c r="G35" i="4" l="1"/>
  <c r="G44" i="4"/>
  <c r="G41" i="4"/>
  <c r="G38" i="4"/>
  <c r="G34" i="4"/>
  <c r="G42" i="4"/>
  <c r="G40" i="4"/>
  <c r="G39" i="4"/>
  <c r="G43" i="4"/>
  <c r="G45" i="4"/>
  <c r="G36" i="4"/>
  <c r="G37" i="4"/>
  <c r="G33" i="4"/>
  <c r="B22" i="21"/>
  <c r="H22" i="21"/>
  <c r="B23" i="21"/>
  <c r="H23" i="21"/>
  <c r="B24" i="21"/>
  <c r="H24" i="21"/>
  <c r="B25" i="21"/>
  <c r="H25" i="21"/>
  <c r="B19" i="21"/>
  <c r="H19" i="21"/>
  <c r="B20" i="21"/>
  <c r="H20" i="21"/>
  <c r="B21" i="21"/>
  <c r="H21" i="21"/>
  <c r="B15" i="21"/>
  <c r="H15" i="21"/>
  <c r="B16" i="21"/>
  <c r="H16" i="21"/>
  <c r="B17" i="21"/>
  <c r="H17" i="21"/>
  <c r="B18" i="21"/>
  <c r="B14" i="21"/>
  <c r="H14" i="21"/>
  <c r="T42" i="9"/>
  <c r="S106" i="9"/>
  <c r="S167" i="9" s="1"/>
  <c r="AB42" i="9"/>
  <c r="AA106" i="9"/>
  <c r="AA167" i="9" s="1"/>
  <c r="AJ42" i="9"/>
  <c r="AI106" i="9"/>
  <c r="AI167" i="9" s="1"/>
  <c r="AR42" i="9"/>
  <c r="AQ106" i="9"/>
  <c r="AQ167" i="9" s="1"/>
  <c r="AZ57" i="9"/>
  <c r="AY120" i="9"/>
  <c r="AY181" i="9" s="1"/>
  <c r="BH57" i="9"/>
  <c r="BG120" i="9"/>
  <c r="BG181" i="9" s="1"/>
  <c r="BX27" i="9"/>
  <c r="BW92" i="9"/>
  <c r="BW153" i="9" s="1"/>
  <c r="BX42" i="9"/>
  <c r="BW106" i="9"/>
  <c r="BW167" i="9" s="1"/>
  <c r="BX57" i="9"/>
  <c r="BW120" i="9"/>
  <c r="BW181" i="9" s="1"/>
  <c r="BX72" i="9"/>
  <c r="BW134" i="9"/>
  <c r="BW195" i="9" s="1"/>
  <c r="CF42" i="9"/>
  <c r="CE106" i="9"/>
  <c r="CE167" i="9" s="1"/>
  <c r="CF72" i="9"/>
  <c r="CE134" i="9"/>
  <c r="CE195" i="9" s="1"/>
  <c r="T57" i="9"/>
  <c r="S120" i="9"/>
  <c r="S181" i="9" s="1"/>
  <c r="AR57" i="9"/>
  <c r="AQ120" i="9"/>
  <c r="AQ181" i="9" s="1"/>
  <c r="AZ72" i="9"/>
  <c r="AY134" i="9"/>
  <c r="AY195" i="9" s="1"/>
  <c r="BH72" i="9"/>
  <c r="BG134" i="9"/>
  <c r="BG195" i="9" s="1"/>
  <c r="CN27" i="9"/>
  <c r="CM92" i="9"/>
  <c r="CM153" i="9" s="1"/>
  <c r="CN42" i="9"/>
  <c r="CM106" i="9"/>
  <c r="CM167" i="9" s="1"/>
  <c r="CN57" i="9"/>
  <c r="CM120" i="9"/>
  <c r="CM181" i="9" s="1"/>
  <c r="CN72" i="9"/>
  <c r="CM134" i="9"/>
  <c r="CM195" i="9" s="1"/>
  <c r="DD42" i="9"/>
  <c r="DC106" i="9"/>
  <c r="DC167" i="9" s="1"/>
  <c r="DD72" i="9"/>
  <c r="DC134" i="9"/>
  <c r="DC195" i="9" s="1"/>
  <c r="CF27" i="9"/>
  <c r="CE92" i="9"/>
  <c r="CE153" i="9" s="1"/>
  <c r="AJ72" i="9"/>
  <c r="AI134" i="9"/>
  <c r="AI195" i="9" s="1"/>
  <c r="L42" i="9"/>
  <c r="K106" i="9"/>
  <c r="K167" i="9" s="1"/>
  <c r="CF57" i="9"/>
  <c r="CE120" i="9"/>
  <c r="CE181" i="9" s="1"/>
  <c r="L72" i="9"/>
  <c r="K134" i="9"/>
  <c r="K195" i="9" s="1"/>
  <c r="AR72" i="9"/>
  <c r="AQ134" i="9"/>
  <c r="AQ195" i="9" s="1"/>
  <c r="AZ27" i="9"/>
  <c r="AY92" i="9"/>
  <c r="AY153" i="9" s="1"/>
  <c r="BH27" i="9"/>
  <c r="BG92" i="9"/>
  <c r="BG153" i="9" s="1"/>
  <c r="CV27" i="9"/>
  <c r="CU92" i="9"/>
  <c r="CU153" i="9" s="1"/>
  <c r="CV57" i="9"/>
  <c r="CU120" i="9"/>
  <c r="CU181" i="9" s="1"/>
  <c r="CV42" i="9"/>
  <c r="CU106" i="9"/>
  <c r="CU167" i="9" s="1"/>
  <c r="AB57" i="9"/>
  <c r="AA120" i="9"/>
  <c r="AA181" i="9" s="1"/>
  <c r="AB72" i="9"/>
  <c r="AA134" i="9"/>
  <c r="AA195" i="9" s="1"/>
  <c r="T27" i="9"/>
  <c r="S92" i="9"/>
  <c r="S153" i="9" s="1"/>
  <c r="AJ27" i="9"/>
  <c r="AI92" i="9"/>
  <c r="AI153" i="9" s="1"/>
  <c r="AZ42" i="9"/>
  <c r="AY106" i="9"/>
  <c r="AY167" i="9" s="1"/>
  <c r="BH42" i="9"/>
  <c r="BG106" i="9"/>
  <c r="BG167" i="9" s="1"/>
  <c r="DD27" i="9"/>
  <c r="DC92" i="9"/>
  <c r="DC153" i="9" s="1"/>
  <c r="DD57" i="9"/>
  <c r="DC120" i="9"/>
  <c r="DC181" i="9" s="1"/>
  <c r="CV72" i="9"/>
  <c r="CU134" i="9"/>
  <c r="CU195" i="9" s="1"/>
  <c r="L57" i="9"/>
  <c r="K120" i="9"/>
  <c r="K181" i="9" s="1"/>
  <c r="AJ57" i="9"/>
  <c r="AI120" i="9"/>
  <c r="AI181" i="9" s="1"/>
  <c r="T72" i="9"/>
  <c r="S134" i="9"/>
  <c r="S195" i="9" s="1"/>
  <c r="L27" i="9"/>
  <c r="K92" i="9"/>
  <c r="K153" i="9" s="1"/>
  <c r="AB27" i="9"/>
  <c r="AA92" i="9"/>
  <c r="AA153" i="9" s="1"/>
  <c r="AR27" i="9"/>
  <c r="AQ92" i="9"/>
  <c r="AQ153" i="9" s="1"/>
  <c r="BP27" i="9"/>
  <c r="BO92" i="9"/>
  <c r="BO153" i="9" s="1"/>
  <c r="BP42" i="9"/>
  <c r="BO106" i="9"/>
  <c r="BO167" i="9" s="1"/>
  <c r="BP57" i="9"/>
  <c r="BO120" i="9"/>
  <c r="BO181" i="9" s="1"/>
  <c r="BP72" i="9"/>
  <c r="BO134" i="9"/>
  <c r="BO195" i="9" s="1"/>
  <c r="B71" i="9"/>
  <c r="B133" i="9" s="1"/>
  <c r="B194" i="9" s="1"/>
  <c r="B56" i="9"/>
  <c r="B119" i="9" s="1"/>
  <c r="B180" i="9" s="1"/>
  <c r="C72" i="9"/>
  <c r="C57" i="9"/>
  <c r="B41" i="9"/>
  <c r="B105" i="9" s="1"/>
  <c r="B166" i="9" s="1"/>
  <c r="C42" i="9"/>
  <c r="J65" i="20"/>
  <c r="B65" i="20"/>
  <c r="J46" i="20"/>
  <c r="B46" i="20"/>
  <c r="J27" i="20"/>
  <c r="B27" i="20"/>
  <c r="J8" i="20"/>
  <c r="K67" i="20"/>
  <c r="L67" i="20" s="1"/>
  <c r="M67" i="20" s="1"/>
  <c r="N67" i="20" s="1"/>
  <c r="O67" i="20" s="1"/>
  <c r="C67" i="20"/>
  <c r="D67" i="20" s="1"/>
  <c r="E67" i="20" s="1"/>
  <c r="F67" i="20" s="1"/>
  <c r="G67" i="20" s="1"/>
  <c r="K48" i="20"/>
  <c r="L48" i="20" s="1"/>
  <c r="M48" i="20" s="1"/>
  <c r="N48" i="20" s="1"/>
  <c r="O48" i="20" s="1"/>
  <c r="C48" i="20"/>
  <c r="D48" i="20" s="1"/>
  <c r="E48" i="20" s="1"/>
  <c r="F48" i="20" s="1"/>
  <c r="G48" i="20" s="1"/>
  <c r="K29" i="20"/>
  <c r="L29" i="20" s="1"/>
  <c r="M29" i="20" s="1"/>
  <c r="N29" i="20" s="1"/>
  <c r="O29" i="20" s="1"/>
  <c r="C29" i="20"/>
  <c r="D29" i="20" s="1"/>
  <c r="E29" i="20" s="1"/>
  <c r="F29" i="20" s="1"/>
  <c r="G29" i="20" s="1"/>
  <c r="K10" i="20"/>
  <c r="L10" i="20" s="1"/>
  <c r="M10" i="20" s="1"/>
  <c r="N10" i="20" s="1"/>
  <c r="O10" i="20" s="1"/>
  <c r="C10" i="20"/>
  <c r="D10" i="20" s="1"/>
  <c r="E10" i="20" s="1"/>
  <c r="F10" i="20" s="1"/>
  <c r="G10" i="20" s="1"/>
  <c r="C27" i="9"/>
  <c r="B26" i="9"/>
  <c r="B91" i="9" s="1"/>
  <c r="B152" i="9" s="1"/>
  <c r="DE27" i="9" l="1"/>
  <c r="DD92" i="9"/>
  <c r="DD153" i="9" s="1"/>
  <c r="AK72" i="9"/>
  <c r="AJ134" i="9"/>
  <c r="AJ195" i="9" s="1"/>
  <c r="CG72" i="9"/>
  <c r="CF134" i="9"/>
  <c r="CF195" i="9" s="1"/>
  <c r="BQ72" i="9"/>
  <c r="BP134" i="9"/>
  <c r="BP195" i="9" s="1"/>
  <c r="U27" i="9"/>
  <c r="T92" i="9"/>
  <c r="T153" i="9" s="1"/>
  <c r="CO72" i="9"/>
  <c r="CN134" i="9"/>
  <c r="CN195" i="9" s="1"/>
  <c r="BY42" i="9"/>
  <c r="BX106" i="9"/>
  <c r="BX167" i="9" s="1"/>
  <c r="BQ57" i="9"/>
  <c r="BP120" i="9"/>
  <c r="BP181" i="9" s="1"/>
  <c r="AC27" i="9"/>
  <c r="AB92" i="9"/>
  <c r="AB153" i="9" s="1"/>
  <c r="M57" i="9"/>
  <c r="L120" i="9"/>
  <c r="L181" i="9" s="1"/>
  <c r="BI42" i="9"/>
  <c r="BH106" i="9"/>
  <c r="BH167" i="9" s="1"/>
  <c r="AC72" i="9"/>
  <c r="AB134" i="9"/>
  <c r="AB195" i="9" s="1"/>
  <c r="CW27" i="9"/>
  <c r="CV92" i="9"/>
  <c r="CV153" i="9" s="1"/>
  <c r="M72" i="9"/>
  <c r="L134" i="9"/>
  <c r="L195" i="9" s="1"/>
  <c r="CG27" i="9"/>
  <c r="CF92" i="9"/>
  <c r="CF153" i="9" s="1"/>
  <c r="CO57" i="9"/>
  <c r="CN120" i="9"/>
  <c r="CN181" i="9" s="1"/>
  <c r="BA72" i="9"/>
  <c r="AZ134" i="9"/>
  <c r="AZ195" i="9" s="1"/>
  <c r="CG42" i="9"/>
  <c r="CF106" i="9"/>
  <c r="CF167" i="9" s="1"/>
  <c r="BY27" i="9"/>
  <c r="BX92" i="9"/>
  <c r="BX153" i="9" s="1"/>
  <c r="AK42" i="9"/>
  <c r="AJ106" i="9"/>
  <c r="AJ167" i="9" s="1"/>
  <c r="AK57" i="9"/>
  <c r="AJ120" i="9"/>
  <c r="AJ181" i="9" s="1"/>
  <c r="AS72" i="9"/>
  <c r="AR134" i="9"/>
  <c r="AR195" i="9" s="1"/>
  <c r="AS42" i="9"/>
  <c r="AR106" i="9"/>
  <c r="AR167" i="9" s="1"/>
  <c r="BQ42" i="9"/>
  <c r="BP106" i="9"/>
  <c r="BP167" i="9" s="1"/>
  <c r="M27" i="9"/>
  <c r="L92" i="9"/>
  <c r="L153" i="9" s="1"/>
  <c r="CW72" i="9"/>
  <c r="CV134" i="9"/>
  <c r="CV195" i="9" s="1"/>
  <c r="BA42" i="9"/>
  <c r="AZ106" i="9"/>
  <c r="AZ167" i="9" s="1"/>
  <c r="AC57" i="9"/>
  <c r="AB120" i="9"/>
  <c r="AB181" i="9" s="1"/>
  <c r="BI27" i="9"/>
  <c r="BH92" i="9"/>
  <c r="BH153" i="9" s="1"/>
  <c r="CG57" i="9"/>
  <c r="CF120" i="9"/>
  <c r="CF181" i="9" s="1"/>
  <c r="DE72" i="9"/>
  <c r="DD134" i="9"/>
  <c r="DD195" i="9" s="1"/>
  <c r="CO42" i="9"/>
  <c r="CN106" i="9"/>
  <c r="CN167" i="9" s="1"/>
  <c r="AS57" i="9"/>
  <c r="AR120" i="9"/>
  <c r="AR181" i="9" s="1"/>
  <c r="BY72" i="9"/>
  <c r="BX134" i="9"/>
  <c r="BX195" i="9" s="1"/>
  <c r="BI57" i="9"/>
  <c r="BH120" i="9"/>
  <c r="BH181" i="9" s="1"/>
  <c r="AC42" i="9"/>
  <c r="AB106" i="9"/>
  <c r="AB167" i="9" s="1"/>
  <c r="AS27" i="9"/>
  <c r="AR92" i="9"/>
  <c r="AR153" i="9" s="1"/>
  <c r="CW57" i="9"/>
  <c r="CV120" i="9"/>
  <c r="CV181" i="9" s="1"/>
  <c r="BI72" i="9"/>
  <c r="BH134" i="9"/>
  <c r="BH195" i="9" s="1"/>
  <c r="BQ27" i="9"/>
  <c r="BP92" i="9"/>
  <c r="BP153" i="9" s="1"/>
  <c r="U72" i="9"/>
  <c r="T134" i="9"/>
  <c r="T195" i="9" s="1"/>
  <c r="DE57" i="9"/>
  <c r="DD120" i="9"/>
  <c r="DD181" i="9" s="1"/>
  <c r="AK27" i="9"/>
  <c r="AJ92" i="9"/>
  <c r="AJ153" i="9" s="1"/>
  <c r="CW42" i="9"/>
  <c r="CV106" i="9"/>
  <c r="CV167" i="9" s="1"/>
  <c r="BA27" i="9"/>
  <c r="AZ92" i="9"/>
  <c r="AZ153" i="9" s="1"/>
  <c r="M42" i="9"/>
  <c r="L106" i="9"/>
  <c r="L167" i="9" s="1"/>
  <c r="DE42" i="9"/>
  <c r="DD106" i="9"/>
  <c r="DD167" i="9" s="1"/>
  <c r="CO27" i="9"/>
  <c r="CN92" i="9"/>
  <c r="CN153" i="9" s="1"/>
  <c r="U57" i="9"/>
  <c r="T120" i="9"/>
  <c r="T181" i="9" s="1"/>
  <c r="BY57" i="9"/>
  <c r="BX120" i="9"/>
  <c r="BX181" i="9" s="1"/>
  <c r="BA57" i="9"/>
  <c r="AZ120" i="9"/>
  <c r="AZ181" i="9" s="1"/>
  <c r="U42" i="9"/>
  <c r="T106" i="9"/>
  <c r="T167" i="9" s="1"/>
  <c r="D72" i="9"/>
  <c r="C134" i="9"/>
  <c r="C195" i="9" s="1"/>
  <c r="D57" i="9"/>
  <c r="C120" i="9"/>
  <c r="C181" i="9" s="1"/>
  <c r="D27" i="9"/>
  <c r="C92" i="9"/>
  <c r="C153" i="9" s="1"/>
  <c r="D42" i="9"/>
  <c r="D106" i="9" s="1"/>
  <c r="D167" i="9" s="1"/>
  <c r="C106" i="9"/>
  <c r="C167" i="9" s="1"/>
  <c r="AX9" i="26"/>
  <c r="AW9" i="26"/>
  <c r="AV9" i="26"/>
  <c r="AU9" i="26"/>
  <c r="AU10" i="26" s="1"/>
  <c r="AT9" i="26"/>
  <c r="AS9" i="26"/>
  <c r="AR9" i="26"/>
  <c r="AR10" i="26" s="1"/>
  <c r="AQ9" i="26"/>
  <c r="AQ10" i="26" s="1"/>
  <c r="AP9" i="26"/>
  <c r="AO9" i="26"/>
  <c r="AN9" i="26"/>
  <c r="AN10" i="26" s="1"/>
  <c r="AM9" i="26"/>
  <c r="AM10" i="26" s="1"/>
  <c r="AL9" i="26"/>
  <c r="AL10" i="26" s="1"/>
  <c r="AK9" i="26"/>
  <c r="AK10" i="26" s="1"/>
  <c r="AI72" i="15" l="1"/>
  <c r="AH74" i="15"/>
  <c r="AG76" i="15"/>
  <c r="AF78" i="15"/>
  <c r="AF71" i="15"/>
  <c r="AF76" i="15"/>
  <c r="AH78" i="15"/>
  <c r="AF74" i="15"/>
  <c r="AI75" i="15"/>
  <c r="AF73" i="15"/>
  <c r="AI79" i="15"/>
  <c r="AI71" i="15"/>
  <c r="AH73" i="15"/>
  <c r="AG74" i="15"/>
  <c r="AF77" i="15"/>
  <c r="AI68" i="15"/>
  <c r="AG68" i="15"/>
  <c r="AI78" i="15"/>
  <c r="AH72" i="15"/>
  <c r="AG75" i="15"/>
  <c r="AG67" i="15"/>
  <c r="AH79" i="15"/>
  <c r="AF75" i="15"/>
  <c r="AG79" i="15"/>
  <c r="AI70" i="15"/>
  <c r="AI67" i="15"/>
  <c r="AG73" i="15"/>
  <c r="AI77" i="15"/>
  <c r="AH71" i="15"/>
  <c r="AI76" i="15"/>
  <c r="AH70" i="15"/>
  <c r="AH68" i="15"/>
  <c r="AI74" i="15"/>
  <c r="AH76" i="15"/>
  <c r="AG78" i="15"/>
  <c r="AG70" i="15"/>
  <c r="AF72" i="15"/>
  <c r="AH67" i="15"/>
  <c r="AF67" i="15"/>
  <c r="AI73" i="15"/>
  <c r="AH75" i="15"/>
  <c r="AF79" i="15"/>
  <c r="AF66" i="15"/>
  <c r="AN66" i="15" s="1"/>
  <c r="AH77" i="15"/>
  <c r="AG71" i="15"/>
  <c r="AF68" i="15"/>
  <c r="AG77" i="15"/>
  <c r="AF70" i="15"/>
  <c r="AG72" i="15"/>
  <c r="AO76" i="15"/>
  <c r="T76" i="15" s="1"/>
  <c r="AO72" i="15"/>
  <c r="AM71" i="15"/>
  <c r="AN78" i="15"/>
  <c r="AP77" i="15"/>
  <c r="AM77" i="15"/>
  <c r="R77" i="15" s="1"/>
  <c r="AN76" i="15"/>
  <c r="S76" i="15" s="1"/>
  <c r="AN72" i="15"/>
  <c r="S72" i="15" s="1"/>
  <c r="AO70" i="15"/>
  <c r="AM74" i="15"/>
  <c r="AN68" i="15"/>
  <c r="AM76" i="15"/>
  <c r="AM72" i="15"/>
  <c r="AN71" i="15"/>
  <c r="AO74" i="15"/>
  <c r="AM70" i="15"/>
  <c r="AN73" i="15"/>
  <c r="S73" i="15" s="1"/>
  <c r="AP79" i="15"/>
  <c r="AP75" i="15"/>
  <c r="AP71" i="15"/>
  <c r="AM75" i="15"/>
  <c r="R75" i="15" s="1"/>
  <c r="AN74" i="15"/>
  <c r="AP73" i="15"/>
  <c r="U73" i="15" s="1"/>
  <c r="BG19" i="9" s="1"/>
  <c r="AM73" i="15"/>
  <c r="AO79" i="15"/>
  <c r="AO75" i="15"/>
  <c r="AO71" i="15"/>
  <c r="AN75" i="15"/>
  <c r="AP74" i="15"/>
  <c r="AP68" i="15"/>
  <c r="AN77" i="15"/>
  <c r="S77" i="15" s="1"/>
  <c r="AN79" i="15"/>
  <c r="AM78" i="15"/>
  <c r="R78" i="15" s="1"/>
  <c r="AP72" i="15"/>
  <c r="AM79" i="15"/>
  <c r="R79" i="15" s="1"/>
  <c r="AM68" i="15"/>
  <c r="AP78" i="15"/>
  <c r="U78" i="15" s="1"/>
  <c r="CU19" i="9" s="1"/>
  <c r="AP70" i="15"/>
  <c r="AN70" i="15"/>
  <c r="AO77" i="15"/>
  <c r="T77" i="15" s="1"/>
  <c r="AO78" i="15"/>
  <c r="AO73" i="15"/>
  <c r="AP76" i="15"/>
  <c r="AO68" i="15"/>
  <c r="AP67" i="15"/>
  <c r="AO67" i="15"/>
  <c r="AN67" i="15"/>
  <c r="AM67" i="15"/>
  <c r="AM66" i="15"/>
  <c r="V42" i="9"/>
  <c r="U106" i="9"/>
  <c r="U167" i="9" s="1"/>
  <c r="CX42" i="9"/>
  <c r="CW106" i="9"/>
  <c r="CW167" i="9" s="1"/>
  <c r="AD42" i="9"/>
  <c r="AC106" i="9"/>
  <c r="AC167" i="9" s="1"/>
  <c r="BR42" i="9"/>
  <c r="BQ106" i="9"/>
  <c r="BQ167" i="9" s="1"/>
  <c r="AL42" i="9"/>
  <c r="AK106" i="9"/>
  <c r="AK167" i="9" s="1"/>
  <c r="AD72" i="9"/>
  <c r="AC134" i="9"/>
  <c r="AC195" i="9" s="1"/>
  <c r="BR72" i="9"/>
  <c r="BQ134" i="9"/>
  <c r="BQ195" i="9" s="1"/>
  <c r="BB57" i="9"/>
  <c r="BA120" i="9"/>
  <c r="BA181" i="9" s="1"/>
  <c r="DF42" i="9"/>
  <c r="DE106" i="9"/>
  <c r="DE167" i="9" s="1"/>
  <c r="AL27" i="9"/>
  <c r="AK92" i="9"/>
  <c r="AK153" i="9" s="1"/>
  <c r="BJ72" i="9"/>
  <c r="BI134" i="9"/>
  <c r="BI195" i="9" s="1"/>
  <c r="BJ57" i="9"/>
  <c r="BI120" i="9"/>
  <c r="BI181" i="9" s="1"/>
  <c r="DF72" i="9"/>
  <c r="DE134" i="9"/>
  <c r="DE195" i="9" s="1"/>
  <c r="BB42" i="9"/>
  <c r="BA106" i="9"/>
  <c r="BA167" i="9" s="1"/>
  <c r="AT42" i="9"/>
  <c r="AS106" i="9"/>
  <c r="AS167" i="9" s="1"/>
  <c r="BZ27" i="9"/>
  <c r="BY92" i="9"/>
  <c r="BY153" i="9" s="1"/>
  <c r="CH27" i="9"/>
  <c r="CG92" i="9"/>
  <c r="CG153" i="9" s="1"/>
  <c r="BJ42" i="9"/>
  <c r="BI106" i="9"/>
  <c r="BI167" i="9" s="1"/>
  <c r="BZ42" i="9"/>
  <c r="BY106" i="9"/>
  <c r="BY167" i="9" s="1"/>
  <c r="CH72" i="9"/>
  <c r="CG134" i="9"/>
  <c r="CG195" i="9" s="1"/>
  <c r="V57" i="9"/>
  <c r="U120" i="9"/>
  <c r="U181" i="9" s="1"/>
  <c r="BB27" i="9"/>
  <c r="BA92" i="9"/>
  <c r="BA153" i="9" s="1"/>
  <c r="V72" i="9"/>
  <c r="U134" i="9"/>
  <c r="U195" i="9" s="1"/>
  <c r="AT27" i="9"/>
  <c r="AS92" i="9"/>
  <c r="AS153" i="9" s="1"/>
  <c r="AT57" i="9"/>
  <c r="AS120" i="9"/>
  <c r="AS181" i="9" s="1"/>
  <c r="BJ27" i="9"/>
  <c r="BI92" i="9"/>
  <c r="BI153" i="9" s="1"/>
  <c r="N27" i="9"/>
  <c r="M92" i="9"/>
  <c r="M153" i="9" s="1"/>
  <c r="AL57" i="9"/>
  <c r="AK120" i="9"/>
  <c r="AK181" i="9" s="1"/>
  <c r="BB72" i="9"/>
  <c r="BA134" i="9"/>
  <c r="BA195" i="9" s="1"/>
  <c r="CX27" i="9"/>
  <c r="CW92" i="9"/>
  <c r="CW153" i="9" s="1"/>
  <c r="AD27" i="9"/>
  <c r="AC92" i="9"/>
  <c r="AC153" i="9" s="1"/>
  <c r="V27" i="9"/>
  <c r="U92" i="9"/>
  <c r="U153" i="9" s="1"/>
  <c r="DF27" i="9"/>
  <c r="DE92" i="9"/>
  <c r="DE153" i="9" s="1"/>
  <c r="CP27" i="9"/>
  <c r="CO92" i="9"/>
  <c r="CO153" i="9" s="1"/>
  <c r="BR27" i="9"/>
  <c r="BQ92" i="9"/>
  <c r="BQ153" i="9" s="1"/>
  <c r="CP42" i="9"/>
  <c r="CO106" i="9"/>
  <c r="CO167" i="9" s="1"/>
  <c r="AD57" i="9"/>
  <c r="AC120" i="9"/>
  <c r="AC181" i="9" s="1"/>
  <c r="CP57" i="9"/>
  <c r="CO120" i="9"/>
  <c r="CO181" i="9" s="1"/>
  <c r="BR57" i="9"/>
  <c r="BQ120" i="9"/>
  <c r="BQ181" i="9" s="1"/>
  <c r="BZ57" i="9"/>
  <c r="BY120" i="9"/>
  <c r="BY181" i="9" s="1"/>
  <c r="N42" i="9"/>
  <c r="M106" i="9"/>
  <c r="M167" i="9" s="1"/>
  <c r="DF57" i="9"/>
  <c r="DE120" i="9"/>
  <c r="DE181" i="9" s="1"/>
  <c r="CX57" i="9"/>
  <c r="CW120" i="9"/>
  <c r="CW181" i="9" s="1"/>
  <c r="BZ72" i="9"/>
  <c r="BY134" i="9"/>
  <c r="BY195" i="9" s="1"/>
  <c r="CH57" i="9"/>
  <c r="CG120" i="9"/>
  <c r="CG181" i="9" s="1"/>
  <c r="CX72" i="9"/>
  <c r="CW134" i="9"/>
  <c r="CW195" i="9" s="1"/>
  <c r="AT72" i="9"/>
  <c r="AS134" i="9"/>
  <c r="AS195" i="9" s="1"/>
  <c r="CH42" i="9"/>
  <c r="CG106" i="9"/>
  <c r="CG167" i="9" s="1"/>
  <c r="N72" i="9"/>
  <c r="M134" i="9"/>
  <c r="M195" i="9" s="1"/>
  <c r="N57" i="9"/>
  <c r="M120" i="9"/>
  <c r="M181" i="9" s="1"/>
  <c r="CP72" i="9"/>
  <c r="CO134" i="9"/>
  <c r="CO195" i="9" s="1"/>
  <c r="AL72" i="9"/>
  <c r="AK134" i="9"/>
  <c r="AK195" i="9" s="1"/>
  <c r="E72" i="9"/>
  <c r="D134" i="9"/>
  <c r="D195" i="9" s="1"/>
  <c r="E57" i="9"/>
  <c r="D120" i="9"/>
  <c r="D181" i="9" s="1"/>
  <c r="E42" i="9"/>
  <c r="E106" i="9" s="1"/>
  <c r="E167" i="9" s="1"/>
  <c r="E27" i="9"/>
  <c r="D92" i="9"/>
  <c r="D153" i="9" s="1"/>
  <c r="AT10" i="26"/>
  <c r="AS10" i="26"/>
  <c r="AO10" i="26"/>
  <c r="AP10" i="26"/>
  <c r="AX10" i="26"/>
  <c r="AV10" i="26"/>
  <c r="AW10" i="26"/>
  <c r="CM13" i="9" l="1"/>
  <c r="CO13" i="9"/>
  <c r="CN13" i="9"/>
  <c r="CN10" i="9"/>
  <c r="CP10" i="9"/>
  <c r="CO10" i="9"/>
  <c r="CM10" i="9"/>
  <c r="BW10" i="9"/>
  <c r="BY10" i="9"/>
  <c r="BX10" i="9"/>
  <c r="BZ10" i="9"/>
  <c r="DC10" i="9"/>
  <c r="DE10" i="9"/>
  <c r="DF10" i="9"/>
  <c r="DD10" i="9"/>
  <c r="CX10" i="9"/>
  <c r="CV10" i="9"/>
  <c r="CW10" i="9"/>
  <c r="CU10" i="9"/>
  <c r="CE16" i="9"/>
  <c r="CF16" i="9"/>
  <c r="CG13" i="9"/>
  <c r="CF13" i="9"/>
  <c r="CE13" i="9"/>
  <c r="CN16" i="9"/>
  <c r="CM16" i="9"/>
  <c r="BG13" i="9"/>
  <c r="BI13" i="9"/>
  <c r="BH13" i="9"/>
  <c r="AZ13" i="9"/>
  <c r="AY13" i="9"/>
  <c r="BA13" i="9"/>
  <c r="S74" i="15"/>
  <c r="U76" i="15"/>
  <c r="CE19" i="9" s="1"/>
  <c r="V68" i="15"/>
  <c r="T78" i="15"/>
  <c r="T79" i="15"/>
  <c r="R72" i="15"/>
  <c r="T71" i="15"/>
  <c r="U75" i="15"/>
  <c r="BW19" i="9" s="1"/>
  <c r="U72" i="15"/>
  <c r="AY19" i="9" s="1"/>
  <c r="AG66" i="15"/>
  <c r="S71" i="15"/>
  <c r="R71" i="15"/>
  <c r="R73" i="15"/>
  <c r="T74" i="15"/>
  <c r="S75" i="15"/>
  <c r="U71" i="15"/>
  <c r="AQ19" i="9" s="1"/>
  <c r="R76" i="15"/>
  <c r="S78" i="15"/>
  <c r="U74" i="15"/>
  <c r="BO19" i="9" s="1"/>
  <c r="U77" i="15"/>
  <c r="T73" i="15"/>
  <c r="T75" i="15"/>
  <c r="U79" i="15"/>
  <c r="DC19" i="9" s="1"/>
  <c r="R74" i="15"/>
  <c r="T72" i="15"/>
  <c r="S79" i="15"/>
  <c r="CI42" i="9"/>
  <c r="CI106" i="9" s="1"/>
  <c r="CI167" i="9" s="1"/>
  <c r="CH106" i="9"/>
  <c r="CH167" i="9" s="1"/>
  <c r="CQ42" i="9"/>
  <c r="CQ106" i="9" s="1"/>
  <c r="CQ167" i="9" s="1"/>
  <c r="CP106" i="9"/>
  <c r="CP167" i="9" s="1"/>
  <c r="AU27" i="9"/>
  <c r="AU92" i="9" s="1"/>
  <c r="AU153" i="9" s="1"/>
  <c r="AT92" i="9"/>
  <c r="AT153" i="9" s="1"/>
  <c r="CA27" i="9"/>
  <c r="CA92" i="9" s="1"/>
  <c r="CA153" i="9" s="1"/>
  <c r="BZ92" i="9"/>
  <c r="BZ153" i="9" s="1"/>
  <c r="BS42" i="9"/>
  <c r="BS106" i="9" s="1"/>
  <c r="BS167" i="9" s="1"/>
  <c r="BR106" i="9"/>
  <c r="BR167" i="9" s="1"/>
  <c r="CA72" i="9"/>
  <c r="CA134" i="9" s="1"/>
  <c r="CA195" i="9" s="1"/>
  <c r="BZ134" i="9"/>
  <c r="BZ195" i="9" s="1"/>
  <c r="AM57" i="9"/>
  <c r="AM120" i="9" s="1"/>
  <c r="AM181" i="9" s="1"/>
  <c r="AL120" i="9"/>
  <c r="AL181" i="9" s="1"/>
  <c r="CI72" i="9"/>
  <c r="CI134" i="9" s="1"/>
  <c r="CI195" i="9" s="1"/>
  <c r="CH134" i="9"/>
  <c r="CH195" i="9" s="1"/>
  <c r="BC57" i="9"/>
  <c r="BC120" i="9" s="1"/>
  <c r="BC181" i="9" s="1"/>
  <c r="BB120" i="9"/>
  <c r="BB181" i="9" s="1"/>
  <c r="CQ72" i="9"/>
  <c r="CQ134" i="9" s="1"/>
  <c r="CQ195" i="9" s="1"/>
  <c r="CP134" i="9"/>
  <c r="CP195" i="9" s="1"/>
  <c r="AU72" i="9"/>
  <c r="AU134" i="9" s="1"/>
  <c r="AU195" i="9" s="1"/>
  <c r="AT134" i="9"/>
  <c r="AT195" i="9" s="1"/>
  <c r="CY57" i="9"/>
  <c r="CY120" i="9" s="1"/>
  <c r="CY181" i="9" s="1"/>
  <c r="CX120" i="9"/>
  <c r="CX181" i="9" s="1"/>
  <c r="BS57" i="9"/>
  <c r="BS120" i="9" s="1"/>
  <c r="BS181" i="9" s="1"/>
  <c r="BR120" i="9"/>
  <c r="BR181" i="9" s="1"/>
  <c r="BS27" i="9"/>
  <c r="BS92" i="9" s="1"/>
  <c r="BS153" i="9" s="1"/>
  <c r="BR92" i="9"/>
  <c r="BR153" i="9" s="1"/>
  <c r="AE27" i="9"/>
  <c r="AE92" i="9" s="1"/>
  <c r="AE153" i="9" s="1"/>
  <c r="AD92" i="9"/>
  <c r="AD153" i="9" s="1"/>
  <c r="O27" i="9"/>
  <c r="O92" i="9" s="1"/>
  <c r="O153" i="9" s="1"/>
  <c r="N92" i="9"/>
  <c r="N153" i="9" s="1"/>
  <c r="W72" i="9"/>
  <c r="W134" i="9" s="1"/>
  <c r="W195" i="9" s="1"/>
  <c r="V134" i="9"/>
  <c r="V195" i="9" s="1"/>
  <c r="CA42" i="9"/>
  <c r="CA106" i="9" s="1"/>
  <c r="CA167" i="9" s="1"/>
  <c r="BZ106" i="9"/>
  <c r="BZ167" i="9" s="1"/>
  <c r="AU42" i="9"/>
  <c r="AU106" i="9" s="1"/>
  <c r="AU167" i="9" s="1"/>
  <c r="AT106" i="9"/>
  <c r="AT167" i="9" s="1"/>
  <c r="BK72" i="9"/>
  <c r="BK134" i="9" s="1"/>
  <c r="BK195" i="9" s="1"/>
  <c r="BJ134" i="9"/>
  <c r="BJ195" i="9" s="1"/>
  <c r="BS72" i="9"/>
  <c r="BS134" i="9" s="1"/>
  <c r="BS195" i="9" s="1"/>
  <c r="BR134" i="9"/>
  <c r="BR195" i="9" s="1"/>
  <c r="AE42" i="9"/>
  <c r="AE106" i="9" s="1"/>
  <c r="AE167" i="9" s="1"/>
  <c r="AD106" i="9"/>
  <c r="AD167" i="9" s="1"/>
  <c r="CY27" i="9"/>
  <c r="CY92" i="9" s="1"/>
  <c r="CY153" i="9" s="1"/>
  <c r="CX92" i="9"/>
  <c r="CX153" i="9" s="1"/>
  <c r="BK27" i="9"/>
  <c r="BK92" i="9" s="1"/>
  <c r="BK153" i="9" s="1"/>
  <c r="BJ92" i="9"/>
  <c r="BJ153" i="9" s="1"/>
  <c r="BC27" i="9"/>
  <c r="BC92" i="9" s="1"/>
  <c r="BC153" i="9" s="1"/>
  <c r="BB92" i="9"/>
  <c r="BB153" i="9" s="1"/>
  <c r="BK42" i="9"/>
  <c r="BK106" i="9" s="1"/>
  <c r="BK167" i="9" s="1"/>
  <c r="BJ106" i="9"/>
  <c r="BJ167" i="9" s="1"/>
  <c r="BC42" i="9"/>
  <c r="BC106" i="9" s="1"/>
  <c r="BC167" i="9" s="1"/>
  <c r="BB106" i="9"/>
  <c r="BB167" i="9" s="1"/>
  <c r="AM27" i="9"/>
  <c r="AM92" i="9" s="1"/>
  <c r="AM153" i="9" s="1"/>
  <c r="AL92" i="9"/>
  <c r="AL153" i="9" s="1"/>
  <c r="AE72" i="9"/>
  <c r="AE134" i="9" s="1"/>
  <c r="AE195" i="9" s="1"/>
  <c r="AD134" i="9"/>
  <c r="AD195" i="9" s="1"/>
  <c r="CY42" i="9"/>
  <c r="CY106" i="9" s="1"/>
  <c r="CY167" i="9" s="1"/>
  <c r="CX106" i="9"/>
  <c r="CX167" i="9" s="1"/>
  <c r="AM72" i="9"/>
  <c r="AM134" i="9" s="1"/>
  <c r="AM195" i="9" s="1"/>
  <c r="AL134" i="9"/>
  <c r="AL195" i="9" s="1"/>
  <c r="CA57" i="9"/>
  <c r="CA120" i="9" s="1"/>
  <c r="CA181" i="9" s="1"/>
  <c r="BZ120" i="9"/>
  <c r="BZ181" i="9" s="1"/>
  <c r="W27" i="9"/>
  <c r="W92" i="9" s="1"/>
  <c r="W153" i="9" s="1"/>
  <c r="V92" i="9"/>
  <c r="V153" i="9" s="1"/>
  <c r="BK57" i="9"/>
  <c r="BK120" i="9" s="1"/>
  <c r="BK181" i="9" s="1"/>
  <c r="BJ120" i="9"/>
  <c r="BJ181" i="9" s="1"/>
  <c r="O57" i="9"/>
  <c r="O120" i="9" s="1"/>
  <c r="O181" i="9" s="1"/>
  <c r="N120" i="9"/>
  <c r="N181" i="9" s="1"/>
  <c r="CY72" i="9"/>
  <c r="CY134" i="9" s="1"/>
  <c r="CY195" i="9" s="1"/>
  <c r="CX134" i="9"/>
  <c r="CX195" i="9" s="1"/>
  <c r="DG57" i="9"/>
  <c r="DG120" i="9" s="1"/>
  <c r="DG181" i="9" s="1"/>
  <c r="DF120" i="9"/>
  <c r="DF181" i="9" s="1"/>
  <c r="CQ57" i="9"/>
  <c r="CQ120" i="9" s="1"/>
  <c r="CQ181" i="9" s="1"/>
  <c r="CP120" i="9"/>
  <c r="CP181" i="9" s="1"/>
  <c r="CQ27" i="9"/>
  <c r="CQ92" i="9" s="1"/>
  <c r="CQ153" i="9" s="1"/>
  <c r="CP92" i="9"/>
  <c r="CP153" i="9" s="1"/>
  <c r="O72" i="9"/>
  <c r="O134" i="9" s="1"/>
  <c r="O195" i="9" s="1"/>
  <c r="N134" i="9"/>
  <c r="N195" i="9" s="1"/>
  <c r="CI57" i="9"/>
  <c r="CI120" i="9" s="1"/>
  <c r="CI181" i="9" s="1"/>
  <c r="CH120" i="9"/>
  <c r="CH181" i="9" s="1"/>
  <c r="O42" i="9"/>
  <c r="O106" i="9" s="1"/>
  <c r="O167" i="9" s="1"/>
  <c r="N106" i="9"/>
  <c r="N167" i="9" s="1"/>
  <c r="AE57" i="9"/>
  <c r="AE120" i="9" s="1"/>
  <c r="AE181" i="9" s="1"/>
  <c r="AD120" i="9"/>
  <c r="AD181" i="9" s="1"/>
  <c r="DG27" i="9"/>
  <c r="DG92" i="9" s="1"/>
  <c r="DG153" i="9" s="1"/>
  <c r="DF92" i="9"/>
  <c r="DF153" i="9" s="1"/>
  <c r="BC72" i="9"/>
  <c r="BC134" i="9" s="1"/>
  <c r="BC195" i="9" s="1"/>
  <c r="BB134" i="9"/>
  <c r="BB195" i="9" s="1"/>
  <c r="AU57" i="9"/>
  <c r="AU120" i="9" s="1"/>
  <c r="AU181" i="9" s="1"/>
  <c r="AT120" i="9"/>
  <c r="AT181" i="9" s="1"/>
  <c r="W57" i="9"/>
  <c r="W120" i="9" s="1"/>
  <c r="W181" i="9" s="1"/>
  <c r="V120" i="9"/>
  <c r="V181" i="9" s="1"/>
  <c r="CI27" i="9"/>
  <c r="CI92" i="9" s="1"/>
  <c r="CI153" i="9" s="1"/>
  <c r="CH92" i="9"/>
  <c r="CH153" i="9" s="1"/>
  <c r="DG72" i="9"/>
  <c r="DG134" i="9" s="1"/>
  <c r="DG195" i="9" s="1"/>
  <c r="DF134" i="9"/>
  <c r="DF195" i="9" s="1"/>
  <c r="DG42" i="9"/>
  <c r="DG106" i="9" s="1"/>
  <c r="DG167" i="9" s="1"/>
  <c r="DF106" i="9"/>
  <c r="DF167" i="9" s="1"/>
  <c r="AM42" i="9"/>
  <c r="AM106" i="9" s="1"/>
  <c r="AM167" i="9" s="1"/>
  <c r="AL106" i="9"/>
  <c r="AL167" i="9" s="1"/>
  <c r="W42" i="9"/>
  <c r="W106" i="9" s="1"/>
  <c r="W167" i="9" s="1"/>
  <c r="V106" i="9"/>
  <c r="V167" i="9" s="1"/>
  <c r="F72" i="9"/>
  <c r="E134" i="9"/>
  <c r="E195" i="9" s="1"/>
  <c r="F42" i="9"/>
  <c r="F106" i="9" s="1"/>
  <c r="F167" i="9" s="1"/>
  <c r="F57" i="9"/>
  <c r="E120" i="9"/>
  <c r="E181" i="9" s="1"/>
  <c r="F27" i="9"/>
  <c r="E92" i="9"/>
  <c r="E153" i="9" s="1"/>
  <c r="H203" i="4"/>
  <c r="H204" i="4" s="1"/>
  <c r="H205" i="4" s="1"/>
  <c r="H206" i="4" s="1"/>
  <c r="H207" i="4" s="1"/>
  <c r="H208" i="4" s="1"/>
  <c r="H209" i="4" s="1"/>
  <c r="H210" i="4" s="1"/>
  <c r="H211" i="4" s="1"/>
  <c r="H212" i="4" s="1"/>
  <c r="H213" i="4" s="1"/>
  <c r="H214" i="4" s="1"/>
  <c r="H215" i="4" s="1"/>
  <c r="G203" i="4"/>
  <c r="G204" i="4" s="1"/>
  <c r="G205" i="4" s="1"/>
  <c r="G206" i="4" s="1"/>
  <c r="G207" i="4" s="1"/>
  <c r="G208" i="4" s="1"/>
  <c r="G209" i="4" s="1"/>
  <c r="G210" i="4" s="1"/>
  <c r="G211" i="4" s="1"/>
  <c r="G212" i="4" s="1"/>
  <c r="G213" i="4" s="1"/>
  <c r="G214" i="4" s="1"/>
  <c r="G215" i="4" s="1"/>
  <c r="I189" i="4"/>
  <c r="I188" i="4"/>
  <c r="I187" i="4"/>
  <c r="I186" i="4"/>
  <c r="I185" i="4"/>
  <c r="I184" i="4"/>
  <c r="I183" i="4"/>
  <c r="I182" i="4"/>
  <c r="I181" i="4"/>
  <c r="I180" i="4"/>
  <c r="BG16" i="9" l="1"/>
  <c r="BH16" i="9"/>
  <c r="DD16" i="9"/>
  <c r="DC16" i="9"/>
  <c r="V77" i="15"/>
  <c r="CM19" i="9"/>
  <c r="CV16" i="9"/>
  <c r="CU16" i="9"/>
  <c r="V79" i="15"/>
  <c r="DE13" i="9"/>
  <c r="DD13" i="9"/>
  <c r="DC13" i="9"/>
  <c r="V78" i="15"/>
  <c r="CW13" i="9"/>
  <c r="CV13" i="9"/>
  <c r="CU13" i="9"/>
  <c r="BR10" i="9"/>
  <c r="BQ10" i="9"/>
  <c r="BP10" i="9"/>
  <c r="BO10" i="9"/>
  <c r="V75" i="15"/>
  <c r="BY13" i="9"/>
  <c r="BX13" i="9"/>
  <c r="BW13" i="9"/>
  <c r="BX16" i="9"/>
  <c r="BW16" i="9"/>
  <c r="BP16" i="9"/>
  <c r="BO16" i="9"/>
  <c r="CG10" i="9"/>
  <c r="CF10" i="9"/>
  <c r="CE10" i="9"/>
  <c r="CH10" i="9"/>
  <c r="BQ13" i="9"/>
  <c r="BP13" i="9"/>
  <c r="BO13" i="9"/>
  <c r="AZ16" i="9"/>
  <c r="AY16" i="9"/>
  <c r="AR16" i="9"/>
  <c r="AQ16" i="9"/>
  <c r="AY10" i="9"/>
  <c r="BB10" i="9"/>
  <c r="BA10" i="9"/>
  <c r="AZ10" i="9"/>
  <c r="V73" i="15"/>
  <c r="BJ10" i="9"/>
  <c r="BI10" i="9"/>
  <c r="BH10" i="9"/>
  <c r="BG10" i="9"/>
  <c r="V71" i="15"/>
  <c r="AT10" i="9"/>
  <c r="AS10" i="9"/>
  <c r="AR10" i="9"/>
  <c r="AQ10" i="9"/>
  <c r="AS13" i="9"/>
  <c r="AR13" i="9"/>
  <c r="AQ13" i="9"/>
  <c r="V74" i="15"/>
  <c r="V72" i="15"/>
  <c r="V76" i="15"/>
  <c r="V67" i="15"/>
  <c r="AO66" i="15"/>
  <c r="AH66" i="15"/>
  <c r="I32" i="4"/>
  <c r="G42" i="9"/>
  <c r="G106" i="9" s="1"/>
  <c r="G167" i="9" s="1"/>
  <c r="G72" i="9"/>
  <c r="G134" i="9" s="1"/>
  <c r="G195" i="9" s="1"/>
  <c r="F134" i="9"/>
  <c r="F195" i="9" s="1"/>
  <c r="G57" i="9"/>
  <c r="G120" i="9" s="1"/>
  <c r="G181" i="9" s="1"/>
  <c r="F120" i="9"/>
  <c r="F181" i="9" s="1"/>
  <c r="G27" i="9"/>
  <c r="G92" i="9" s="1"/>
  <c r="G153" i="9" s="1"/>
  <c r="F92" i="9"/>
  <c r="F153" i="9" s="1"/>
  <c r="AP66" i="15" l="1"/>
  <c r="I38" i="4"/>
  <c r="I41" i="4"/>
  <c r="I39" i="4"/>
  <c r="I40" i="4"/>
  <c r="I42" i="4"/>
  <c r="I34" i="4"/>
  <c r="I45" i="4"/>
  <c r="I35" i="4"/>
  <c r="I44" i="4"/>
  <c r="I43" i="4"/>
  <c r="I37" i="4"/>
  <c r="I36" i="4"/>
  <c r="I33" i="4"/>
  <c r="I174" i="4"/>
  <c r="I173" i="4"/>
  <c r="I172" i="4"/>
  <c r="I171" i="4"/>
  <c r="I170" i="4"/>
  <c r="I169" i="4"/>
  <c r="I168" i="4"/>
  <c r="I167" i="4"/>
  <c r="I166" i="4"/>
  <c r="I165" i="4"/>
  <c r="I121" i="4"/>
  <c r="I120" i="4"/>
  <c r="I119" i="4"/>
  <c r="I118" i="4"/>
  <c r="I140" i="4"/>
  <c r="I139" i="4"/>
  <c r="I105" i="4"/>
  <c r="I104" i="4"/>
  <c r="I103" i="4"/>
  <c r="I102" i="4"/>
  <c r="I101" i="4"/>
  <c r="I100" i="4"/>
  <c r="I99" i="4"/>
  <c r="I57" i="4"/>
  <c r="I56" i="4"/>
  <c r="D36" i="4" s="1"/>
  <c r="F18" i="7" s="1"/>
  <c r="I58" i="4"/>
  <c r="I59" i="4"/>
  <c r="I60" i="4"/>
  <c r="I61" i="4"/>
  <c r="I62" i="4"/>
  <c r="I63" i="4"/>
  <c r="I64" i="4"/>
  <c r="I65" i="4"/>
  <c r="I66" i="4"/>
  <c r="I67" i="4"/>
  <c r="I68" i="4"/>
  <c r="I55" i="4"/>
  <c r="S18" i="5"/>
  <c r="S17" i="5"/>
  <c r="S16" i="5"/>
  <c r="S15" i="5"/>
  <c r="S14" i="5"/>
  <c r="S13" i="5"/>
  <c r="S12" i="5"/>
  <c r="S11" i="5"/>
  <c r="V18" i="7" l="1"/>
  <c r="W18" i="7"/>
  <c r="E18" i="7" s="1"/>
  <c r="D33" i="4"/>
  <c r="F15" i="7" s="1"/>
  <c r="D32" i="4"/>
  <c r="F14" i="7" s="1"/>
  <c r="H32" i="4"/>
  <c r="I18" i="7" l="1"/>
  <c r="V14" i="7"/>
  <c r="E14" i="7" s="1"/>
  <c r="W14" i="7"/>
  <c r="E15" i="7"/>
  <c r="V15" i="7"/>
  <c r="W15" i="7"/>
  <c r="H34" i="4"/>
  <c r="H44" i="4"/>
  <c r="H43" i="4"/>
  <c r="H45" i="4"/>
  <c r="H38" i="4"/>
  <c r="H35" i="4"/>
  <c r="H39" i="4"/>
  <c r="H41" i="4"/>
  <c r="H40" i="4"/>
  <c r="H42" i="4"/>
  <c r="H37" i="4"/>
  <c r="H36" i="4"/>
  <c r="H33" i="4"/>
  <c r="E45" i="24"/>
  <c r="E53" i="24" s="1"/>
  <c r="I14" i="7" l="1"/>
  <c r="I15" i="7"/>
  <c r="N18" i="7"/>
  <c r="M18" i="7"/>
  <c r="K45" i="24"/>
  <c r="K53" i="24" s="1"/>
  <c r="L45" i="24"/>
  <c r="L53" i="24" s="1"/>
  <c r="J45" i="24"/>
  <c r="J53" i="24" s="1"/>
  <c r="I45" i="24"/>
  <c r="I53" i="24" s="1"/>
  <c r="H45" i="24"/>
  <c r="H53" i="24" s="1"/>
  <c r="G45" i="24"/>
  <c r="G53" i="24" s="1"/>
  <c r="F45" i="24"/>
  <c r="F53" i="24" s="1"/>
  <c r="D45" i="24"/>
  <c r="G18" i="7" l="1"/>
  <c r="N14" i="7"/>
  <c r="M14" i="7"/>
  <c r="N15" i="7"/>
  <c r="M15" i="7"/>
  <c r="D53" i="24"/>
  <c r="G14" i="7" l="1"/>
  <c r="G15" i="7"/>
  <c r="D60" i="24" a="1"/>
  <c r="D60" i="24" s="1"/>
  <c r="D63" i="24"/>
  <c r="D64" i="24" s="1"/>
  <c r="E64" i="24" s="1"/>
  <c r="F64" i="24" s="1"/>
  <c r="G64" i="24" s="1"/>
  <c r="H64" i="24" s="1"/>
  <c r="E63" i="24"/>
  <c r="F63" i="24"/>
  <c r="G63" i="24"/>
  <c r="H63" i="24"/>
  <c r="D67" i="24" l="1"/>
  <c r="B8" i="20" l="1"/>
  <c r="I142" i="4"/>
  <c r="I141" i="4"/>
  <c r="I138" i="4"/>
  <c r="I137" i="4"/>
  <c r="I136" i="4"/>
  <c r="I135" i="4"/>
  <c r="I134" i="4"/>
  <c r="I133" i="4"/>
  <c r="I132" i="4"/>
  <c r="I131" i="4"/>
  <c r="I130" i="4"/>
  <c r="I129" i="4"/>
  <c r="I128" i="4"/>
  <c r="I127" i="4"/>
  <c r="I126" i="4"/>
  <c r="I125" i="4"/>
  <c r="I124" i="4"/>
  <c r="I123" i="4"/>
  <c r="I122" i="4"/>
  <c r="I117" i="4"/>
  <c r="I116" i="4"/>
  <c r="I115" i="4"/>
  <c r="I114" i="4"/>
  <c r="I113" i="4"/>
  <c r="I82" i="4"/>
  <c r="E42" i="4" s="1"/>
  <c r="F38" i="7" s="1"/>
  <c r="I83" i="4"/>
  <c r="E43" i="4" s="1"/>
  <c r="F39" i="7" s="1"/>
  <c r="I84" i="4"/>
  <c r="E44" i="4" s="1"/>
  <c r="F40" i="7" s="1"/>
  <c r="I85" i="4"/>
  <c r="I86" i="4"/>
  <c r="I87" i="4"/>
  <c r="E34" i="4" s="1"/>
  <c r="F30" i="7" s="1"/>
  <c r="I88" i="4"/>
  <c r="E35" i="4" s="1"/>
  <c r="F31" i="7" s="1"/>
  <c r="I94" i="4"/>
  <c r="I95" i="4"/>
  <c r="I96" i="4"/>
  <c r="I97" i="4"/>
  <c r="I98" i="4"/>
  <c r="I89" i="4"/>
  <c r="I90" i="4"/>
  <c r="I91" i="4"/>
  <c r="I92" i="4"/>
  <c r="I93" i="4"/>
  <c r="I77" i="4"/>
  <c r="E37" i="4" s="1"/>
  <c r="F33" i="7" s="1"/>
  <c r="I78" i="4"/>
  <c r="E38" i="4" s="1"/>
  <c r="F34" i="7" s="1"/>
  <c r="I80" i="4"/>
  <c r="E40" i="4" s="1"/>
  <c r="F36" i="7" s="1"/>
  <c r="I81" i="4"/>
  <c r="E41" i="4" s="1"/>
  <c r="F37" i="7" s="1"/>
  <c r="I76" i="4"/>
  <c r="V30" i="7" l="1"/>
  <c r="W30" i="7"/>
  <c r="V37" i="7"/>
  <c r="W37" i="7"/>
  <c r="V36" i="7"/>
  <c r="W36" i="7"/>
  <c r="W40" i="7"/>
  <c r="V40" i="7"/>
  <c r="V31" i="7"/>
  <c r="W31" i="7"/>
  <c r="V33" i="7"/>
  <c r="W33" i="7"/>
  <c r="V39" i="7"/>
  <c r="W39" i="7"/>
  <c r="V34" i="7"/>
  <c r="W34" i="7"/>
  <c r="V38" i="7"/>
  <c r="W38" i="7"/>
  <c r="E32" i="4"/>
  <c r="F28" i="7" s="1"/>
  <c r="E36" i="4"/>
  <c r="F32" i="7" s="1"/>
  <c r="E33" i="4"/>
  <c r="F29" i="7" s="1"/>
  <c r="E69" i="11"/>
  <c r="C69" i="11"/>
  <c r="C68" i="11"/>
  <c r="D47" i="11"/>
  <c r="E47" i="11" s="1"/>
  <c r="F47" i="11" s="1"/>
  <c r="G47" i="11" s="1"/>
  <c r="H47" i="11" s="1"/>
  <c r="E44" i="11"/>
  <c r="C44" i="11"/>
  <c r="C43" i="11"/>
  <c r="E81" i="11"/>
  <c r="F81" i="11" s="1"/>
  <c r="G81" i="11" s="1"/>
  <c r="H81" i="11" s="1"/>
  <c r="E72" i="11"/>
  <c r="F72" i="11" s="1"/>
  <c r="G72" i="11" s="1"/>
  <c r="H72" i="11" s="1"/>
  <c r="D56" i="11"/>
  <c r="E56" i="11" s="1"/>
  <c r="F56" i="11" s="1"/>
  <c r="G56" i="11" s="1"/>
  <c r="H56" i="11" s="1"/>
  <c r="D30" i="11"/>
  <c r="E30" i="11" s="1"/>
  <c r="F30" i="11" s="1"/>
  <c r="G30" i="11" s="1"/>
  <c r="H30" i="11" s="1"/>
  <c r="D21" i="11"/>
  <c r="C17" i="11"/>
  <c r="H8" i="11"/>
  <c r="G8" i="11"/>
  <c r="F8" i="11"/>
  <c r="E8" i="11"/>
  <c r="D8" i="11"/>
  <c r="E59" i="24"/>
  <c r="E60" i="24" s="1" a="1"/>
  <c r="E60" i="24" s="1"/>
  <c r="E67" i="24" s="1"/>
  <c r="E79" i="24"/>
  <c r="I39" i="7" l="1"/>
  <c r="I36" i="7"/>
  <c r="I34" i="7"/>
  <c r="V28" i="7"/>
  <c r="W28" i="7"/>
  <c r="W32" i="7"/>
  <c r="V32" i="7"/>
  <c r="V29" i="7"/>
  <c r="W29" i="7"/>
  <c r="I38" i="7"/>
  <c r="I33" i="7"/>
  <c r="I40" i="7"/>
  <c r="I37" i="7"/>
  <c r="I30" i="7"/>
  <c r="I31" i="7"/>
  <c r="E21" i="11"/>
  <c r="F21" i="11" s="1"/>
  <c r="G21" i="11" s="1"/>
  <c r="H21" i="11" s="1"/>
  <c r="F79" i="24"/>
  <c r="F59" i="24"/>
  <c r="F60" i="24" s="1" a="1"/>
  <c r="F60" i="24" s="1"/>
  <c r="F67" i="24" s="1"/>
  <c r="I29" i="7" l="1"/>
  <c r="I32" i="7"/>
  <c r="I28" i="7"/>
  <c r="N37" i="7"/>
  <c r="M37" i="7"/>
  <c r="N31" i="7"/>
  <c r="M31" i="7"/>
  <c r="N30" i="7"/>
  <c r="M30" i="7"/>
  <c r="N34" i="7"/>
  <c r="M34" i="7"/>
  <c r="N39" i="7"/>
  <c r="M39" i="7"/>
  <c r="N40" i="7"/>
  <c r="M40" i="7"/>
  <c r="N36" i="7"/>
  <c r="M36" i="7"/>
  <c r="N38" i="7"/>
  <c r="M38" i="7"/>
  <c r="N33" i="7"/>
  <c r="M33" i="7"/>
  <c r="G79" i="24"/>
  <c r="G59" i="24"/>
  <c r="G60" i="24" s="1" a="1"/>
  <c r="G60" i="24" s="1"/>
  <c r="G67" i="24" s="1"/>
  <c r="H26" i="24"/>
  <c r="G26" i="24"/>
  <c r="F26" i="24"/>
  <c r="E26" i="24"/>
  <c r="D26" i="24"/>
  <c r="J79" i="3"/>
  <c r="J59" i="3"/>
  <c r="J39" i="3"/>
  <c r="J19" i="3"/>
  <c r="E52" i="1"/>
  <c r="M8" i="3"/>
  <c r="N81" i="3"/>
  <c r="M81" i="3"/>
  <c r="L81" i="3"/>
  <c r="K81" i="3"/>
  <c r="J81" i="3"/>
  <c r="G81" i="3"/>
  <c r="F81" i="3"/>
  <c r="E81" i="3"/>
  <c r="D81" i="3"/>
  <c r="C81" i="3"/>
  <c r="N61" i="3"/>
  <c r="M61" i="3"/>
  <c r="L61" i="3"/>
  <c r="K61" i="3"/>
  <c r="J61" i="3"/>
  <c r="G61" i="3"/>
  <c r="F61" i="3"/>
  <c r="E61" i="3"/>
  <c r="D61" i="3"/>
  <c r="C61" i="3"/>
  <c r="G41" i="3"/>
  <c r="F41" i="3"/>
  <c r="E41" i="3"/>
  <c r="D41" i="3"/>
  <c r="C41" i="3"/>
  <c r="N41" i="3"/>
  <c r="M41" i="3"/>
  <c r="L41" i="3"/>
  <c r="K41" i="3"/>
  <c r="J41" i="3"/>
  <c r="N21" i="3"/>
  <c r="M21" i="3"/>
  <c r="L21" i="3"/>
  <c r="K21" i="3"/>
  <c r="J21" i="3"/>
  <c r="G21" i="3"/>
  <c r="F21" i="3"/>
  <c r="E21" i="3"/>
  <c r="D21" i="3"/>
  <c r="C21" i="3"/>
  <c r="C79" i="3"/>
  <c r="C59" i="3"/>
  <c r="C39" i="3"/>
  <c r="C19" i="3"/>
  <c r="J81" i="20"/>
  <c r="B81" i="20"/>
  <c r="J62" i="20"/>
  <c r="B62" i="20"/>
  <c r="J43" i="20"/>
  <c r="B43" i="20"/>
  <c r="J24" i="20"/>
  <c r="B24" i="20"/>
  <c r="J80" i="20"/>
  <c r="B80" i="20"/>
  <c r="J61" i="20"/>
  <c r="B61" i="20"/>
  <c r="J42" i="20"/>
  <c r="B42" i="20"/>
  <c r="J23" i="20"/>
  <c r="B23" i="20"/>
  <c r="J79" i="20"/>
  <c r="B79" i="20"/>
  <c r="J60" i="20"/>
  <c r="B60" i="20"/>
  <c r="J41" i="20"/>
  <c r="B41" i="20"/>
  <c r="J22" i="20"/>
  <c r="B22" i="20"/>
  <c r="J78" i="20"/>
  <c r="B78" i="20"/>
  <c r="J59" i="20"/>
  <c r="B59" i="20"/>
  <c r="J40" i="20"/>
  <c r="B40" i="20"/>
  <c r="J21" i="20"/>
  <c r="B21" i="20"/>
  <c r="J77" i="20"/>
  <c r="B77" i="20"/>
  <c r="J58" i="20"/>
  <c r="B58" i="20"/>
  <c r="J39" i="20"/>
  <c r="B39" i="20"/>
  <c r="J20" i="20"/>
  <c r="B20" i="20"/>
  <c r="J76" i="20"/>
  <c r="B76" i="20"/>
  <c r="J57" i="20"/>
  <c r="B57" i="20"/>
  <c r="J38" i="20"/>
  <c r="B38" i="20"/>
  <c r="J19" i="20"/>
  <c r="B19" i="20"/>
  <c r="J75" i="20"/>
  <c r="B75" i="20"/>
  <c r="J56" i="20"/>
  <c r="B56" i="20"/>
  <c r="J37" i="20"/>
  <c r="B37" i="20"/>
  <c r="J18" i="20"/>
  <c r="B18" i="20"/>
  <c r="J74" i="20"/>
  <c r="B74" i="20"/>
  <c r="J55" i="20"/>
  <c r="B55" i="20"/>
  <c r="J36" i="20"/>
  <c r="B36" i="20"/>
  <c r="J17" i="20"/>
  <c r="B17" i="20"/>
  <c r="J73" i="20"/>
  <c r="B73" i="20"/>
  <c r="J54" i="20"/>
  <c r="B54" i="20"/>
  <c r="J35" i="20"/>
  <c r="B35" i="20"/>
  <c r="J16" i="20"/>
  <c r="B16" i="20"/>
  <c r="J72" i="20"/>
  <c r="B72" i="20"/>
  <c r="J53" i="20"/>
  <c r="B53" i="20"/>
  <c r="J34" i="20"/>
  <c r="B34" i="20"/>
  <c r="J15" i="20"/>
  <c r="B15" i="20"/>
  <c r="J71" i="20"/>
  <c r="B71" i="20"/>
  <c r="J52" i="20"/>
  <c r="B52" i="20"/>
  <c r="J33" i="20"/>
  <c r="B33" i="20"/>
  <c r="J14" i="20"/>
  <c r="B14" i="20"/>
  <c r="J70" i="20"/>
  <c r="B70" i="20"/>
  <c r="J51" i="20"/>
  <c r="B51" i="20"/>
  <c r="J32" i="20"/>
  <c r="B32" i="20"/>
  <c r="J13" i="20"/>
  <c r="B13" i="20"/>
  <c r="J69" i="20"/>
  <c r="B69" i="20"/>
  <c r="J50" i="20"/>
  <c r="B50" i="20"/>
  <c r="J31" i="20"/>
  <c r="B31" i="20"/>
  <c r="J12" i="20"/>
  <c r="B12" i="20"/>
  <c r="J68" i="20"/>
  <c r="B68" i="20"/>
  <c r="J49" i="20"/>
  <c r="B49" i="20"/>
  <c r="J30" i="20"/>
  <c r="B30" i="20"/>
  <c r="J11" i="20"/>
  <c r="B11" i="20"/>
  <c r="DB5" i="9"/>
  <c r="DB103" i="9" s="1"/>
  <c r="DB117" i="9" s="1"/>
  <c r="DB131" i="9" s="1"/>
  <c r="DB145" i="9" s="1"/>
  <c r="DB164" i="9" s="1"/>
  <c r="CT5" i="9"/>
  <c r="CT103" i="9" s="1"/>
  <c r="CT117" i="9" s="1"/>
  <c r="CT131" i="9" s="1"/>
  <c r="CT145" i="9" s="1"/>
  <c r="CT164" i="9" s="1"/>
  <c r="CL5" i="9"/>
  <c r="CL103" i="9" s="1"/>
  <c r="CL117" i="9" s="1"/>
  <c r="CL131" i="9" s="1"/>
  <c r="CL145" i="9" s="1"/>
  <c r="CL164" i="9" s="1"/>
  <c r="CD5" i="9"/>
  <c r="CD103" i="9" s="1"/>
  <c r="CD117" i="9" s="1"/>
  <c r="CD131" i="9" s="1"/>
  <c r="CD145" i="9" s="1"/>
  <c r="CD164" i="9" s="1"/>
  <c r="BV5" i="9"/>
  <c r="BV103" i="9" s="1"/>
  <c r="BV117" i="9" s="1"/>
  <c r="BV131" i="9" s="1"/>
  <c r="BV145" i="9" s="1"/>
  <c r="BV164" i="9" s="1"/>
  <c r="BN5" i="9"/>
  <c r="BN103" i="9" s="1"/>
  <c r="BN117" i="9" s="1"/>
  <c r="BN131" i="9" s="1"/>
  <c r="BN145" i="9" s="1"/>
  <c r="BN164" i="9" s="1"/>
  <c r="BF5" i="9"/>
  <c r="BF103" i="9" s="1"/>
  <c r="BF117" i="9" s="1"/>
  <c r="BF131" i="9" s="1"/>
  <c r="BF145" i="9" s="1"/>
  <c r="BF164" i="9" s="1"/>
  <c r="AX5" i="9"/>
  <c r="AX103" i="9" s="1"/>
  <c r="AX117" i="9" s="1"/>
  <c r="AX131" i="9" s="1"/>
  <c r="AX145" i="9" s="1"/>
  <c r="AX164" i="9" s="1"/>
  <c r="AP5" i="9"/>
  <c r="AP103" i="9" s="1"/>
  <c r="AP117" i="9" s="1"/>
  <c r="AP131" i="9" s="1"/>
  <c r="AP145" i="9" s="1"/>
  <c r="AP164" i="9" s="1"/>
  <c r="AH5" i="9"/>
  <c r="AH103" i="9" s="1"/>
  <c r="AH117" i="9" s="1"/>
  <c r="AH131" i="9" s="1"/>
  <c r="AH145" i="9" s="1"/>
  <c r="AH164" i="9" s="1"/>
  <c r="Z5" i="9"/>
  <c r="Z103" i="9" s="1"/>
  <c r="Z117" i="9" s="1"/>
  <c r="Z131" i="9" s="1"/>
  <c r="Z145" i="9" s="1"/>
  <c r="Z164" i="9" s="1"/>
  <c r="R5" i="9"/>
  <c r="R103" i="9" s="1"/>
  <c r="R117" i="9" s="1"/>
  <c r="R131" i="9" s="1"/>
  <c r="R145" i="9" s="1"/>
  <c r="R164" i="9" s="1"/>
  <c r="J5" i="9"/>
  <c r="J103" i="9" s="1"/>
  <c r="J117" i="9" s="1"/>
  <c r="J131" i="9" s="1"/>
  <c r="J145" i="9" s="1"/>
  <c r="J164" i="9" s="1"/>
  <c r="G36" i="7" l="1"/>
  <c r="E36" i="7" s="1"/>
  <c r="G30" i="7"/>
  <c r="E30" i="7" s="1"/>
  <c r="G33" i="7"/>
  <c r="E33" i="7" s="1"/>
  <c r="G39" i="7"/>
  <c r="E39" i="7" s="1"/>
  <c r="G37" i="7"/>
  <c r="E37" i="7" s="1"/>
  <c r="G38" i="7"/>
  <c r="E38" i="7" s="1"/>
  <c r="G34" i="7"/>
  <c r="E34" i="7" s="1"/>
  <c r="G40" i="7"/>
  <c r="E40" i="7" s="1"/>
  <c r="G31" i="7"/>
  <c r="E31" i="7" s="1"/>
  <c r="N32" i="7"/>
  <c r="M32" i="7"/>
  <c r="N29" i="7"/>
  <c r="M29" i="7"/>
  <c r="N28" i="7"/>
  <c r="M28" i="7"/>
  <c r="H79" i="24"/>
  <c r="AH192" i="9"/>
  <c r="AH178" i="9"/>
  <c r="AH206" i="9"/>
  <c r="R192" i="9"/>
  <c r="R178" i="9"/>
  <c r="R206" i="9"/>
  <c r="Z178" i="9"/>
  <c r="Z192" i="9"/>
  <c r="Z206" i="9"/>
  <c r="J178" i="9"/>
  <c r="J192" i="9"/>
  <c r="J206" i="9"/>
  <c r="BN192" i="9"/>
  <c r="BN178" i="9"/>
  <c r="BN206" i="9"/>
  <c r="BV206" i="9"/>
  <c r="BV192" i="9"/>
  <c r="BV178" i="9"/>
  <c r="CD206" i="9"/>
  <c r="CD192" i="9"/>
  <c r="CD178" i="9"/>
  <c r="CL192" i="9"/>
  <c r="CL206" i="9"/>
  <c r="CL178" i="9"/>
  <c r="CT192" i="9"/>
  <c r="CT206" i="9"/>
  <c r="CT178" i="9"/>
  <c r="AP206" i="9"/>
  <c r="AP178" i="9"/>
  <c r="AP192" i="9"/>
  <c r="DB206" i="9"/>
  <c r="DB178" i="9"/>
  <c r="DB192" i="9"/>
  <c r="AX206" i="9"/>
  <c r="AX192" i="9"/>
  <c r="AX178" i="9"/>
  <c r="BF192" i="9"/>
  <c r="BF206" i="9"/>
  <c r="BF178" i="9"/>
  <c r="H59" i="24"/>
  <c r="H60" i="24" s="1" a="1"/>
  <c r="H60" i="24" s="1"/>
  <c r="H67" i="24" s="1"/>
  <c r="G28" i="7" l="1"/>
  <c r="E28" i="7" s="1"/>
  <c r="G32" i="7"/>
  <c r="E32" i="7" s="1"/>
  <c r="G29" i="7"/>
  <c r="E29" i="7" s="1"/>
  <c r="I79" i="24"/>
  <c r="B1" i="1"/>
  <c r="B1" i="28" s="1"/>
  <c r="B1" i="3"/>
  <c r="B1" i="21" l="1"/>
  <c r="B1" i="27"/>
  <c r="B1" i="26"/>
  <c r="B1" i="20"/>
  <c r="B1" i="11"/>
  <c r="B1" i="15"/>
  <c r="B1" i="4"/>
  <c r="B1" i="24"/>
  <c r="B1" i="5"/>
  <c r="B1" i="7"/>
  <c r="E18" i="11" l="1"/>
  <c r="C18" i="11"/>
  <c r="B5" i="21" l="1"/>
  <c r="B103" i="9" l="1"/>
  <c r="B117" i="9" s="1"/>
  <c r="B131" i="9" s="1"/>
  <c r="B145" i="9" s="1"/>
  <c r="B164" i="9" s="1"/>
  <c r="B206" i="9" l="1"/>
  <c r="B178" i="9"/>
  <c r="B192" i="9"/>
  <c r="CX128" i="9" l="1"/>
  <c r="AZ110" i="9"/>
  <c r="BX124" i="9"/>
  <c r="BP96" i="9"/>
  <c r="AS126" i="9"/>
  <c r="AY108" i="9"/>
  <c r="CM94" i="9"/>
  <c r="CE122" i="9"/>
  <c r="BW136" i="9"/>
  <c r="BJ128" i="9"/>
  <c r="AI136" i="9"/>
  <c r="CP142" i="9"/>
  <c r="CH128" i="9"/>
  <c r="AS140" i="9"/>
  <c r="AT142" i="9"/>
  <c r="CW140" i="9"/>
  <c r="AL100" i="9"/>
  <c r="CO98" i="9"/>
  <c r="CG98" i="9"/>
  <c r="DF128" i="9"/>
  <c r="AD142" i="9"/>
  <c r="K94" i="9"/>
  <c r="S122" i="9"/>
  <c r="AD100" i="9"/>
  <c r="AB138" i="9"/>
  <c r="AA122" i="9"/>
  <c r="E140" i="9"/>
  <c r="F114" i="9"/>
  <c r="BA98" i="9"/>
  <c r="BI126" i="9"/>
  <c r="AK140" i="9"/>
  <c r="DF100" i="9"/>
  <c r="D138" i="9"/>
  <c r="K136" i="9"/>
  <c r="U98" i="9"/>
  <c r="AB110" i="9"/>
  <c r="T110" i="9"/>
  <c r="AB96" i="9"/>
  <c r="DC136" i="9"/>
  <c r="T138" i="9"/>
  <c r="T96" i="9"/>
  <c r="AC112" i="9"/>
  <c r="U112" i="9"/>
  <c r="M98" i="9"/>
  <c r="L124" i="9"/>
  <c r="K122" i="9"/>
  <c r="CX100" i="9"/>
  <c r="AZ96" i="9"/>
  <c r="BX110" i="9"/>
  <c r="AJ138" i="9"/>
  <c r="AK98" i="9"/>
  <c r="BI98" i="9"/>
  <c r="BG136" i="9"/>
  <c r="CE108" i="9"/>
  <c r="BW122" i="9"/>
  <c r="CU108" i="9"/>
  <c r="AI122" i="9"/>
  <c r="CP128" i="9"/>
  <c r="CH114" i="9"/>
  <c r="BH96" i="9"/>
  <c r="AT128" i="9"/>
  <c r="CW112" i="9"/>
  <c r="U140" i="9"/>
  <c r="AB124" i="9"/>
  <c r="D110" i="9"/>
  <c r="N100" i="9"/>
  <c r="N114" i="9"/>
  <c r="D124" i="9"/>
  <c r="U126" i="9"/>
  <c r="C108" i="9"/>
  <c r="CF138" i="9"/>
  <c r="BJ142" i="9"/>
  <c r="BX96" i="9"/>
  <c r="AJ124" i="9"/>
  <c r="CW126" i="9"/>
  <c r="CU136" i="9"/>
  <c r="AY122" i="9"/>
  <c r="CE94" i="9"/>
  <c r="BW108" i="9"/>
  <c r="CU122" i="9"/>
  <c r="AI108" i="9"/>
  <c r="CP114" i="9"/>
  <c r="CH100" i="9"/>
  <c r="DE140" i="9"/>
  <c r="AT114" i="9"/>
  <c r="BR142" i="9"/>
  <c r="BQ140" i="9"/>
  <c r="BQ126" i="9"/>
  <c r="CN138" i="9"/>
  <c r="N128" i="9"/>
  <c r="V100" i="9"/>
  <c r="K108" i="9"/>
  <c r="AA108" i="9"/>
  <c r="F128" i="9"/>
  <c r="E112" i="9"/>
  <c r="CF124" i="9"/>
  <c r="AS98" i="9"/>
  <c r="AR138" i="9"/>
  <c r="AJ96" i="9"/>
  <c r="CW98" i="9"/>
  <c r="DD124" i="9"/>
  <c r="BA140" i="9"/>
  <c r="AY136" i="9"/>
  <c r="BW94" i="9"/>
  <c r="CU94" i="9"/>
  <c r="AI94" i="9"/>
  <c r="CP100" i="9"/>
  <c r="BB142" i="9"/>
  <c r="DE112" i="9"/>
  <c r="AT100" i="9"/>
  <c r="BR128" i="9"/>
  <c r="DD138" i="9"/>
  <c r="CV138" i="9"/>
  <c r="DC108" i="9"/>
  <c r="CN124" i="9"/>
  <c r="AD128" i="9"/>
  <c r="M112" i="9"/>
  <c r="S94" i="9"/>
  <c r="L138" i="9"/>
  <c r="CF110" i="9"/>
  <c r="AK112" i="9"/>
  <c r="AR124" i="9"/>
  <c r="BG122" i="9"/>
  <c r="BP138" i="9"/>
  <c r="DD96" i="9"/>
  <c r="BH124" i="9"/>
  <c r="BA112" i="9"/>
  <c r="AQ136" i="9"/>
  <c r="BO136" i="9"/>
  <c r="BA126" i="9"/>
  <c r="BJ100" i="9"/>
  <c r="BB128" i="9"/>
  <c r="BZ142" i="9"/>
  <c r="AL114" i="9"/>
  <c r="BR114" i="9"/>
  <c r="DD110" i="9"/>
  <c r="CV110" i="9"/>
  <c r="BY140" i="9"/>
  <c r="CN110" i="9"/>
  <c r="N142" i="9"/>
  <c r="CF96" i="9"/>
  <c r="DE126" i="9"/>
  <c r="AR110" i="9"/>
  <c r="BG94" i="9"/>
  <c r="BP110" i="9"/>
  <c r="CM136" i="9"/>
  <c r="CV124" i="9"/>
  <c r="BQ98" i="9"/>
  <c r="AQ122" i="9"/>
  <c r="BO122" i="9"/>
  <c r="BQ112" i="9"/>
  <c r="CX142" i="9"/>
  <c r="BB114" i="9"/>
  <c r="BZ128" i="9"/>
  <c r="BI112" i="9"/>
  <c r="BR100" i="9"/>
  <c r="CO140" i="9"/>
  <c r="CG140" i="9"/>
  <c r="BY126" i="9"/>
  <c r="CN96" i="9"/>
  <c r="T124" i="9"/>
  <c r="V142" i="9"/>
  <c r="C94" i="9"/>
  <c r="E126" i="9"/>
  <c r="AC140" i="9"/>
  <c r="AZ138" i="9"/>
  <c r="DE98" i="9"/>
  <c r="AR96" i="9"/>
  <c r="AY94" i="9"/>
  <c r="AJ110" i="9"/>
  <c r="CM122" i="9"/>
  <c r="CV96" i="9"/>
  <c r="DC122" i="9"/>
  <c r="AQ108" i="9"/>
  <c r="BO108" i="9"/>
  <c r="DF142" i="9"/>
  <c r="CX114" i="9"/>
  <c r="BB100" i="9"/>
  <c r="BZ114" i="9"/>
  <c r="AS112" i="9"/>
  <c r="AL142" i="9"/>
  <c r="CO126" i="9"/>
  <c r="CG126" i="9"/>
  <c r="BY112" i="9"/>
  <c r="BH138" i="9"/>
  <c r="AC98" i="9"/>
  <c r="S136" i="9"/>
  <c r="V114" i="9"/>
  <c r="F100" i="9"/>
  <c r="AA136" i="9"/>
  <c r="C122" i="9"/>
  <c r="L110" i="9"/>
  <c r="M140" i="9"/>
  <c r="M126" i="9"/>
  <c r="AZ124" i="9"/>
  <c r="BX138" i="9"/>
  <c r="BP124" i="9"/>
  <c r="BJ114" i="9"/>
  <c r="BG108" i="9"/>
  <c r="CM108" i="9"/>
  <c r="CE136" i="9"/>
  <c r="DC94" i="9"/>
  <c r="AQ94" i="9"/>
  <c r="BO94" i="9"/>
  <c r="DF114" i="9"/>
  <c r="CH142" i="9"/>
  <c r="BI140" i="9"/>
  <c r="BZ100" i="9"/>
  <c r="AK126" i="9"/>
  <c r="AL128" i="9"/>
  <c r="CO112" i="9"/>
  <c r="CG112" i="9"/>
  <c r="BY98" i="9"/>
  <c r="BH110" i="9"/>
  <c r="AA94" i="9"/>
  <c r="V128" i="9"/>
  <c r="S108" i="9"/>
  <c r="E98" i="9"/>
  <c r="AC126" i="9"/>
  <c r="D96" i="9"/>
  <c r="F142" i="9"/>
  <c r="C136" i="9"/>
  <c r="L96" i="9"/>
  <c r="AD114" i="9"/>
  <c r="E81" i="24"/>
  <c r="F81" i="24" l="1"/>
  <c r="G81" i="24" s="1"/>
  <c r="E82" i="24"/>
  <c r="H81" i="24" l="1"/>
  <c r="I81" i="24" s="1"/>
  <c r="F82" i="24"/>
  <c r="G82" i="24" s="1"/>
  <c r="E83" i="24"/>
  <c r="E89" i="24" s="1"/>
  <c r="D9" i="11" s="1"/>
  <c r="H82" i="24" l="1"/>
  <c r="I82" i="24" s="1"/>
  <c r="CM7" i="29"/>
  <c r="AA7" i="29"/>
  <c r="AY7" i="29"/>
  <c r="C7" i="29"/>
  <c r="BW7" i="29"/>
  <c r="K7" i="29"/>
  <c r="CE7" i="29"/>
  <c r="CU7" i="29"/>
  <c r="AI7" i="29"/>
  <c r="S7" i="29"/>
  <c r="BG7" i="29"/>
  <c r="DC7" i="29"/>
  <c r="AQ7" i="29"/>
  <c r="BO7" i="29"/>
  <c r="CM7" i="9"/>
  <c r="AA7" i="9"/>
  <c r="DC7" i="9"/>
  <c r="AQ7" i="9"/>
  <c r="AQ8" i="9" s="1"/>
  <c r="AQ11" i="9" s="1"/>
  <c r="AQ14" i="9" s="1"/>
  <c r="AQ17" i="9" s="1"/>
  <c r="AQ20" i="9" s="1"/>
  <c r="BO7" i="9"/>
  <c r="AY7" i="9"/>
  <c r="BG7" i="9"/>
  <c r="BW7" i="9"/>
  <c r="S7" i="9"/>
  <c r="CE7" i="9"/>
  <c r="CU7" i="9"/>
  <c r="AI7" i="9"/>
  <c r="K7" i="9"/>
  <c r="J81" i="24"/>
  <c r="F83" i="24"/>
  <c r="G83" i="24" s="1"/>
  <c r="H83" i="24" s="1"/>
  <c r="I83" i="24" s="1"/>
  <c r="J82" i="24" l="1"/>
  <c r="CE15" i="29"/>
  <c r="CE19" i="29"/>
  <c r="CE27" i="29"/>
  <c r="CE23" i="29"/>
  <c r="K15" i="29"/>
  <c r="K23" i="29"/>
  <c r="K19" i="29"/>
  <c r="K27" i="29"/>
  <c r="BW15" i="29"/>
  <c r="BW27" i="29"/>
  <c r="BW19" i="29"/>
  <c r="BW23" i="29"/>
  <c r="CU15" i="29"/>
  <c r="CU23" i="29"/>
  <c r="CU27" i="29"/>
  <c r="CU19" i="29"/>
  <c r="DC15" i="29"/>
  <c r="DC23" i="29"/>
  <c r="DC19" i="29"/>
  <c r="DC27" i="29"/>
  <c r="C19" i="29"/>
  <c r="C23" i="29"/>
  <c r="C15" i="29"/>
  <c r="C27" i="29"/>
  <c r="AQ15" i="29"/>
  <c r="AQ23" i="29"/>
  <c r="AQ19" i="29"/>
  <c r="AQ27" i="29"/>
  <c r="BG15" i="29"/>
  <c r="BG19" i="29"/>
  <c r="BG23" i="29"/>
  <c r="BG27" i="29"/>
  <c r="AY15" i="29"/>
  <c r="AY23" i="29"/>
  <c r="AY19" i="29"/>
  <c r="AY27" i="29"/>
  <c r="S15" i="29"/>
  <c r="S23" i="29"/>
  <c r="S19" i="29"/>
  <c r="S27" i="29"/>
  <c r="AA15" i="29"/>
  <c r="AA27" i="29"/>
  <c r="AA23" i="29"/>
  <c r="AA19" i="29"/>
  <c r="BO15" i="29"/>
  <c r="BO27" i="29"/>
  <c r="BO19" i="29"/>
  <c r="BO23" i="29"/>
  <c r="AI15" i="29"/>
  <c r="AI19" i="29"/>
  <c r="AI23" i="29"/>
  <c r="AI27" i="29"/>
  <c r="CM15" i="29"/>
  <c r="CM19" i="29"/>
  <c r="CM23" i="29"/>
  <c r="CM27" i="29"/>
  <c r="BO8" i="9"/>
  <c r="BO11" i="9" s="1"/>
  <c r="BO14" i="9" s="1"/>
  <c r="BO17" i="9" s="1"/>
  <c r="BW8" i="9"/>
  <c r="BW11" i="9" s="1"/>
  <c r="BW14" i="9" s="1"/>
  <c r="BW17" i="9" s="1"/>
  <c r="BG8" i="9"/>
  <c r="BG11" i="9" s="1"/>
  <c r="BG14" i="9" s="1"/>
  <c r="BG17" i="9" s="1"/>
  <c r="AY8" i="9"/>
  <c r="AY11" i="9" s="1"/>
  <c r="AY14" i="9" s="1"/>
  <c r="AY17" i="9" s="1"/>
  <c r="K18" i="9"/>
  <c r="K12" i="9"/>
  <c r="K15" i="9"/>
  <c r="CU8" i="9"/>
  <c r="CU11" i="9" s="1"/>
  <c r="CU14" i="9" s="1"/>
  <c r="CU17" i="9" s="1"/>
  <c r="DC8" i="9"/>
  <c r="DC11" i="9" s="1"/>
  <c r="DC14" i="9" s="1"/>
  <c r="DC17" i="9" s="1"/>
  <c r="S8" i="9"/>
  <c r="S11" i="9" s="1"/>
  <c r="S14" i="9" s="1"/>
  <c r="S17" i="9" s="1"/>
  <c r="CE8" i="9"/>
  <c r="CE11" i="9" s="1"/>
  <c r="CE14" i="9" s="1"/>
  <c r="CE17" i="9" s="1"/>
  <c r="AA8" i="9"/>
  <c r="AA11" i="9" s="1"/>
  <c r="AA14" i="9" s="1"/>
  <c r="AA17" i="9" s="1"/>
  <c r="CM8" i="9"/>
  <c r="CM11" i="9" s="1"/>
  <c r="CM14" i="9" s="1"/>
  <c r="CM17" i="9" s="1"/>
  <c r="G89" i="24"/>
  <c r="J83" i="24"/>
  <c r="F89" i="24"/>
  <c r="E9" i="11" s="1"/>
  <c r="CM69" i="29" l="1"/>
  <c r="CM48" i="29"/>
  <c r="BO44" i="29"/>
  <c r="BO65" i="29"/>
  <c r="S69" i="29"/>
  <c r="S48" i="29"/>
  <c r="BG69" i="29"/>
  <c r="BG48" i="29"/>
  <c r="CU61" i="29"/>
  <c r="CU40" i="29"/>
  <c r="K48" i="29"/>
  <c r="K69" i="29"/>
  <c r="CM65" i="29"/>
  <c r="CM44" i="29"/>
  <c r="BO40" i="29"/>
  <c r="BO61" i="29"/>
  <c r="S40" i="29"/>
  <c r="S61" i="29"/>
  <c r="BG44" i="29"/>
  <c r="BG65" i="29"/>
  <c r="C36" i="29"/>
  <c r="C57" i="29"/>
  <c r="CU69" i="29"/>
  <c r="CU48" i="29"/>
  <c r="K61" i="29"/>
  <c r="K40" i="29"/>
  <c r="C48" i="29"/>
  <c r="C69" i="29"/>
  <c r="CM40" i="29"/>
  <c r="CM61" i="29"/>
  <c r="BO69" i="29"/>
  <c r="BO48" i="29"/>
  <c r="S65" i="29"/>
  <c r="S44" i="29"/>
  <c r="BG40" i="29"/>
  <c r="BG61" i="29"/>
  <c r="C44" i="29"/>
  <c r="C65" i="29"/>
  <c r="CU44" i="29"/>
  <c r="CU65" i="29"/>
  <c r="K44" i="29"/>
  <c r="K65" i="29"/>
  <c r="CM57" i="29"/>
  <c r="CM36" i="29"/>
  <c r="BO36" i="29"/>
  <c r="BO57" i="29"/>
  <c r="S57" i="29"/>
  <c r="S36" i="29"/>
  <c r="BG57" i="29"/>
  <c r="BG36" i="29"/>
  <c r="C61" i="29"/>
  <c r="C40" i="29"/>
  <c r="CU36" i="29"/>
  <c r="CU57" i="29"/>
  <c r="K36" i="29"/>
  <c r="K57" i="29"/>
  <c r="AI69" i="29"/>
  <c r="AI48" i="29"/>
  <c r="AA40" i="29"/>
  <c r="AA61" i="29"/>
  <c r="AY69" i="29"/>
  <c r="AY48" i="29"/>
  <c r="AQ48" i="29"/>
  <c r="AQ69" i="29"/>
  <c r="DC69" i="29"/>
  <c r="DC48" i="29"/>
  <c r="BW65" i="29"/>
  <c r="BW44" i="29"/>
  <c r="CE44" i="29"/>
  <c r="CE65" i="29"/>
  <c r="AI65" i="29"/>
  <c r="AI44" i="29"/>
  <c r="AA65" i="29"/>
  <c r="AA44" i="29"/>
  <c r="AY40" i="29"/>
  <c r="AY61" i="29"/>
  <c r="AQ40" i="29"/>
  <c r="AQ61" i="29"/>
  <c r="DC40" i="29"/>
  <c r="DC61" i="29"/>
  <c r="BW61" i="29"/>
  <c r="BW40" i="29"/>
  <c r="CE69" i="29"/>
  <c r="CE48" i="29"/>
  <c r="AI61" i="29"/>
  <c r="AI40" i="29"/>
  <c r="AA69" i="29"/>
  <c r="AA48" i="29"/>
  <c r="AY44" i="29"/>
  <c r="AY65" i="29"/>
  <c r="AQ65" i="29"/>
  <c r="AQ44" i="29"/>
  <c r="DC65" i="29"/>
  <c r="DC44" i="29"/>
  <c r="BW48" i="29"/>
  <c r="BW69" i="29"/>
  <c r="CE61" i="29"/>
  <c r="CE40" i="29"/>
  <c r="AI57" i="29"/>
  <c r="AI36" i="29"/>
  <c r="AA36" i="29"/>
  <c r="AA57" i="29"/>
  <c r="AY36" i="29"/>
  <c r="AY57" i="29"/>
  <c r="AQ36" i="29"/>
  <c r="AQ57" i="29"/>
  <c r="DC57" i="29"/>
  <c r="DC36" i="29"/>
  <c r="BW36" i="29"/>
  <c r="BW57" i="29"/>
  <c r="CE36" i="29"/>
  <c r="CE57" i="29"/>
  <c r="BH7" i="29"/>
  <c r="AZ7" i="29"/>
  <c r="CF7" i="29"/>
  <c r="T7" i="29"/>
  <c r="D7" i="29"/>
  <c r="DD7" i="29"/>
  <c r="AR7" i="29"/>
  <c r="BP7" i="29"/>
  <c r="CN7" i="29"/>
  <c r="AB7" i="29"/>
  <c r="BX7" i="29"/>
  <c r="L7" i="29"/>
  <c r="CV7" i="29"/>
  <c r="AJ7" i="29"/>
  <c r="AY20" i="9"/>
  <c r="BG20" i="9"/>
  <c r="DC20" i="9"/>
  <c r="CM20" i="9"/>
  <c r="BW20" i="9"/>
  <c r="CU20" i="9"/>
  <c r="AA20" i="9"/>
  <c r="S20" i="9"/>
  <c r="AZ7" i="9"/>
  <c r="AZ8" i="9" s="1"/>
  <c r="AZ11" i="9" s="1"/>
  <c r="AZ14" i="9" s="1"/>
  <c r="AZ20" i="9" s="1"/>
  <c r="CN7" i="9"/>
  <c r="AB7" i="9"/>
  <c r="BX7" i="9"/>
  <c r="T7" i="9"/>
  <c r="AR7" i="9"/>
  <c r="CV7" i="9"/>
  <c r="BH7" i="9"/>
  <c r="CF7" i="9"/>
  <c r="DD7" i="9"/>
  <c r="BP7" i="9"/>
  <c r="CE20" i="9"/>
  <c r="BO20" i="9"/>
  <c r="K46" i="3"/>
  <c r="K49" i="3"/>
  <c r="K68" i="3"/>
  <c r="K66" i="3"/>
  <c r="K87" i="3"/>
  <c r="K86" i="3"/>
  <c r="K67" i="3"/>
  <c r="K47" i="3"/>
  <c r="K48" i="3"/>
  <c r="K88" i="3"/>
  <c r="K72" i="20" l="1"/>
  <c r="K69" i="20"/>
  <c r="K79" i="20"/>
  <c r="K81" i="20"/>
  <c r="K77" i="20"/>
  <c r="K73" i="20"/>
  <c r="K71" i="20"/>
  <c r="K76" i="20"/>
  <c r="K68" i="20"/>
  <c r="K75" i="20"/>
  <c r="K74" i="20"/>
  <c r="K80" i="20"/>
  <c r="K78" i="20"/>
  <c r="K70" i="20"/>
  <c r="K57" i="20"/>
  <c r="K55" i="20"/>
  <c r="K51" i="20"/>
  <c r="K50" i="20"/>
  <c r="K53" i="20"/>
  <c r="K61" i="20"/>
  <c r="K56" i="20"/>
  <c r="K52" i="20"/>
  <c r="K62" i="20"/>
  <c r="K59" i="20"/>
  <c r="K49" i="20"/>
  <c r="K58" i="20"/>
  <c r="K54" i="20"/>
  <c r="K60" i="20"/>
  <c r="K40" i="20"/>
  <c r="K39" i="20"/>
  <c r="K31" i="20"/>
  <c r="K32" i="20"/>
  <c r="K38" i="20"/>
  <c r="K34" i="20"/>
  <c r="K35" i="20"/>
  <c r="K41" i="20"/>
  <c r="K43" i="20"/>
  <c r="K33" i="20"/>
  <c r="K30" i="20"/>
  <c r="K37" i="20"/>
  <c r="K42" i="20"/>
  <c r="K36" i="20"/>
  <c r="C69" i="20"/>
  <c r="C79" i="20"/>
  <c r="C81" i="20"/>
  <c r="C72" i="20"/>
  <c r="C71" i="20"/>
  <c r="C76" i="20"/>
  <c r="C68" i="20"/>
  <c r="C77" i="20"/>
  <c r="C73" i="20"/>
  <c r="C74" i="20"/>
  <c r="C80" i="20"/>
  <c r="C75" i="20"/>
  <c r="C78" i="20"/>
  <c r="C70" i="20"/>
  <c r="C52" i="20"/>
  <c r="C50" i="20"/>
  <c r="C57" i="20"/>
  <c r="C56" i="20"/>
  <c r="C55" i="20"/>
  <c r="C53" i="20"/>
  <c r="C61" i="20"/>
  <c r="C62" i="20"/>
  <c r="C59" i="20"/>
  <c r="C49" i="20"/>
  <c r="C54" i="20"/>
  <c r="C60" i="20"/>
  <c r="C51" i="20"/>
  <c r="C58" i="20"/>
  <c r="C42" i="20"/>
  <c r="K16" i="20"/>
  <c r="K18" i="20"/>
  <c r="K12" i="20"/>
  <c r="K13" i="20"/>
  <c r="K17" i="20"/>
  <c r="K20" i="20"/>
  <c r="K14" i="20"/>
  <c r="K19" i="20"/>
  <c r="K21" i="20"/>
  <c r="K23" i="20"/>
  <c r="K15" i="20"/>
  <c r="K22" i="20"/>
  <c r="K11" i="20"/>
  <c r="K24" i="20"/>
  <c r="C11" i="20"/>
  <c r="BP27" i="29"/>
  <c r="BP23" i="29"/>
  <c r="BP15" i="29"/>
  <c r="BP19" i="29"/>
  <c r="AR15" i="29"/>
  <c r="AR19" i="29"/>
  <c r="AR23" i="29"/>
  <c r="AR27" i="29"/>
  <c r="AJ15" i="29"/>
  <c r="AJ27" i="29"/>
  <c r="AJ23" i="29"/>
  <c r="AJ19" i="29"/>
  <c r="DD23" i="29"/>
  <c r="DD15" i="29"/>
  <c r="DD19" i="29"/>
  <c r="DD27" i="29"/>
  <c r="CV15" i="29"/>
  <c r="CV27" i="29"/>
  <c r="CV19" i="29"/>
  <c r="CV23" i="29"/>
  <c r="D15" i="29"/>
  <c r="D27" i="29"/>
  <c r="D23" i="29"/>
  <c r="D19" i="29"/>
  <c r="L15" i="29"/>
  <c r="L19" i="29"/>
  <c r="L23" i="29"/>
  <c r="L27" i="29"/>
  <c r="T15" i="29"/>
  <c r="T23" i="29"/>
  <c r="T27" i="29"/>
  <c r="T19" i="29"/>
  <c r="BX15" i="29"/>
  <c r="BX27" i="29"/>
  <c r="BX23" i="29"/>
  <c r="BX19" i="29"/>
  <c r="CF15" i="29"/>
  <c r="CF27" i="29"/>
  <c r="CF19" i="29"/>
  <c r="CF23" i="29"/>
  <c r="AB23" i="29"/>
  <c r="AB15" i="29"/>
  <c r="AB27" i="29"/>
  <c r="AB19" i="29"/>
  <c r="AZ15" i="29"/>
  <c r="AZ23" i="29"/>
  <c r="AZ19" i="29"/>
  <c r="AZ27" i="29"/>
  <c r="CN15" i="29"/>
  <c r="CN27" i="29"/>
  <c r="CN23" i="29"/>
  <c r="CN19" i="29"/>
  <c r="BH27" i="29"/>
  <c r="BH19" i="29"/>
  <c r="BH23" i="29"/>
  <c r="BH15" i="29"/>
  <c r="AJ9" i="9"/>
  <c r="AJ12" i="9"/>
  <c r="AJ15" i="9"/>
  <c r="BP8" i="9"/>
  <c r="BP11" i="9" s="1"/>
  <c r="BP14" i="9" s="1"/>
  <c r="AR8" i="9"/>
  <c r="AR11" i="9" s="1"/>
  <c r="AR14" i="9" s="1"/>
  <c r="BX8" i="9"/>
  <c r="BX11" i="9" s="1"/>
  <c r="BX14" i="9" s="1"/>
  <c r="CF8" i="9"/>
  <c r="CF11" i="9" s="1"/>
  <c r="CF14" i="9" s="1"/>
  <c r="CN8" i="9"/>
  <c r="CN11" i="9" s="1"/>
  <c r="CN14" i="9" s="1"/>
  <c r="T8" i="9"/>
  <c r="T11" i="9" s="1"/>
  <c r="T14" i="9" s="1"/>
  <c r="AB8" i="9"/>
  <c r="AB11" i="9" s="1"/>
  <c r="AB14" i="9" s="1"/>
  <c r="BH8" i="9"/>
  <c r="BH11" i="9" s="1"/>
  <c r="BH14" i="9" s="1"/>
  <c r="L15" i="9"/>
  <c r="L12" i="9"/>
  <c r="DD8" i="9"/>
  <c r="DD11" i="9" s="1"/>
  <c r="DD14" i="9" s="1"/>
  <c r="CV8" i="9"/>
  <c r="CV11" i="9" s="1"/>
  <c r="CV14" i="9" s="1"/>
  <c r="H89" i="24"/>
  <c r="G9" i="11" s="1"/>
  <c r="CV48" i="29" l="1"/>
  <c r="CV69" i="29"/>
  <c r="CN36" i="29"/>
  <c r="CN57" i="29"/>
  <c r="AB65" i="29"/>
  <c r="AB44" i="29"/>
  <c r="BX36" i="29"/>
  <c r="BX57" i="29"/>
  <c r="L57" i="29"/>
  <c r="L36" i="29"/>
  <c r="CV36" i="29"/>
  <c r="CV57" i="29"/>
  <c r="AJ36" i="29"/>
  <c r="AJ57" i="29"/>
  <c r="BP48" i="29"/>
  <c r="BP69" i="29"/>
  <c r="AJ69" i="29"/>
  <c r="AJ48" i="29"/>
  <c r="BH36" i="29"/>
  <c r="BH57" i="29"/>
  <c r="AZ48" i="29"/>
  <c r="AZ69" i="29"/>
  <c r="CF44" i="29"/>
  <c r="CF65" i="29"/>
  <c r="T61" i="29"/>
  <c r="T40" i="29"/>
  <c r="D61" i="29"/>
  <c r="D40" i="29"/>
  <c r="DD48" i="29"/>
  <c r="DD69" i="29"/>
  <c r="AR48" i="29"/>
  <c r="AR69" i="29"/>
  <c r="CN48" i="29"/>
  <c r="CN69" i="29"/>
  <c r="BP65" i="29"/>
  <c r="BP44" i="29"/>
  <c r="BH65" i="29"/>
  <c r="BH44" i="29"/>
  <c r="AZ61" i="29"/>
  <c r="AZ40" i="29"/>
  <c r="CF61" i="29"/>
  <c r="CF40" i="29"/>
  <c r="T48" i="29"/>
  <c r="T69" i="29"/>
  <c r="D65" i="29"/>
  <c r="D44" i="29"/>
  <c r="DD40" i="29"/>
  <c r="DD61" i="29"/>
  <c r="AR65" i="29"/>
  <c r="AR44" i="29"/>
  <c r="L61" i="29"/>
  <c r="L40" i="29"/>
  <c r="BH40" i="29"/>
  <c r="BH61" i="29"/>
  <c r="AZ65" i="29"/>
  <c r="AZ44" i="29"/>
  <c r="CF48" i="29"/>
  <c r="CF69" i="29"/>
  <c r="T44" i="29"/>
  <c r="T65" i="29"/>
  <c r="D48" i="29"/>
  <c r="D69" i="29"/>
  <c r="DD57" i="29"/>
  <c r="DD36" i="29"/>
  <c r="AR61" i="29"/>
  <c r="AR40" i="29"/>
  <c r="AB36" i="29"/>
  <c r="AB57" i="29"/>
  <c r="BH69" i="29"/>
  <c r="BH48" i="29"/>
  <c r="AZ57" i="29"/>
  <c r="AZ36" i="29"/>
  <c r="CF36" i="29"/>
  <c r="CF57" i="29"/>
  <c r="T57" i="29"/>
  <c r="T36" i="29"/>
  <c r="D36" i="29"/>
  <c r="D57" i="29"/>
  <c r="DD65" i="29"/>
  <c r="DD44" i="29"/>
  <c r="AR57" i="29"/>
  <c r="AR36" i="29"/>
  <c r="CN61" i="29"/>
  <c r="CN40" i="29"/>
  <c r="AB61" i="29"/>
  <c r="AB40" i="29"/>
  <c r="BX61" i="29"/>
  <c r="BX40" i="29"/>
  <c r="L69" i="29"/>
  <c r="L48" i="29"/>
  <c r="CV44" i="29"/>
  <c r="CV65" i="29"/>
  <c r="AJ61" i="29"/>
  <c r="AJ40" i="29"/>
  <c r="BP61" i="29"/>
  <c r="BP40" i="29"/>
  <c r="BX69" i="29"/>
  <c r="BX48" i="29"/>
  <c r="CN65" i="29"/>
  <c r="CN44" i="29"/>
  <c r="AB69" i="29"/>
  <c r="AB48" i="29"/>
  <c r="BX65" i="29"/>
  <c r="BX44" i="29"/>
  <c r="L65" i="29"/>
  <c r="L44" i="29"/>
  <c r="CV61" i="29"/>
  <c r="CV40" i="29"/>
  <c r="AJ44" i="29"/>
  <c r="AJ65" i="29"/>
  <c r="BP36" i="29"/>
  <c r="BP57" i="29"/>
  <c r="BZ7" i="29"/>
  <c r="N7" i="29"/>
  <c r="CX7" i="29"/>
  <c r="AL7" i="29"/>
  <c r="BR7" i="29"/>
  <c r="BJ7" i="29"/>
  <c r="CH7" i="29"/>
  <c r="V7" i="29"/>
  <c r="F7" i="29"/>
  <c r="DF7" i="29"/>
  <c r="AT7" i="29"/>
  <c r="CP7" i="29"/>
  <c r="AD7" i="29"/>
  <c r="BB7" i="29"/>
  <c r="CF20" i="9"/>
  <c r="AB20" i="9"/>
  <c r="BX20" i="9"/>
  <c r="T20" i="9"/>
  <c r="CV20" i="9"/>
  <c r="BH20" i="9"/>
  <c r="AR20" i="9"/>
  <c r="DD20" i="9"/>
  <c r="CN20" i="9"/>
  <c r="BP20" i="9"/>
  <c r="J87" i="3"/>
  <c r="J68" i="3"/>
  <c r="C7" i="9"/>
  <c r="J46" i="3"/>
  <c r="J47" i="3"/>
  <c r="J48" i="3"/>
  <c r="J88" i="3"/>
  <c r="J67" i="3"/>
  <c r="J66" i="3"/>
  <c r="J86" i="3"/>
  <c r="J49" i="3"/>
  <c r="M87" i="3"/>
  <c r="M66" i="3"/>
  <c r="M48" i="3"/>
  <c r="M67" i="3"/>
  <c r="M88" i="3"/>
  <c r="M86" i="3"/>
  <c r="M46" i="3"/>
  <c r="M49" i="3"/>
  <c r="M68" i="3"/>
  <c r="M47" i="3"/>
  <c r="L69" i="20" l="1"/>
  <c r="L77" i="20"/>
  <c r="L74" i="20"/>
  <c r="L70" i="20"/>
  <c r="L73" i="20"/>
  <c r="L76" i="20"/>
  <c r="L71" i="20"/>
  <c r="L72" i="20"/>
  <c r="L78" i="20"/>
  <c r="L68" i="20"/>
  <c r="L79" i="20"/>
  <c r="L80" i="20"/>
  <c r="L81" i="20"/>
  <c r="L75" i="20"/>
  <c r="L56" i="20"/>
  <c r="L61" i="20"/>
  <c r="L59" i="20"/>
  <c r="L49" i="20"/>
  <c r="L57" i="20"/>
  <c r="L58" i="20"/>
  <c r="L51" i="20"/>
  <c r="L53" i="20"/>
  <c r="L54" i="20"/>
  <c r="L52" i="20"/>
  <c r="L60" i="20"/>
  <c r="L62" i="20"/>
  <c r="L55" i="20"/>
  <c r="L50" i="20"/>
  <c r="L33" i="20"/>
  <c r="L32" i="20"/>
  <c r="L42" i="20"/>
  <c r="L34" i="20"/>
  <c r="L43" i="20"/>
  <c r="L36" i="20"/>
  <c r="L30" i="20"/>
  <c r="L37" i="20"/>
  <c r="L31" i="20"/>
  <c r="L41" i="20"/>
  <c r="L40" i="20"/>
  <c r="L38" i="20"/>
  <c r="L39" i="20"/>
  <c r="L35" i="20"/>
  <c r="D80" i="20"/>
  <c r="D79" i="20"/>
  <c r="D73" i="20"/>
  <c r="D68" i="20"/>
  <c r="D81" i="20"/>
  <c r="D75" i="20"/>
  <c r="D77" i="20"/>
  <c r="D74" i="20"/>
  <c r="D70" i="20"/>
  <c r="D78" i="20"/>
  <c r="D69" i="20"/>
  <c r="D72" i="20"/>
  <c r="D76" i="20"/>
  <c r="D71" i="20"/>
  <c r="D52" i="20"/>
  <c r="D60" i="20"/>
  <c r="D62" i="20"/>
  <c r="D55" i="20"/>
  <c r="D61" i="20"/>
  <c r="D50" i="20"/>
  <c r="D49" i="20"/>
  <c r="D56" i="20"/>
  <c r="D57" i="20"/>
  <c r="D58" i="20"/>
  <c r="D51" i="20"/>
  <c r="D59" i="20"/>
  <c r="D53" i="20"/>
  <c r="D54" i="20"/>
  <c r="L18" i="20"/>
  <c r="L16" i="20"/>
  <c r="L20" i="20"/>
  <c r="L14" i="20"/>
  <c r="L21" i="20"/>
  <c r="L15" i="20"/>
  <c r="L12" i="20"/>
  <c r="L17" i="20"/>
  <c r="L13" i="20"/>
  <c r="L23" i="20"/>
  <c r="L22" i="20"/>
  <c r="L11" i="20"/>
  <c r="L19" i="20"/>
  <c r="L24" i="20"/>
  <c r="V23" i="29"/>
  <c r="V19" i="29"/>
  <c r="V15" i="29"/>
  <c r="V27" i="29"/>
  <c r="DF27" i="29"/>
  <c r="DF23" i="29"/>
  <c r="DF15" i="29"/>
  <c r="DF19" i="29"/>
  <c r="N15" i="29"/>
  <c r="N23" i="29"/>
  <c r="N19" i="29"/>
  <c r="N27" i="29"/>
  <c r="F23" i="29"/>
  <c r="F27" i="29"/>
  <c r="F19" i="29"/>
  <c r="F15" i="29"/>
  <c r="BZ15" i="29"/>
  <c r="BZ27" i="29"/>
  <c r="BZ23" i="29"/>
  <c r="BZ19" i="29"/>
  <c r="CH15" i="29"/>
  <c r="CH27" i="29"/>
  <c r="CH23" i="29"/>
  <c r="CH19" i="29"/>
  <c r="BB15" i="29"/>
  <c r="BB19" i="29"/>
  <c r="BB23" i="29"/>
  <c r="BB27" i="29"/>
  <c r="BJ19" i="29"/>
  <c r="BJ23" i="29"/>
  <c r="BJ27" i="29"/>
  <c r="BJ15" i="29"/>
  <c r="AD15" i="29"/>
  <c r="AD27" i="29"/>
  <c r="AD19" i="29"/>
  <c r="AD23" i="29"/>
  <c r="BR15" i="29"/>
  <c r="BR27" i="29"/>
  <c r="BR19" i="29"/>
  <c r="BR23" i="29"/>
  <c r="CP15" i="29"/>
  <c r="CP23" i="29"/>
  <c r="CP27" i="29"/>
  <c r="CP19" i="29"/>
  <c r="AL23" i="29"/>
  <c r="AL27" i="29"/>
  <c r="AL15" i="29"/>
  <c r="AL19" i="29"/>
  <c r="AT27" i="29"/>
  <c r="AT19" i="29"/>
  <c r="AT15" i="29"/>
  <c r="AT23" i="29"/>
  <c r="CX15" i="29"/>
  <c r="CX27" i="29"/>
  <c r="CX19" i="29"/>
  <c r="CX23" i="29"/>
  <c r="BO58" i="9"/>
  <c r="BO68" i="9" s="1"/>
  <c r="BO73" i="9"/>
  <c r="BO83" i="9" s="1"/>
  <c r="BO43" i="9"/>
  <c r="BO53" i="9" s="1"/>
  <c r="BO28" i="9"/>
  <c r="BO38" i="9" s="1"/>
  <c r="CE73" i="9"/>
  <c r="CE83" i="9" s="1"/>
  <c r="CE28" i="9"/>
  <c r="CE38" i="9" s="1"/>
  <c r="CE43" i="9"/>
  <c r="CE53" i="9" s="1"/>
  <c r="CE58" i="9"/>
  <c r="CE68" i="9" s="1"/>
  <c r="K58" i="9"/>
  <c r="K68" i="9" s="1"/>
  <c r="K28" i="9"/>
  <c r="K38" i="9" s="1"/>
  <c r="K43" i="9"/>
  <c r="K53" i="9" s="1"/>
  <c r="K73" i="9"/>
  <c r="K83" i="9" s="1"/>
  <c r="AY28" i="9"/>
  <c r="AY38" i="9" s="1"/>
  <c r="AY58" i="9"/>
  <c r="AY68" i="9" s="1"/>
  <c r="AY73" i="9"/>
  <c r="AY83" i="9" s="1"/>
  <c r="AY43" i="9"/>
  <c r="AY53" i="9" s="1"/>
  <c r="BG43" i="9"/>
  <c r="BG53" i="9" s="1"/>
  <c r="BG58" i="9"/>
  <c r="BG68" i="9" s="1"/>
  <c r="BG73" i="9"/>
  <c r="BG83" i="9" s="1"/>
  <c r="BG28" i="9"/>
  <c r="BG38" i="9" s="1"/>
  <c r="AA28" i="9"/>
  <c r="AA38" i="9" s="1"/>
  <c r="AA43" i="9"/>
  <c r="AA53" i="9" s="1"/>
  <c r="AA73" i="9"/>
  <c r="AA83" i="9" s="1"/>
  <c r="AA58" i="9"/>
  <c r="AA68" i="9" s="1"/>
  <c r="DC43" i="9"/>
  <c r="DC53" i="9" s="1"/>
  <c r="DC73" i="9"/>
  <c r="DC83" i="9" s="1"/>
  <c r="DC58" i="9"/>
  <c r="DC68" i="9" s="1"/>
  <c r="DC28" i="9"/>
  <c r="DC38" i="9" s="1"/>
  <c r="CU73" i="9"/>
  <c r="CU83" i="9" s="1"/>
  <c r="CU28" i="9"/>
  <c r="CU38" i="9" s="1"/>
  <c r="CU43" i="9"/>
  <c r="CU53" i="9" s="1"/>
  <c r="CU58" i="9"/>
  <c r="CU68" i="9" s="1"/>
  <c r="S28" i="9"/>
  <c r="S38" i="9" s="1"/>
  <c r="S58" i="9"/>
  <c r="S68" i="9" s="1"/>
  <c r="S73" i="9"/>
  <c r="S83" i="9" s="1"/>
  <c r="S43" i="9"/>
  <c r="S53" i="9" s="1"/>
  <c r="BW28" i="9"/>
  <c r="BW38" i="9" s="1"/>
  <c r="BW43" i="9"/>
  <c r="BW53" i="9" s="1"/>
  <c r="BW58" i="9"/>
  <c r="BW68" i="9" s="1"/>
  <c r="BW73" i="9"/>
  <c r="BW83" i="9" s="1"/>
  <c r="AQ58" i="9"/>
  <c r="AQ68" i="9" s="1"/>
  <c r="AQ43" i="9"/>
  <c r="AQ53" i="9" s="1"/>
  <c r="AQ73" i="9"/>
  <c r="AQ83" i="9" s="1"/>
  <c r="AQ28" i="9"/>
  <c r="AQ38" i="9" s="1"/>
  <c r="AI28" i="9"/>
  <c r="AI38" i="9" s="1"/>
  <c r="AI73" i="9"/>
  <c r="AI83" i="9" s="1"/>
  <c r="AI43" i="9"/>
  <c r="AI53" i="9" s="1"/>
  <c r="AI58" i="9"/>
  <c r="AI68" i="9" s="1"/>
  <c r="CM73" i="9"/>
  <c r="CM83" i="9" s="1"/>
  <c r="CM28" i="9"/>
  <c r="CM38" i="9" s="1"/>
  <c r="CM58" i="9"/>
  <c r="CM68" i="9" s="1"/>
  <c r="CM43" i="9"/>
  <c r="CM53" i="9" s="1"/>
  <c r="F9" i="11"/>
  <c r="M82" i="3"/>
  <c r="CW7" i="29" l="1"/>
  <c r="AK7" i="29"/>
  <c r="BI7" i="29"/>
  <c r="CG7" i="29"/>
  <c r="U7" i="29"/>
  <c r="E7" i="29"/>
  <c r="DE7" i="29"/>
  <c r="AS7" i="29"/>
  <c r="CO7" i="29"/>
  <c r="BQ7" i="29"/>
  <c r="AC7" i="29"/>
  <c r="BA7" i="29"/>
  <c r="BY7" i="29"/>
  <c r="M7" i="29"/>
  <c r="BY7" i="9"/>
  <c r="U7" i="9"/>
  <c r="CO7" i="9"/>
  <c r="CW7" i="9"/>
  <c r="DE7" i="9"/>
  <c r="BI7" i="9"/>
  <c r="BQ7" i="9"/>
  <c r="CG7" i="9"/>
  <c r="AS7" i="9"/>
  <c r="AS8" i="9" s="1"/>
  <c r="AC7" i="9"/>
  <c r="BA7" i="9"/>
  <c r="BA8" i="9" s="1"/>
  <c r="L66" i="3"/>
  <c r="L86" i="3"/>
  <c r="L48" i="3"/>
  <c r="L67" i="3"/>
  <c r="L46" i="3"/>
  <c r="L88" i="3"/>
  <c r="L49" i="3"/>
  <c r="L68" i="3"/>
  <c r="L87" i="3"/>
  <c r="L47" i="3"/>
  <c r="AI84" i="9"/>
  <c r="AI196" i="9"/>
  <c r="AI135" i="9"/>
  <c r="AI145" i="9" s="1"/>
  <c r="BW54" i="9"/>
  <c r="BW107" i="9"/>
  <c r="BW117" i="9" s="1"/>
  <c r="C39" i="20" s="1"/>
  <c r="BW168" i="9"/>
  <c r="CU54" i="9"/>
  <c r="CU168" i="9"/>
  <c r="CU107" i="9"/>
  <c r="CU117" i="9" s="1"/>
  <c r="AA69" i="9"/>
  <c r="AA182" i="9"/>
  <c r="AA121" i="9"/>
  <c r="AY54" i="9"/>
  <c r="AY168" i="9"/>
  <c r="AY107" i="9"/>
  <c r="AY117" i="9" s="1"/>
  <c r="C36" i="20" s="1"/>
  <c r="CE69" i="9"/>
  <c r="CE182" i="9"/>
  <c r="CE121" i="9"/>
  <c r="CE131" i="9" s="1"/>
  <c r="AI39" i="9"/>
  <c r="AI154" i="9"/>
  <c r="AI93" i="9"/>
  <c r="AI103" i="9" s="1"/>
  <c r="C15" i="20" s="1"/>
  <c r="CU39" i="9"/>
  <c r="CU154" i="9"/>
  <c r="CU93" i="9"/>
  <c r="CU103" i="9" s="1"/>
  <c r="C23" i="20" s="1"/>
  <c r="AY84" i="9"/>
  <c r="AY196" i="9"/>
  <c r="AY135" i="9"/>
  <c r="AY145" i="9" s="1"/>
  <c r="CM69" i="9"/>
  <c r="CM182" i="9"/>
  <c r="CM121" i="9"/>
  <c r="CM131" i="9" s="1"/>
  <c r="CU84" i="9"/>
  <c r="CU135" i="9"/>
  <c r="CU145" i="9" s="1"/>
  <c r="CU196" i="9"/>
  <c r="CE39" i="9"/>
  <c r="CE154" i="9"/>
  <c r="CE93" i="9"/>
  <c r="CE103" i="9" s="1"/>
  <c r="C21" i="20" s="1"/>
  <c r="AQ84" i="9"/>
  <c r="AQ135" i="9"/>
  <c r="AQ145" i="9" s="1"/>
  <c r="AQ196" i="9"/>
  <c r="DC39" i="9"/>
  <c r="DC154" i="9"/>
  <c r="DC93" i="9"/>
  <c r="DC103" i="9" s="1"/>
  <c r="C24" i="20" s="1"/>
  <c r="AY39" i="9"/>
  <c r="AY154" i="9"/>
  <c r="AY93" i="9"/>
  <c r="AY103" i="9" s="1"/>
  <c r="C17" i="20" s="1"/>
  <c r="CM84" i="9"/>
  <c r="CM196" i="9"/>
  <c r="CM135" i="9"/>
  <c r="CM145" i="9" s="1"/>
  <c r="AQ54" i="9"/>
  <c r="AQ107" i="9"/>
  <c r="AQ117" i="9" s="1"/>
  <c r="C35" i="20" s="1"/>
  <c r="AQ168" i="9"/>
  <c r="S84" i="9"/>
  <c r="S135" i="9"/>
  <c r="S196" i="9"/>
  <c r="BG39" i="9"/>
  <c r="BG93" i="9"/>
  <c r="BG103" i="9" s="1"/>
  <c r="C18" i="20" s="1"/>
  <c r="BG154" i="9"/>
  <c r="K84" i="9"/>
  <c r="K135" i="9"/>
  <c r="K196" i="9"/>
  <c r="BO39" i="9"/>
  <c r="BO154" i="9"/>
  <c r="BO93" i="9"/>
  <c r="BO103" i="9" s="1"/>
  <c r="C19" i="20" s="1"/>
  <c r="S69" i="9"/>
  <c r="S182" i="9"/>
  <c r="S121" i="9"/>
  <c r="BG84" i="9"/>
  <c r="BG135" i="9"/>
  <c r="BG145" i="9" s="1"/>
  <c r="BG196" i="9"/>
  <c r="K54" i="9"/>
  <c r="K168" i="9"/>
  <c r="K107" i="9"/>
  <c r="BO54" i="9"/>
  <c r="BO168" i="9"/>
  <c r="BO107" i="9"/>
  <c r="BO117" i="9" s="1"/>
  <c r="C38" i="20" s="1"/>
  <c r="BW39" i="9"/>
  <c r="BW93" i="9"/>
  <c r="BW103" i="9" s="1"/>
  <c r="C20" i="20" s="1"/>
  <c r="BW154" i="9"/>
  <c r="AA84" i="9"/>
  <c r="AA135" i="9"/>
  <c r="AA196" i="9"/>
  <c r="CE54" i="9"/>
  <c r="CE107" i="9"/>
  <c r="CE117" i="9" s="1"/>
  <c r="C40" i="20" s="1"/>
  <c r="CE168" i="9"/>
  <c r="AQ39" i="9"/>
  <c r="AQ93" i="9"/>
  <c r="AQ103" i="9" s="1"/>
  <c r="C16" i="20" s="1"/>
  <c r="AQ154" i="9"/>
  <c r="AA54" i="9"/>
  <c r="AA107" i="9"/>
  <c r="AA168" i="9"/>
  <c r="CE84" i="9"/>
  <c r="CE196" i="9"/>
  <c r="CE135" i="9"/>
  <c r="CE145" i="9" s="1"/>
  <c r="AQ69" i="9"/>
  <c r="AQ182" i="9"/>
  <c r="AQ121" i="9"/>
  <c r="AQ131" i="9" s="1"/>
  <c r="DC84" i="9"/>
  <c r="DC135" i="9"/>
  <c r="DC145" i="9" s="1"/>
  <c r="DC196" i="9"/>
  <c r="AI69" i="9"/>
  <c r="AI182" i="9"/>
  <c r="AI121" i="9"/>
  <c r="AI131" i="9" s="1"/>
  <c r="BW84" i="9"/>
  <c r="BW135" i="9"/>
  <c r="BW145" i="9" s="1"/>
  <c r="BW196" i="9"/>
  <c r="S39" i="9"/>
  <c r="S93" i="9"/>
  <c r="S154" i="9"/>
  <c r="DC54" i="9"/>
  <c r="DC107" i="9"/>
  <c r="DC117" i="9" s="1"/>
  <c r="C43" i="20" s="1"/>
  <c r="DC168" i="9"/>
  <c r="BG69" i="9"/>
  <c r="BG121" i="9"/>
  <c r="BG131" i="9" s="1"/>
  <c r="BG182" i="9"/>
  <c r="K39" i="9"/>
  <c r="K154" i="9"/>
  <c r="K93" i="9"/>
  <c r="BO84" i="9"/>
  <c r="BO135" i="9"/>
  <c r="BO145" i="9" s="1"/>
  <c r="BO196" i="9"/>
  <c r="CM54" i="9"/>
  <c r="CM168" i="9"/>
  <c r="CM107" i="9"/>
  <c r="CM117" i="9" s="1"/>
  <c r="C41" i="20" s="1"/>
  <c r="AY69" i="9"/>
  <c r="AY121" i="9"/>
  <c r="AY131" i="9" s="1"/>
  <c r="AY182" i="9"/>
  <c r="CM39" i="9"/>
  <c r="CM154" i="9"/>
  <c r="CM93" i="9"/>
  <c r="CM103" i="9" s="1"/>
  <c r="C22" i="20" s="1"/>
  <c r="S54" i="9"/>
  <c r="S107" i="9"/>
  <c r="S168" i="9"/>
  <c r="AA39" i="9"/>
  <c r="AA93" i="9"/>
  <c r="AA154" i="9"/>
  <c r="DC69" i="9"/>
  <c r="DC121" i="9"/>
  <c r="DC131" i="9" s="1"/>
  <c r="DC182" i="9"/>
  <c r="AI54" i="9"/>
  <c r="AI107" i="9"/>
  <c r="AI117" i="9" s="1"/>
  <c r="C34" i="20" s="1"/>
  <c r="AI168" i="9"/>
  <c r="BW69" i="9"/>
  <c r="BW182" i="9"/>
  <c r="BW121" i="9"/>
  <c r="BW131" i="9" s="1"/>
  <c r="CU69" i="9"/>
  <c r="CU121" i="9"/>
  <c r="CU131" i="9" s="1"/>
  <c r="CU182" i="9"/>
  <c r="BG54" i="9"/>
  <c r="BG107" i="9"/>
  <c r="BG117" i="9" s="1"/>
  <c r="C37" i="20" s="1"/>
  <c r="BG168" i="9"/>
  <c r="K69" i="9"/>
  <c r="K182" i="9"/>
  <c r="K121" i="9"/>
  <c r="BO69" i="9"/>
  <c r="BO182" i="9"/>
  <c r="BO121" i="9"/>
  <c r="BO131" i="9" s="1"/>
  <c r="K51" i="3"/>
  <c r="M32" i="3"/>
  <c r="M94" i="3"/>
  <c r="M28" i="3"/>
  <c r="M72" i="3"/>
  <c r="M42" i="3"/>
  <c r="M27" i="3"/>
  <c r="M55" i="3"/>
  <c r="M74" i="3"/>
  <c r="M24" i="3"/>
  <c r="M22" i="3"/>
  <c r="M92" i="3"/>
  <c r="M52" i="3"/>
  <c r="M85" i="3"/>
  <c r="M30" i="3"/>
  <c r="M25" i="3"/>
  <c r="M26" i="3"/>
  <c r="M34" i="3"/>
  <c r="M91" i="3"/>
  <c r="M33" i="3"/>
  <c r="M29" i="3"/>
  <c r="M53" i="3"/>
  <c r="M93" i="3"/>
  <c r="M90" i="3"/>
  <c r="M71" i="3"/>
  <c r="M51" i="3"/>
  <c r="M44" i="3"/>
  <c r="M63" i="3"/>
  <c r="M23" i="3"/>
  <c r="M35" i="3"/>
  <c r="M62" i="3"/>
  <c r="M50" i="3"/>
  <c r="M31" i="3"/>
  <c r="M43" i="3"/>
  <c r="M83" i="3"/>
  <c r="M65" i="3"/>
  <c r="M73" i="3"/>
  <c r="M45" i="3"/>
  <c r="M95" i="3"/>
  <c r="M75" i="3"/>
  <c r="M64" i="3"/>
  <c r="J32" i="3"/>
  <c r="M84" i="3"/>
  <c r="M69" i="3"/>
  <c r="M54" i="3"/>
  <c r="M89" i="3"/>
  <c r="M70" i="3"/>
  <c r="AC27" i="29" l="1"/>
  <c r="AC23" i="29"/>
  <c r="AC19" i="29"/>
  <c r="AC15" i="29"/>
  <c r="BI15" i="29"/>
  <c r="BI19" i="29"/>
  <c r="BI27" i="29"/>
  <c r="BI23" i="29"/>
  <c r="BA15" i="29"/>
  <c r="BA27" i="29"/>
  <c r="BA23" i="29"/>
  <c r="BA19" i="29"/>
  <c r="BQ15" i="29"/>
  <c r="BQ19" i="29"/>
  <c r="BQ27" i="29"/>
  <c r="BQ23" i="29"/>
  <c r="AK27" i="29"/>
  <c r="AK19" i="29"/>
  <c r="AK15" i="29"/>
  <c r="AK23" i="29"/>
  <c r="CO15" i="29"/>
  <c r="CO27" i="29"/>
  <c r="CO23" i="29"/>
  <c r="CO19" i="29"/>
  <c r="CW15" i="29"/>
  <c r="CW27" i="29"/>
  <c r="CW19" i="29"/>
  <c r="CW23" i="29"/>
  <c r="CG15" i="29"/>
  <c r="CG19" i="29"/>
  <c r="CG23" i="29"/>
  <c r="CG27" i="29"/>
  <c r="AS23" i="29"/>
  <c r="AS19" i="29"/>
  <c r="AS27" i="29"/>
  <c r="AS15" i="29"/>
  <c r="DE15" i="29"/>
  <c r="DE23" i="29"/>
  <c r="DE19" i="29"/>
  <c r="DE27" i="29"/>
  <c r="M15" i="29"/>
  <c r="M23" i="29"/>
  <c r="M27" i="29"/>
  <c r="M19" i="29"/>
  <c r="E27" i="29"/>
  <c r="E19" i="29"/>
  <c r="E23" i="29"/>
  <c r="E15" i="29"/>
  <c r="BY15" i="29"/>
  <c r="BY23" i="29"/>
  <c r="BY19" i="29"/>
  <c r="BY27" i="29"/>
  <c r="U15" i="29"/>
  <c r="U27" i="29"/>
  <c r="U19" i="29"/>
  <c r="U23" i="29"/>
  <c r="BA11" i="9"/>
  <c r="BA20" i="9" s="1"/>
  <c r="BB7" i="9"/>
  <c r="BB8" i="9" s="1"/>
  <c r="BB20" i="9" s="1"/>
  <c r="AS11" i="9"/>
  <c r="AS20" i="9" s="1"/>
  <c r="AT7" i="9"/>
  <c r="AT8" i="9" s="1"/>
  <c r="AT20" i="9" s="1"/>
  <c r="AK9" i="9"/>
  <c r="AK12" i="9"/>
  <c r="BQ8" i="9"/>
  <c r="CW8" i="9"/>
  <c r="BI8" i="9"/>
  <c r="DE8" i="9"/>
  <c r="M12" i="9"/>
  <c r="AC8" i="9"/>
  <c r="CO8" i="9"/>
  <c r="U8" i="9"/>
  <c r="CG8" i="9"/>
  <c r="BY8" i="9"/>
  <c r="BO192" i="9"/>
  <c r="DC206" i="9"/>
  <c r="AQ178" i="9"/>
  <c r="DC192" i="9"/>
  <c r="BG178" i="9"/>
  <c r="AA103" i="9"/>
  <c r="C14" i="20" s="1"/>
  <c r="AY192" i="9"/>
  <c r="BW164" i="9"/>
  <c r="BO164" i="9"/>
  <c r="S206" i="9"/>
  <c r="AY178" i="9"/>
  <c r="BW178" i="9"/>
  <c r="AI178" i="9"/>
  <c r="K103" i="9"/>
  <c r="C12" i="20" s="1"/>
  <c r="AI192" i="9"/>
  <c r="BG206" i="9"/>
  <c r="S145" i="9"/>
  <c r="CM192" i="9"/>
  <c r="S178" i="9"/>
  <c r="K164" i="9"/>
  <c r="S164" i="9"/>
  <c r="CE206" i="9"/>
  <c r="CE178" i="9"/>
  <c r="K206" i="9"/>
  <c r="AY164" i="9"/>
  <c r="AI164" i="9"/>
  <c r="AA131" i="9"/>
  <c r="CE164" i="9"/>
  <c r="AA192" i="9"/>
  <c r="AI206" i="9"/>
  <c r="CU192" i="9"/>
  <c r="S117" i="9"/>
  <c r="C32" i="20" s="1"/>
  <c r="S103" i="9"/>
  <c r="C13" i="20" s="1"/>
  <c r="K145" i="9"/>
  <c r="CM178" i="9"/>
  <c r="BG192" i="9"/>
  <c r="AA178" i="9"/>
  <c r="BO178" i="9"/>
  <c r="S131" i="9"/>
  <c r="AY206" i="9"/>
  <c r="K131" i="9"/>
  <c r="BW206" i="9"/>
  <c r="AA117" i="9"/>
  <c r="C33" i="20" s="1"/>
  <c r="AA206" i="9"/>
  <c r="S192" i="9"/>
  <c r="BG164" i="9"/>
  <c r="DC164" i="9"/>
  <c r="CU206" i="9"/>
  <c r="CE192" i="9"/>
  <c r="K192" i="9"/>
  <c r="CM164" i="9"/>
  <c r="BO206" i="9"/>
  <c r="AA145" i="9"/>
  <c r="K117" i="9"/>
  <c r="C31" i="20" s="1"/>
  <c r="CU178" i="9"/>
  <c r="BW192" i="9"/>
  <c r="AA164" i="9"/>
  <c r="DC178" i="9"/>
  <c r="AQ192" i="9"/>
  <c r="AQ164" i="9"/>
  <c r="K178" i="9"/>
  <c r="CM206" i="9"/>
  <c r="AQ206" i="9"/>
  <c r="CU164" i="9"/>
  <c r="I89" i="24"/>
  <c r="L64" i="3"/>
  <c r="L25" i="3"/>
  <c r="L63" i="3"/>
  <c r="K72" i="3"/>
  <c r="K28" i="3"/>
  <c r="K23" i="3"/>
  <c r="K63" i="3"/>
  <c r="K71" i="3"/>
  <c r="K22" i="3"/>
  <c r="K91" i="3"/>
  <c r="K82" i="3"/>
  <c r="K73" i="3"/>
  <c r="K83" i="3"/>
  <c r="K24" i="3"/>
  <c r="K29" i="3"/>
  <c r="L31" i="3"/>
  <c r="L27" i="3"/>
  <c r="L90" i="3"/>
  <c r="K32" i="3"/>
  <c r="K31" i="3"/>
  <c r="K89" i="3"/>
  <c r="K55" i="3"/>
  <c r="L75" i="3"/>
  <c r="K44" i="3"/>
  <c r="K43" i="3"/>
  <c r="K90" i="3"/>
  <c r="L45" i="3"/>
  <c r="L85" i="3"/>
  <c r="K85" i="3"/>
  <c r="K84" i="3"/>
  <c r="K75" i="3"/>
  <c r="K34" i="3"/>
  <c r="K25" i="3"/>
  <c r="K95" i="3"/>
  <c r="L62" i="3"/>
  <c r="L93" i="3"/>
  <c r="L50" i="3"/>
  <c r="K52" i="3"/>
  <c r="L84" i="3"/>
  <c r="L71" i="3"/>
  <c r="K45" i="3"/>
  <c r="K50" i="3"/>
  <c r="K94" i="3"/>
  <c r="L51" i="3"/>
  <c r="L52" i="3"/>
  <c r="L74" i="3"/>
  <c r="L29" i="3"/>
  <c r="K26" i="3"/>
  <c r="K69" i="3"/>
  <c r="K93" i="3"/>
  <c r="K42" i="3"/>
  <c r="K27" i="3"/>
  <c r="L54" i="3"/>
  <c r="K70" i="3"/>
  <c r="K30" i="3"/>
  <c r="L32" i="3"/>
  <c r="L22" i="3"/>
  <c r="L73" i="3"/>
  <c r="K65" i="3"/>
  <c r="K35" i="3"/>
  <c r="K92" i="3"/>
  <c r="K62" i="3"/>
  <c r="L43" i="3"/>
  <c r="L72" i="3"/>
  <c r="K64" i="3"/>
  <c r="K33" i="3"/>
  <c r="K53" i="3"/>
  <c r="K54" i="3"/>
  <c r="K74" i="3"/>
  <c r="L42" i="3"/>
  <c r="L92" i="3"/>
  <c r="L95" i="3"/>
  <c r="L28" i="3"/>
  <c r="L91" i="3"/>
  <c r="L89" i="3"/>
  <c r="J25" i="3"/>
  <c r="L65" i="3"/>
  <c r="L55" i="3"/>
  <c r="L69" i="3"/>
  <c r="L35" i="3"/>
  <c r="L82" i="3"/>
  <c r="L23" i="3"/>
  <c r="J93" i="3"/>
  <c r="L70" i="3"/>
  <c r="L44" i="3"/>
  <c r="L94" i="3"/>
  <c r="L30" i="3"/>
  <c r="L83" i="3"/>
  <c r="L34" i="3"/>
  <c r="J53" i="3"/>
  <c r="L26" i="3"/>
  <c r="L53" i="3"/>
  <c r="L24" i="3"/>
  <c r="L33" i="3"/>
  <c r="J90" i="3"/>
  <c r="J31" i="3"/>
  <c r="J27" i="3"/>
  <c r="J69" i="3"/>
  <c r="J26" i="3"/>
  <c r="J92" i="3"/>
  <c r="J70" i="3"/>
  <c r="J94" i="3"/>
  <c r="J23" i="3"/>
  <c r="J55" i="3"/>
  <c r="J85" i="3"/>
  <c r="J84" i="3"/>
  <c r="J29" i="3"/>
  <c r="J82" i="3"/>
  <c r="J42" i="3"/>
  <c r="J33" i="3"/>
  <c r="J83" i="3"/>
  <c r="J71" i="3"/>
  <c r="J43" i="3"/>
  <c r="J30" i="3"/>
  <c r="J75" i="3"/>
  <c r="J50" i="3"/>
  <c r="J22" i="3"/>
  <c r="J45" i="3"/>
  <c r="J72" i="3"/>
  <c r="J73" i="3"/>
  <c r="J52" i="3"/>
  <c r="J34" i="3"/>
  <c r="J54" i="3"/>
  <c r="J95" i="3"/>
  <c r="J51" i="3"/>
  <c r="J65" i="3"/>
  <c r="J63" i="3"/>
  <c r="J62" i="3"/>
  <c r="J89" i="3"/>
  <c r="J64" i="3"/>
  <c r="J74" i="3"/>
  <c r="J28" i="3"/>
  <c r="J91" i="3"/>
  <c r="J44" i="3"/>
  <c r="J24" i="3"/>
  <c r="J35" i="3"/>
  <c r="E40" i="29" l="1"/>
  <c r="F40" i="29"/>
  <c r="BA61" i="29"/>
  <c r="BB61" i="29"/>
  <c r="N36" i="20" s="1"/>
  <c r="BB40" i="29"/>
  <c r="BA40" i="29"/>
  <c r="BY61" i="29"/>
  <c r="BZ61" i="29"/>
  <c r="N39" i="20" s="1"/>
  <c r="BY40" i="29"/>
  <c r="BZ40" i="29"/>
  <c r="M69" i="29"/>
  <c r="M48" i="29"/>
  <c r="N69" i="29"/>
  <c r="N69" i="20" s="1"/>
  <c r="N48" i="29"/>
  <c r="F69" i="20" s="1"/>
  <c r="AS69" i="29"/>
  <c r="AT48" i="29"/>
  <c r="F73" i="20" s="1"/>
  <c r="AS48" i="29"/>
  <c r="AT69" i="29"/>
  <c r="N73" i="20" s="1"/>
  <c r="CW61" i="29"/>
  <c r="CX40" i="29"/>
  <c r="CX61" i="29"/>
  <c r="N42" i="20" s="1"/>
  <c r="CW40" i="29"/>
  <c r="AK36" i="29"/>
  <c r="AL36" i="29"/>
  <c r="AK57" i="29"/>
  <c r="AL57" i="29"/>
  <c r="N15" i="20" s="1"/>
  <c r="BB44" i="29"/>
  <c r="F55" i="20" s="1"/>
  <c r="BA65" i="29"/>
  <c r="BA44" i="29"/>
  <c r="BB65" i="29"/>
  <c r="N55" i="20" s="1"/>
  <c r="AC61" i="29"/>
  <c r="AC40" i="29"/>
  <c r="AD40" i="29"/>
  <c r="AD61" i="29"/>
  <c r="N33" i="20" s="1"/>
  <c r="BZ44" i="29"/>
  <c r="F58" i="20" s="1"/>
  <c r="BY44" i="29"/>
  <c r="BY65" i="29"/>
  <c r="BZ65" i="29"/>
  <c r="N58" i="20" s="1"/>
  <c r="M65" i="29"/>
  <c r="N65" i="29"/>
  <c r="N50" i="20" s="1"/>
  <c r="N44" i="29"/>
  <c r="F50" i="20" s="1"/>
  <c r="M44" i="29"/>
  <c r="AT61" i="29"/>
  <c r="N35" i="20" s="1"/>
  <c r="AS61" i="29"/>
  <c r="AT40" i="29"/>
  <c r="AS40" i="29"/>
  <c r="CX69" i="29"/>
  <c r="N80" i="20" s="1"/>
  <c r="CW48" i="29"/>
  <c r="CW69" i="29"/>
  <c r="CX48" i="29"/>
  <c r="F80" i="20" s="1"/>
  <c r="AK61" i="29"/>
  <c r="AL61" i="29"/>
  <c r="N34" i="20" s="1"/>
  <c r="AL40" i="29"/>
  <c r="AK40" i="29"/>
  <c r="BB48" i="29"/>
  <c r="F74" i="20" s="1"/>
  <c r="BB69" i="29"/>
  <c r="N74" i="20" s="1"/>
  <c r="BA69" i="29"/>
  <c r="BA48" i="29"/>
  <c r="AD44" i="29"/>
  <c r="F52" i="20" s="1"/>
  <c r="AC65" i="29"/>
  <c r="AD65" i="29"/>
  <c r="N52" i="20" s="1"/>
  <c r="AC44" i="29"/>
  <c r="BY48" i="29"/>
  <c r="BY69" i="29"/>
  <c r="BZ48" i="29"/>
  <c r="F77" i="20" s="1"/>
  <c r="BZ69" i="29"/>
  <c r="N77" i="20" s="1"/>
  <c r="N61" i="29"/>
  <c r="N31" i="20" s="1"/>
  <c r="M40" i="29"/>
  <c r="N40" i="29"/>
  <c r="M61" i="29"/>
  <c r="AD57" i="29"/>
  <c r="N14" i="20" s="1"/>
  <c r="AD36" i="29"/>
  <c r="AC36" i="29"/>
  <c r="AC57" i="29"/>
  <c r="BY36" i="29"/>
  <c r="BY57" i="29"/>
  <c r="BZ36" i="29"/>
  <c r="BZ57" i="29"/>
  <c r="N20" i="20" s="1"/>
  <c r="N57" i="29"/>
  <c r="N12" i="20" s="1"/>
  <c r="M36" i="29"/>
  <c r="N36" i="29"/>
  <c r="M57" i="29"/>
  <c r="AT44" i="29"/>
  <c r="F54" i="20" s="1"/>
  <c r="AS44" i="29"/>
  <c r="AS65" i="29"/>
  <c r="AT65" i="29"/>
  <c r="N54" i="20" s="1"/>
  <c r="CX36" i="29"/>
  <c r="CW57" i="29"/>
  <c r="CX57" i="29"/>
  <c r="N23" i="20" s="1"/>
  <c r="CW36" i="29"/>
  <c r="AL69" i="29"/>
  <c r="N72" i="20" s="1"/>
  <c r="AK48" i="29"/>
  <c r="AL48" i="29"/>
  <c r="F72" i="20" s="1"/>
  <c r="AK69" i="29"/>
  <c r="BA57" i="29"/>
  <c r="BB57" i="29"/>
  <c r="N17" i="20" s="1"/>
  <c r="BA36" i="29"/>
  <c r="BB36" i="29"/>
  <c r="AD48" i="29"/>
  <c r="F71" i="20" s="1"/>
  <c r="AC48" i="29"/>
  <c r="AC69" i="29"/>
  <c r="AD69" i="29"/>
  <c r="N71" i="20" s="1"/>
  <c r="AK44" i="29"/>
  <c r="AK65" i="29"/>
  <c r="AL44" i="29"/>
  <c r="F53" i="20" s="1"/>
  <c r="AL65" i="29"/>
  <c r="N53" i="20" s="1"/>
  <c r="V44" i="29"/>
  <c r="F51" i="20" s="1"/>
  <c r="U65" i="29"/>
  <c r="V65" i="29"/>
  <c r="N51" i="20" s="1"/>
  <c r="U44" i="29"/>
  <c r="F57" i="29"/>
  <c r="N11" i="20" s="1"/>
  <c r="E57" i="29"/>
  <c r="E36" i="29"/>
  <c r="F36" i="29"/>
  <c r="DE48" i="29"/>
  <c r="DF48" i="29"/>
  <c r="F81" i="20" s="1"/>
  <c r="DE69" i="29"/>
  <c r="DF69" i="29"/>
  <c r="N81" i="20" s="1"/>
  <c r="CH69" i="29"/>
  <c r="N78" i="20" s="1"/>
  <c r="CH48" i="29"/>
  <c r="F78" i="20" s="1"/>
  <c r="CG48" i="29"/>
  <c r="CG69" i="29"/>
  <c r="CO40" i="29"/>
  <c r="CP61" i="29"/>
  <c r="N41" i="20" s="1"/>
  <c r="CO61" i="29"/>
  <c r="CP40" i="29"/>
  <c r="BR44" i="29"/>
  <c r="F57" i="20" s="1"/>
  <c r="BQ65" i="29"/>
  <c r="BQ44" i="29"/>
  <c r="BR65" i="29"/>
  <c r="N57" i="20" s="1"/>
  <c r="BI65" i="29"/>
  <c r="BJ65" i="29"/>
  <c r="N56" i="20" s="1"/>
  <c r="BJ44" i="29"/>
  <c r="F56" i="20" s="1"/>
  <c r="BI44" i="29"/>
  <c r="U40" i="29"/>
  <c r="V61" i="29"/>
  <c r="N32" i="20" s="1"/>
  <c r="V40" i="29"/>
  <c r="U61" i="29"/>
  <c r="E65" i="29"/>
  <c r="F65" i="29"/>
  <c r="N49" i="20" s="1"/>
  <c r="E44" i="29"/>
  <c r="F44" i="29"/>
  <c r="F49" i="20" s="1"/>
  <c r="DF40" i="29"/>
  <c r="DE61" i="29"/>
  <c r="DE40" i="29"/>
  <c r="DF61" i="29"/>
  <c r="N43" i="20" s="1"/>
  <c r="CG65" i="29"/>
  <c r="CH65" i="29"/>
  <c r="N59" i="20" s="1"/>
  <c r="CH44" i="29"/>
  <c r="F59" i="20" s="1"/>
  <c r="CG44" i="29"/>
  <c r="CP44" i="29"/>
  <c r="F60" i="20" s="1"/>
  <c r="CP65" i="29"/>
  <c r="N60" i="20" s="1"/>
  <c r="CO65" i="29"/>
  <c r="CO44" i="29"/>
  <c r="BR48" i="29"/>
  <c r="F76" i="20" s="1"/>
  <c r="BQ48" i="29"/>
  <c r="BQ69" i="29"/>
  <c r="BR69" i="29"/>
  <c r="N76" i="20" s="1"/>
  <c r="BI48" i="29"/>
  <c r="BI69" i="29"/>
  <c r="BJ69" i="29"/>
  <c r="N75" i="20" s="1"/>
  <c r="BJ48" i="29"/>
  <c r="F75" i="20" s="1"/>
  <c r="AT57" i="29"/>
  <c r="N16" i="20" s="1"/>
  <c r="AS36" i="29"/>
  <c r="AT36" i="29"/>
  <c r="AS57" i="29"/>
  <c r="V48" i="29"/>
  <c r="F70" i="20" s="1"/>
  <c r="V69" i="29"/>
  <c r="N70" i="20" s="1"/>
  <c r="U48" i="29"/>
  <c r="U69" i="29"/>
  <c r="E61" i="29"/>
  <c r="F61" i="29"/>
  <c r="N30" i="20" s="1"/>
  <c r="DE44" i="29"/>
  <c r="DF44" i="29"/>
  <c r="F62" i="20" s="1"/>
  <c r="DE65" i="29"/>
  <c r="DF65" i="29"/>
  <c r="N62" i="20" s="1"/>
  <c r="CG61" i="29"/>
  <c r="CH40" i="29"/>
  <c r="CG40" i="29"/>
  <c r="CH61" i="29"/>
  <c r="N40" i="20" s="1"/>
  <c r="CO69" i="29"/>
  <c r="CP48" i="29"/>
  <c r="F79" i="20" s="1"/>
  <c r="CO48" i="29"/>
  <c r="CP69" i="29"/>
  <c r="N79" i="20" s="1"/>
  <c r="BQ61" i="29"/>
  <c r="BQ40" i="29"/>
  <c r="BR61" i="29"/>
  <c r="N38" i="20" s="1"/>
  <c r="BR40" i="29"/>
  <c r="BJ61" i="29"/>
  <c r="N37" i="20" s="1"/>
  <c r="BJ40" i="29"/>
  <c r="BI40" i="29"/>
  <c r="BI61" i="29"/>
  <c r="CX65" i="29"/>
  <c r="N61" i="20" s="1"/>
  <c r="CW44" i="29"/>
  <c r="CW65" i="29"/>
  <c r="CX44" i="29"/>
  <c r="F61" i="20" s="1"/>
  <c r="U36" i="29"/>
  <c r="V36" i="29"/>
  <c r="V57" i="29"/>
  <c r="N13" i="20" s="1"/>
  <c r="U57" i="29"/>
  <c r="F69" i="29"/>
  <c r="N68" i="20" s="1"/>
  <c r="E69" i="29"/>
  <c r="F48" i="29"/>
  <c r="F68" i="20" s="1"/>
  <c r="E48" i="29"/>
  <c r="DF36" i="29"/>
  <c r="DE57" i="29"/>
  <c r="DF57" i="29"/>
  <c r="N24" i="20" s="1"/>
  <c r="DE36" i="29"/>
  <c r="CG57" i="29"/>
  <c r="CH57" i="29"/>
  <c r="N21" i="20" s="1"/>
  <c r="CG36" i="29"/>
  <c r="CH36" i="29"/>
  <c r="CO36" i="29"/>
  <c r="CO57" i="29"/>
  <c r="CP57" i="29"/>
  <c r="N22" i="20" s="1"/>
  <c r="CP36" i="29"/>
  <c r="BQ57" i="29"/>
  <c r="BQ36" i="29"/>
  <c r="BR36" i="29"/>
  <c r="BR57" i="29"/>
  <c r="N19" i="20" s="1"/>
  <c r="BI57" i="29"/>
  <c r="BJ57" i="29"/>
  <c r="N18" i="20" s="1"/>
  <c r="BJ36" i="29"/>
  <c r="BI36" i="29"/>
  <c r="BY11" i="9"/>
  <c r="BY20" i="9" s="1"/>
  <c r="BZ7" i="9"/>
  <c r="BZ8" i="9" s="1"/>
  <c r="BZ20" i="9" s="1"/>
  <c r="CW11" i="9"/>
  <c r="CW20" i="9" s="1"/>
  <c r="CX7" i="9"/>
  <c r="CX8" i="9" s="1"/>
  <c r="CX20" i="9" s="1"/>
  <c r="CG11" i="9"/>
  <c r="CG20" i="9" s="1"/>
  <c r="CH7" i="9"/>
  <c r="CH8" i="9" s="1"/>
  <c r="CH20" i="9" s="1"/>
  <c r="BQ11" i="9"/>
  <c r="BQ20" i="9" s="1"/>
  <c r="BR7" i="9"/>
  <c r="BR8" i="9" s="1"/>
  <c r="BR20" i="9" s="1"/>
  <c r="U11" i="9"/>
  <c r="U20" i="9" s="1"/>
  <c r="V7" i="9"/>
  <c r="V8" i="9" s="1"/>
  <c r="V20" i="9" s="1"/>
  <c r="CO11" i="9"/>
  <c r="CO20" i="9" s="1"/>
  <c r="CP7" i="9"/>
  <c r="CP8" i="9" s="1"/>
  <c r="CP20" i="9" s="1"/>
  <c r="AC11" i="9"/>
  <c r="AC20" i="9" s="1"/>
  <c r="AD7" i="9"/>
  <c r="AD8" i="9" s="1"/>
  <c r="AD20" i="9" s="1"/>
  <c r="DE11" i="9"/>
  <c r="DE20" i="9" s="1"/>
  <c r="DF7" i="9"/>
  <c r="DF8" i="9" s="1"/>
  <c r="DF20" i="9" s="1"/>
  <c r="BI11" i="9"/>
  <c r="BI20" i="9" s="1"/>
  <c r="BJ7" i="9"/>
  <c r="BJ8" i="9" s="1"/>
  <c r="BJ20" i="9" s="1"/>
  <c r="H9" i="11"/>
  <c r="C28" i="9"/>
  <c r="C73" i="9"/>
  <c r="C135" i="9" s="1"/>
  <c r="C43" i="9"/>
  <c r="C107" i="9" s="1"/>
  <c r="C58" i="9"/>
  <c r="M78" i="20" l="1"/>
  <c r="M77" i="20"/>
  <c r="M79" i="20"/>
  <c r="M70" i="20"/>
  <c r="M71" i="20"/>
  <c r="M80" i="20"/>
  <c r="M81" i="20"/>
  <c r="M73" i="20"/>
  <c r="M75" i="20"/>
  <c r="M68" i="20"/>
  <c r="M72" i="20"/>
  <c r="M74" i="20"/>
  <c r="M69" i="20"/>
  <c r="M76" i="20"/>
  <c r="M50" i="20"/>
  <c r="M55" i="20"/>
  <c r="M58" i="20"/>
  <c r="M53" i="20"/>
  <c r="M60" i="20"/>
  <c r="M56" i="20"/>
  <c r="M54" i="20"/>
  <c r="M51" i="20"/>
  <c r="M61" i="20"/>
  <c r="M57" i="20"/>
  <c r="M59" i="20"/>
  <c r="M52" i="20"/>
  <c r="M62" i="20"/>
  <c r="M49" i="20"/>
  <c r="M36" i="20"/>
  <c r="M31" i="20"/>
  <c r="M30" i="20"/>
  <c r="M38" i="20"/>
  <c r="M42" i="20"/>
  <c r="M34" i="20"/>
  <c r="M32" i="20"/>
  <c r="M39" i="20"/>
  <c r="M41" i="20"/>
  <c r="M40" i="20"/>
  <c r="M35" i="20"/>
  <c r="M33" i="20"/>
  <c r="M37" i="20"/>
  <c r="M43" i="20"/>
  <c r="E73" i="20"/>
  <c r="E72" i="20"/>
  <c r="E74" i="20"/>
  <c r="E69" i="20"/>
  <c r="E76" i="20"/>
  <c r="E71" i="20"/>
  <c r="E78" i="20"/>
  <c r="E77" i="20"/>
  <c r="E79" i="20"/>
  <c r="E70" i="20"/>
  <c r="E68" i="20"/>
  <c r="E80" i="20"/>
  <c r="E81" i="20"/>
  <c r="E75" i="20"/>
  <c r="E62" i="20"/>
  <c r="E50" i="20"/>
  <c r="E55" i="20"/>
  <c r="E49" i="20"/>
  <c r="E53" i="20"/>
  <c r="E60" i="20"/>
  <c r="E52" i="20"/>
  <c r="E58" i="20"/>
  <c r="E54" i="20"/>
  <c r="E51" i="20"/>
  <c r="E61" i="20"/>
  <c r="E57" i="20"/>
  <c r="E59" i="20"/>
  <c r="E56" i="20"/>
  <c r="M11" i="20"/>
  <c r="M21" i="20"/>
  <c r="M17" i="20"/>
  <c r="M12" i="20"/>
  <c r="M14" i="20"/>
  <c r="M16" i="20"/>
  <c r="M19" i="20"/>
  <c r="M18" i="20"/>
  <c r="M20" i="20"/>
  <c r="M23" i="20"/>
  <c r="M13" i="20"/>
  <c r="M15" i="20"/>
  <c r="M22" i="20"/>
  <c r="M24" i="20"/>
  <c r="BC7" i="29"/>
  <c r="CA7" i="29"/>
  <c r="O7" i="29"/>
  <c r="CY7" i="29"/>
  <c r="AM7" i="29"/>
  <c r="BK7" i="29"/>
  <c r="AU7" i="29"/>
  <c r="CI7" i="29"/>
  <c r="W7" i="29"/>
  <c r="G7" i="29"/>
  <c r="DG7" i="29"/>
  <c r="BS7" i="29"/>
  <c r="CQ7" i="29"/>
  <c r="AE7" i="29"/>
  <c r="N64" i="3"/>
  <c r="BK7" i="9"/>
  <c r="CI7" i="9"/>
  <c r="AE7" i="9"/>
  <c r="W7" i="9"/>
  <c r="CY7" i="9"/>
  <c r="DG7" i="9"/>
  <c r="AU7" i="9"/>
  <c r="CQ7" i="9"/>
  <c r="CA7" i="9"/>
  <c r="BS7" i="9"/>
  <c r="BC7" i="9"/>
  <c r="N29" i="3"/>
  <c r="N22" i="3"/>
  <c r="N50" i="3"/>
  <c r="N49" i="3"/>
  <c r="N53" i="3"/>
  <c r="N85" i="3"/>
  <c r="N95" i="3"/>
  <c r="N30" i="3"/>
  <c r="N74" i="3"/>
  <c r="N69" i="3"/>
  <c r="N86" i="3"/>
  <c r="N33" i="3"/>
  <c r="N31" i="3"/>
  <c r="N67" i="3"/>
  <c r="N94" i="3"/>
  <c r="N24" i="3"/>
  <c r="N51" i="3"/>
  <c r="N88" i="3"/>
  <c r="N72" i="3"/>
  <c r="N63" i="3"/>
  <c r="N35" i="3"/>
  <c r="N90" i="3"/>
  <c r="N34" i="3"/>
  <c r="N46" i="3"/>
  <c r="N92" i="3"/>
  <c r="N45" i="3"/>
  <c r="N73" i="3"/>
  <c r="N43" i="3"/>
  <c r="N54" i="3"/>
  <c r="N83" i="3"/>
  <c r="N32" i="3"/>
  <c r="N75" i="3"/>
  <c r="N26" i="3"/>
  <c r="N70" i="3"/>
  <c r="N82" i="3"/>
  <c r="K9" i="11"/>
  <c r="N87" i="3"/>
  <c r="N28" i="3"/>
  <c r="N93" i="3"/>
  <c r="N23" i="3"/>
  <c r="N91" i="3"/>
  <c r="N68" i="3"/>
  <c r="N55" i="3"/>
  <c r="N89" i="3"/>
  <c r="N48" i="3"/>
  <c r="N42" i="3"/>
  <c r="N44" i="3"/>
  <c r="N71" i="3"/>
  <c r="N27" i="3"/>
  <c r="N52" i="3"/>
  <c r="N66" i="3"/>
  <c r="N47" i="3"/>
  <c r="N84" i="3"/>
  <c r="N65" i="3"/>
  <c r="N25" i="3"/>
  <c r="N62" i="3"/>
  <c r="C69" i="9"/>
  <c r="C68" i="9"/>
  <c r="C54" i="9"/>
  <c r="C53" i="9"/>
  <c r="C84" i="9"/>
  <c r="C83" i="9"/>
  <c r="C39" i="9"/>
  <c r="C38" i="9"/>
  <c r="C182" i="9"/>
  <c r="C121" i="9"/>
  <c r="C131" i="9" s="1"/>
  <c r="C168" i="9"/>
  <c r="C117" i="9"/>
  <c r="C30" i="20" s="1"/>
  <c r="C196" i="9"/>
  <c r="C145" i="9"/>
  <c r="C93" i="9"/>
  <c r="C103" i="9" s="1"/>
  <c r="C154" i="9"/>
  <c r="CI15" i="29" l="1"/>
  <c r="CI27" i="29"/>
  <c r="CI23" i="29"/>
  <c r="CI19" i="29"/>
  <c r="AU19" i="29"/>
  <c r="AU27" i="29"/>
  <c r="AU23" i="29"/>
  <c r="AU15" i="29"/>
  <c r="AE15" i="29"/>
  <c r="AE23" i="29"/>
  <c r="AE27" i="29"/>
  <c r="AE19" i="29"/>
  <c r="CQ15" i="29"/>
  <c r="CQ27" i="29"/>
  <c r="CQ23" i="29"/>
  <c r="CQ19" i="29"/>
  <c r="AM15" i="29"/>
  <c r="AM19" i="29"/>
  <c r="AM23" i="29"/>
  <c r="AM27" i="29"/>
  <c r="BS27" i="29"/>
  <c r="BS15" i="29"/>
  <c r="BS23" i="29"/>
  <c r="BS19" i="29"/>
  <c r="CY19" i="29"/>
  <c r="CY15" i="29"/>
  <c r="CY23" i="29"/>
  <c r="CY27" i="29"/>
  <c r="BK15" i="29"/>
  <c r="BK19" i="29"/>
  <c r="BK27" i="29"/>
  <c r="BK23" i="29"/>
  <c r="DG19" i="29"/>
  <c r="DG15" i="29"/>
  <c r="DG23" i="29"/>
  <c r="DG27" i="29"/>
  <c r="O19" i="29"/>
  <c r="O27" i="29"/>
  <c r="O23" i="29"/>
  <c r="O15" i="29"/>
  <c r="G15" i="29"/>
  <c r="G23" i="29"/>
  <c r="G19" i="29"/>
  <c r="G40" i="29" s="1"/>
  <c r="G27" i="29"/>
  <c r="CA27" i="29"/>
  <c r="CA23" i="29"/>
  <c r="CA15" i="29"/>
  <c r="CA19" i="29"/>
  <c r="W15" i="29"/>
  <c r="W19" i="29"/>
  <c r="W27" i="29"/>
  <c r="W23" i="29"/>
  <c r="BC15" i="29"/>
  <c r="BC27" i="29"/>
  <c r="BC19" i="29"/>
  <c r="BC23" i="29"/>
  <c r="C164" i="9"/>
  <c r="K25" i="20" s="1"/>
  <c r="D31" i="11" s="1"/>
  <c r="C206" i="9"/>
  <c r="K82" i="20" s="1"/>
  <c r="D83" i="11" s="1"/>
  <c r="C178" i="9"/>
  <c r="K44" i="20" s="1"/>
  <c r="C192" i="9"/>
  <c r="K63" i="20" s="1"/>
  <c r="C25" i="20"/>
  <c r="D22" i="11" s="1"/>
  <c r="C63" i="20"/>
  <c r="C44" i="20"/>
  <c r="C82" i="20"/>
  <c r="D74" i="11" s="1"/>
  <c r="BC65" i="29" l="1"/>
  <c r="BC44" i="29"/>
  <c r="CA61" i="29"/>
  <c r="CA40" i="29"/>
  <c r="BK65" i="29"/>
  <c r="BK44" i="29"/>
  <c r="BS40" i="29"/>
  <c r="BS61" i="29"/>
  <c r="CQ61" i="29"/>
  <c r="CQ40" i="29"/>
  <c r="AU57" i="29"/>
  <c r="AU36" i="29"/>
  <c r="BC40" i="29"/>
  <c r="BC61" i="29"/>
  <c r="CA36" i="29"/>
  <c r="CA57" i="29"/>
  <c r="O65" i="29"/>
  <c r="O44" i="29"/>
  <c r="BK69" i="29"/>
  <c r="BK48" i="29"/>
  <c r="BS44" i="29"/>
  <c r="BS65" i="29"/>
  <c r="CQ44" i="29"/>
  <c r="CQ65" i="29"/>
  <c r="AU65" i="29"/>
  <c r="AU44" i="29"/>
  <c r="AU48" i="29"/>
  <c r="AU69" i="29"/>
  <c r="BC48" i="29"/>
  <c r="BC69" i="29"/>
  <c r="O48" i="29"/>
  <c r="O69" i="29"/>
  <c r="BK61" i="29"/>
  <c r="BK40" i="29"/>
  <c r="BS57" i="29"/>
  <c r="BS36" i="29"/>
  <c r="CQ48" i="29"/>
  <c r="CQ69" i="29"/>
  <c r="BC36" i="29"/>
  <c r="BC57" i="29"/>
  <c r="CA69" i="29"/>
  <c r="CA48" i="29"/>
  <c r="O61" i="29"/>
  <c r="O40" i="29"/>
  <c r="BK36" i="29"/>
  <c r="BK57" i="29"/>
  <c r="BS48" i="29"/>
  <c r="BS69" i="29"/>
  <c r="CQ36" i="29"/>
  <c r="CQ57" i="29"/>
  <c r="AU40" i="29"/>
  <c r="AU61" i="29"/>
  <c r="O36" i="29"/>
  <c r="O57" i="29"/>
  <c r="W44" i="29"/>
  <c r="W65" i="29"/>
  <c r="G69" i="29"/>
  <c r="G48" i="29"/>
  <c r="DG48" i="29"/>
  <c r="DG69" i="29"/>
  <c r="CY69" i="29"/>
  <c r="CY48" i="29"/>
  <c r="AM69" i="29"/>
  <c r="AM48" i="29"/>
  <c r="AE40" i="29"/>
  <c r="AE61" i="29"/>
  <c r="CI40" i="29"/>
  <c r="CI61" i="29"/>
  <c r="CA44" i="29"/>
  <c r="CA65" i="29"/>
  <c r="W48" i="29"/>
  <c r="W69" i="29"/>
  <c r="G61" i="29"/>
  <c r="DG65" i="29"/>
  <c r="DG44" i="29"/>
  <c r="CY44" i="29"/>
  <c r="CY65" i="29"/>
  <c r="AM44" i="29"/>
  <c r="AM65" i="29"/>
  <c r="AE48" i="29"/>
  <c r="AE69" i="29"/>
  <c r="CI44" i="29"/>
  <c r="CI65" i="29"/>
  <c r="W40" i="29"/>
  <c r="W61" i="29"/>
  <c r="G65" i="29"/>
  <c r="G44" i="29"/>
  <c r="DG57" i="29"/>
  <c r="DG36" i="29"/>
  <c r="CY36" i="29"/>
  <c r="CY57" i="29"/>
  <c r="AM61" i="29"/>
  <c r="AM40" i="29"/>
  <c r="AE44" i="29"/>
  <c r="AE65" i="29"/>
  <c r="CI69" i="29"/>
  <c r="CI48" i="29"/>
  <c r="W57" i="29"/>
  <c r="W36" i="29"/>
  <c r="G36" i="29"/>
  <c r="G57" i="29"/>
  <c r="DG40" i="29"/>
  <c r="DG61" i="29"/>
  <c r="CY40" i="29"/>
  <c r="CY61" i="29"/>
  <c r="AM36" i="29"/>
  <c r="AM57" i="29"/>
  <c r="AE36" i="29"/>
  <c r="AE57" i="29"/>
  <c r="CI57" i="29"/>
  <c r="CI36" i="29"/>
  <c r="D57" i="11"/>
  <c r="D82" i="11"/>
  <c r="D84" i="11" s="1"/>
  <c r="AF5" i="28"/>
  <c r="D48" i="11"/>
  <c r="D73" i="11"/>
  <c r="D75" i="11" s="1"/>
  <c r="C5" i="28"/>
  <c r="D58" i="11"/>
  <c r="D23" i="11"/>
  <c r="J5" i="28" s="1"/>
  <c r="D32" i="11"/>
  <c r="AM5" i="28" s="1"/>
  <c r="D49" i="11"/>
  <c r="O78" i="20" l="1"/>
  <c r="O81" i="20"/>
  <c r="O76" i="20"/>
  <c r="O74" i="20"/>
  <c r="O75" i="20"/>
  <c r="O68" i="20"/>
  <c r="O71" i="20"/>
  <c r="O69" i="20"/>
  <c r="O70" i="20"/>
  <c r="O72" i="20"/>
  <c r="O79" i="20"/>
  <c r="O77" i="20"/>
  <c r="O73" i="20"/>
  <c r="O80" i="20"/>
  <c r="O56" i="20"/>
  <c r="O59" i="20"/>
  <c r="O49" i="20"/>
  <c r="O54" i="20"/>
  <c r="O50" i="20"/>
  <c r="O62" i="20"/>
  <c r="O53" i="20"/>
  <c r="O60" i="20"/>
  <c r="O51" i="20"/>
  <c r="O52" i="20"/>
  <c r="O58" i="20"/>
  <c r="O61" i="20"/>
  <c r="O57" i="20"/>
  <c r="O55" i="20"/>
  <c r="O40" i="20"/>
  <c r="O43" i="20"/>
  <c r="O37" i="20"/>
  <c r="O33" i="20"/>
  <c r="O30" i="20"/>
  <c r="O32" i="20"/>
  <c r="O41" i="20"/>
  <c r="O39" i="20"/>
  <c r="O34" i="20"/>
  <c r="O35" i="20"/>
  <c r="O31" i="20"/>
  <c r="O36" i="20"/>
  <c r="O42" i="20"/>
  <c r="O38" i="20"/>
  <c r="G73" i="20"/>
  <c r="G75" i="20"/>
  <c r="G78" i="20"/>
  <c r="G81" i="20"/>
  <c r="G76" i="20"/>
  <c r="G74" i="20"/>
  <c r="G70" i="20"/>
  <c r="G71" i="20"/>
  <c r="G69" i="20"/>
  <c r="G68" i="20"/>
  <c r="G72" i="20"/>
  <c r="G80" i="20"/>
  <c r="G79" i="20"/>
  <c r="G77" i="20"/>
  <c r="G56" i="20"/>
  <c r="G62" i="20"/>
  <c r="G52" i="20"/>
  <c r="G49" i="20"/>
  <c r="G54" i="20"/>
  <c r="G50" i="20"/>
  <c r="G51" i="20"/>
  <c r="G53" i="20"/>
  <c r="G60" i="20"/>
  <c r="G57" i="20"/>
  <c r="G55" i="20"/>
  <c r="G59" i="20"/>
  <c r="G58" i="20"/>
  <c r="G61" i="20"/>
  <c r="O17" i="20"/>
  <c r="O21" i="20"/>
  <c r="O11" i="20"/>
  <c r="O12" i="20"/>
  <c r="O18" i="20"/>
  <c r="O16" i="20"/>
  <c r="O23" i="20"/>
  <c r="O14" i="20"/>
  <c r="O20" i="20"/>
  <c r="O15" i="20"/>
  <c r="O13" i="20"/>
  <c r="O19" i="20"/>
  <c r="O22" i="20"/>
  <c r="O24" i="20"/>
  <c r="AT5" i="28"/>
  <c r="D59" i="11"/>
  <c r="D33" i="11"/>
  <c r="D24" i="11"/>
  <c r="D50" i="11"/>
  <c r="Q5" i="28" l="1"/>
  <c r="AW55" i="26" l="1"/>
  <c r="AT55" i="26"/>
  <c r="AS55" i="26"/>
  <c r="AR55" i="26"/>
  <c r="AQ55" i="26"/>
  <c r="AP55" i="26"/>
  <c r="AO55" i="26"/>
  <c r="AN55" i="26"/>
  <c r="AM55" i="26"/>
  <c r="AL55" i="26"/>
  <c r="AV55" i="26"/>
  <c r="AU55" i="26"/>
  <c r="AK55" i="26"/>
  <c r="AX55" i="26"/>
  <c r="AT47" i="26"/>
  <c r="AS47" i="26"/>
  <c r="AR47" i="26"/>
  <c r="AQ47" i="26"/>
  <c r="AV47" i="26"/>
  <c r="AP47" i="26"/>
  <c r="AO47" i="26"/>
  <c r="AU47" i="26"/>
  <c r="AN47" i="26"/>
  <c r="AW47" i="26"/>
  <c r="AM47" i="26"/>
  <c r="AL47" i="26"/>
  <c r="AX47" i="26"/>
  <c r="AK47" i="26"/>
  <c r="AT39" i="26"/>
  <c r="AS39" i="26"/>
  <c r="AR39" i="26"/>
  <c r="AP39" i="26"/>
  <c r="AN39" i="26"/>
  <c r="AM39" i="26"/>
  <c r="AQ39" i="26"/>
  <c r="AO39" i="26"/>
  <c r="AL39" i="26"/>
  <c r="AK39" i="26"/>
  <c r="AX39" i="26"/>
  <c r="AW39" i="26"/>
  <c r="AV39" i="26"/>
  <c r="AU39" i="26"/>
  <c r="AN38" i="26"/>
  <c r="AK38" i="26"/>
  <c r="AR38" i="26"/>
  <c r="AL38" i="26"/>
  <c r="AQ38" i="26"/>
  <c r="AP38" i="26"/>
  <c r="AO38" i="26"/>
  <c r="AM38" i="26"/>
  <c r="AX38" i="26"/>
  <c r="AW38" i="26"/>
  <c r="AV38" i="26"/>
  <c r="AU38" i="26"/>
  <c r="AT38" i="26"/>
  <c r="AS38" i="26"/>
  <c r="AR31" i="26"/>
  <c r="AP31" i="26"/>
  <c r="AT31" i="26"/>
  <c r="AN31" i="26"/>
  <c r="AM31" i="26"/>
  <c r="AS31" i="26"/>
  <c r="AQ31" i="26"/>
  <c r="AO31" i="26"/>
  <c r="AL31" i="26"/>
  <c r="AK31" i="26"/>
  <c r="AX31" i="26"/>
  <c r="AW31" i="26"/>
  <c r="AV31" i="26"/>
  <c r="AU31" i="26"/>
  <c r="AR30" i="26"/>
  <c r="AQ30" i="26"/>
  <c r="AP30" i="26"/>
  <c r="AN30" i="26"/>
  <c r="AL30" i="26"/>
  <c r="AK30" i="26"/>
  <c r="AO30" i="26"/>
  <c r="AM30" i="26"/>
  <c r="AX30" i="26"/>
  <c r="AW30" i="26"/>
  <c r="AV30" i="26"/>
  <c r="AU30" i="26"/>
  <c r="AT30" i="26"/>
  <c r="AS30" i="26"/>
  <c r="AL29" i="26"/>
  <c r="AP29" i="26"/>
  <c r="AO29" i="26"/>
  <c r="AN29" i="26"/>
  <c r="AM29" i="26"/>
  <c r="AK29" i="26"/>
  <c r="AX29" i="26"/>
  <c r="AW29" i="26"/>
  <c r="AV29" i="26"/>
  <c r="AU29" i="26"/>
  <c r="AT29" i="26"/>
  <c r="AS29" i="26"/>
  <c r="AR29" i="26"/>
  <c r="AQ29" i="26"/>
  <c r="AX28" i="26"/>
  <c r="AN28" i="26"/>
  <c r="AM28" i="26"/>
  <c r="AL28" i="26"/>
  <c r="AW28" i="26"/>
  <c r="AK28" i="26"/>
  <c r="AV28" i="26"/>
  <c r="AU28" i="26"/>
  <c r="AT28" i="26"/>
  <c r="AS28" i="26"/>
  <c r="AR28" i="26"/>
  <c r="AQ28" i="26"/>
  <c r="AP28" i="26"/>
  <c r="AO28" i="26"/>
  <c r="AT23" i="26"/>
  <c r="AS23" i="26"/>
  <c r="AR23" i="26"/>
  <c r="AN23" i="26"/>
  <c r="AQ23" i="26"/>
  <c r="AP23" i="26"/>
  <c r="AO23" i="26"/>
  <c r="AM23" i="26"/>
  <c r="AL23" i="26"/>
  <c r="AK23" i="26"/>
  <c r="AX23" i="26"/>
  <c r="AW23" i="26"/>
  <c r="AV23" i="26"/>
  <c r="AU23" i="26"/>
  <c r="AR22" i="26"/>
  <c r="AQ22" i="26"/>
  <c r="AP22" i="26"/>
  <c r="AL22" i="26"/>
  <c r="AO22" i="26"/>
  <c r="AN22" i="26"/>
  <c r="AM22" i="26"/>
  <c r="AK22" i="26"/>
  <c r="AX22" i="26"/>
  <c r="AW22" i="26"/>
  <c r="AV22" i="26"/>
  <c r="AU22" i="26"/>
  <c r="AT22" i="26"/>
  <c r="AS22" i="26"/>
  <c r="AP21" i="26"/>
  <c r="AO21" i="26"/>
  <c r="AN21" i="26"/>
  <c r="AM21" i="26"/>
  <c r="AL21" i="26"/>
  <c r="AK21" i="26"/>
  <c r="AX21" i="26"/>
  <c r="AW21" i="26"/>
  <c r="AV21" i="26"/>
  <c r="AU21" i="26"/>
  <c r="AT21" i="26"/>
  <c r="AS21" i="26"/>
  <c r="AR21" i="26"/>
  <c r="AQ21" i="26"/>
  <c r="AN20" i="26"/>
  <c r="AM20" i="26"/>
  <c r="AL20" i="26"/>
  <c r="AX20" i="26"/>
  <c r="AK20" i="26"/>
  <c r="AW20" i="26"/>
  <c r="AV20" i="26"/>
  <c r="AU20" i="26"/>
  <c r="AT20" i="26"/>
  <c r="AS20" i="26"/>
  <c r="AR20" i="26"/>
  <c r="AQ20" i="26"/>
  <c r="AP20" i="26"/>
  <c r="AO20" i="26"/>
  <c r="AN15" i="26"/>
  <c r="AT15" i="26"/>
  <c r="AS15" i="26"/>
  <c r="AR15" i="26"/>
  <c r="AQ15" i="26"/>
  <c r="AP15" i="26"/>
  <c r="AO15" i="26"/>
  <c r="AM15" i="26"/>
  <c r="AL15" i="26"/>
  <c r="AK15" i="26"/>
  <c r="AX15" i="26"/>
  <c r="AW15" i="26"/>
  <c r="AV15" i="26"/>
  <c r="AU15" i="26"/>
  <c r="AL14" i="26"/>
  <c r="AQ14" i="26"/>
  <c r="AR14" i="26"/>
  <c r="AP14" i="26"/>
  <c r="AO14" i="26"/>
  <c r="AN14" i="26"/>
  <c r="AM14" i="26"/>
  <c r="AK14" i="26"/>
  <c r="AX14" i="26"/>
  <c r="AW14" i="26"/>
  <c r="AV14" i="26"/>
  <c r="AU14" i="26"/>
  <c r="AT14" i="26"/>
  <c r="AS14" i="26"/>
  <c r="AP13" i="26"/>
  <c r="AO13" i="26"/>
  <c r="AN13" i="26"/>
  <c r="AM13" i="26"/>
  <c r="AL13" i="26"/>
  <c r="AK13" i="26"/>
  <c r="AX13" i="26"/>
  <c r="AW13" i="26"/>
  <c r="AV13" i="26"/>
  <c r="AU13" i="26"/>
  <c r="AT13" i="26"/>
  <c r="AS13" i="26"/>
  <c r="AR13" i="26"/>
  <c r="AQ13" i="26"/>
  <c r="AX12" i="26"/>
  <c r="AN12" i="26"/>
  <c r="AM12" i="26"/>
  <c r="AL12" i="26"/>
  <c r="AK12" i="26"/>
  <c r="AW12" i="26"/>
  <c r="AV12" i="26"/>
  <c r="AU12" i="26"/>
  <c r="AT12" i="26"/>
  <c r="AS12" i="26"/>
  <c r="AR12" i="26"/>
  <c r="AQ12" i="26"/>
  <c r="AP12" i="26"/>
  <c r="AO12" i="26"/>
  <c r="AX58" i="26"/>
  <c r="AW58" i="26"/>
  <c r="AM58" i="26"/>
  <c r="AV58" i="26"/>
  <c r="AU58" i="26"/>
  <c r="AT58" i="26"/>
  <c r="AS58" i="26"/>
  <c r="AR58" i="26"/>
  <c r="AQ58" i="26"/>
  <c r="AL58" i="26"/>
  <c r="AK58" i="26"/>
  <c r="AP58" i="26"/>
  <c r="AO58" i="26"/>
  <c r="AN58" i="26"/>
  <c r="AX57" i="26"/>
  <c r="AW57" i="26"/>
  <c r="AV57" i="26"/>
  <c r="AU57" i="26"/>
  <c r="AT57" i="26"/>
  <c r="AK57" i="26"/>
  <c r="AS57" i="26"/>
  <c r="AR57" i="26"/>
  <c r="AQ57" i="26"/>
  <c r="AP57" i="26"/>
  <c r="AO57" i="26"/>
  <c r="AN57" i="26"/>
  <c r="AM57" i="26"/>
  <c r="AL57" i="26"/>
  <c r="AV56" i="26"/>
  <c r="AU56" i="26"/>
  <c r="AT56" i="26"/>
  <c r="AS56" i="26"/>
  <c r="AX56" i="26"/>
  <c r="AR56" i="26"/>
  <c r="AQ56" i="26"/>
  <c r="AW56" i="26"/>
  <c r="AP56" i="26"/>
  <c r="AO56" i="26"/>
  <c r="AN56" i="26"/>
  <c r="AM56" i="26"/>
  <c r="AL56" i="26"/>
  <c r="AK56" i="26"/>
  <c r="AU54" i="26"/>
  <c r="AR54" i="26"/>
  <c r="AQ54" i="26"/>
  <c r="AP54" i="26"/>
  <c r="AO54" i="26"/>
  <c r="AN54" i="26"/>
  <c r="AT54" i="26"/>
  <c r="AM54" i="26"/>
  <c r="AL54" i="26"/>
  <c r="AK54" i="26"/>
  <c r="AX54" i="26"/>
  <c r="AS54" i="26"/>
  <c r="AW54" i="26"/>
  <c r="AV54" i="26"/>
  <c r="AP53" i="26"/>
  <c r="AO53" i="26"/>
  <c r="AR53" i="26"/>
  <c r="AN53" i="26"/>
  <c r="AM53" i="26"/>
  <c r="AL53" i="26"/>
  <c r="AK53" i="26"/>
  <c r="AX53" i="26"/>
  <c r="AW53" i="26"/>
  <c r="AQ53" i="26"/>
  <c r="AV53" i="26"/>
  <c r="AU53" i="26"/>
  <c r="AS53" i="26"/>
  <c r="AT53" i="26"/>
  <c r="AN52" i="26"/>
  <c r="AP52" i="26"/>
  <c r="AM52" i="26"/>
  <c r="AL52" i="26"/>
  <c r="AK52" i="26"/>
  <c r="AO52" i="26"/>
  <c r="AX52" i="26"/>
  <c r="AW52" i="26"/>
  <c r="AV52" i="26"/>
  <c r="AU52" i="26"/>
  <c r="AQ52" i="26"/>
  <c r="AT52" i="26"/>
  <c r="AS52" i="26"/>
  <c r="AR52" i="26"/>
  <c r="AL51" i="26"/>
  <c r="AK51" i="26"/>
  <c r="AX51" i="26"/>
  <c r="AW51" i="26"/>
  <c r="AV51" i="26"/>
  <c r="AU51" i="26"/>
  <c r="AM51" i="26"/>
  <c r="AT51" i="26"/>
  <c r="AO51" i="26"/>
  <c r="AS51" i="26"/>
  <c r="AR51" i="26"/>
  <c r="AQ51" i="26"/>
  <c r="AN51" i="26"/>
  <c r="AP51" i="26"/>
  <c r="AX50" i="26"/>
  <c r="AW50" i="26"/>
  <c r="AV50" i="26"/>
  <c r="AU50" i="26"/>
  <c r="AT50" i="26"/>
  <c r="AS50" i="26"/>
  <c r="AL50" i="26"/>
  <c r="AR50" i="26"/>
  <c r="AK50" i="26"/>
  <c r="AQ50" i="26"/>
  <c r="AP50" i="26"/>
  <c r="AM50" i="26"/>
  <c r="AO50" i="26"/>
  <c r="AN50" i="26"/>
  <c r="AX49" i="26"/>
  <c r="AW49" i="26"/>
  <c r="AK49" i="26"/>
  <c r="AV49" i="26"/>
  <c r="AU49" i="26"/>
  <c r="AT49" i="26"/>
  <c r="AS49" i="26"/>
  <c r="AR49" i="26"/>
  <c r="AQ49" i="26"/>
  <c r="AP49" i="26"/>
  <c r="AO49" i="26"/>
  <c r="AN49" i="26"/>
  <c r="AM49" i="26"/>
  <c r="AL49" i="26"/>
  <c r="AX48" i="26"/>
  <c r="AW48" i="26"/>
  <c r="AV48" i="26"/>
  <c r="AU48" i="26"/>
  <c r="AT48" i="26"/>
  <c r="AS48" i="26"/>
  <c r="AR48" i="26"/>
  <c r="AQ48" i="26"/>
  <c r="AP48" i="26"/>
  <c r="AO48" i="26"/>
  <c r="AN48" i="26"/>
  <c r="AM48" i="26"/>
  <c r="AL48" i="26"/>
  <c r="AK48" i="26"/>
  <c r="AQ46" i="26"/>
  <c r="AS46" i="26"/>
  <c r="AP46" i="26"/>
  <c r="AR46" i="26"/>
  <c r="AO46" i="26"/>
  <c r="AN46" i="26"/>
  <c r="AT46" i="26"/>
  <c r="AM46" i="26"/>
  <c r="AL46" i="26"/>
  <c r="AK46" i="26"/>
  <c r="AX46" i="26"/>
  <c r="AW46" i="26"/>
  <c r="AV46" i="26"/>
  <c r="AU46" i="26"/>
  <c r="AN45" i="26"/>
  <c r="AO45" i="26"/>
  <c r="AL45" i="26"/>
  <c r="AP45" i="26"/>
  <c r="AK45" i="26"/>
  <c r="AX45" i="26"/>
  <c r="AV45" i="26"/>
  <c r="AU45" i="26"/>
  <c r="AQ45" i="26"/>
  <c r="AT45" i="26"/>
  <c r="AS45" i="26"/>
  <c r="AR45" i="26"/>
  <c r="AM45" i="26"/>
  <c r="AW45" i="26"/>
  <c r="AX44" i="26"/>
  <c r="AW44" i="26"/>
  <c r="AV44" i="26"/>
  <c r="AT44" i="26"/>
  <c r="AS44" i="26"/>
  <c r="AM44" i="26"/>
  <c r="AR44" i="26"/>
  <c r="AL44" i="26"/>
  <c r="AQ44" i="26"/>
  <c r="AP44" i="26"/>
  <c r="AO44" i="26"/>
  <c r="AN44" i="26"/>
  <c r="AK44" i="26"/>
  <c r="AU44" i="26"/>
  <c r="AW43" i="26"/>
  <c r="AV43" i="26"/>
  <c r="AU43" i="26"/>
  <c r="AT43" i="26"/>
  <c r="AR43" i="26"/>
  <c r="AX43" i="26"/>
  <c r="AQ43" i="26"/>
  <c r="AP43" i="26"/>
  <c r="AO43" i="26"/>
  <c r="AN43" i="26"/>
  <c r="AM43" i="26"/>
  <c r="AL43" i="26"/>
  <c r="AK43" i="26"/>
  <c r="AS43" i="26"/>
  <c r="AS42" i="26"/>
  <c r="AP42" i="26"/>
  <c r="AO42" i="26"/>
  <c r="AN42" i="26"/>
  <c r="AM42" i="26"/>
  <c r="AU42" i="26"/>
  <c r="AL42" i="26"/>
  <c r="AV42" i="26"/>
  <c r="AK42" i="26"/>
  <c r="AT42" i="26"/>
  <c r="AX42" i="26"/>
  <c r="AW42" i="26"/>
  <c r="AR42" i="26"/>
  <c r="AQ42" i="26"/>
  <c r="AX41" i="26"/>
  <c r="AW41" i="26"/>
  <c r="AQ41" i="26"/>
  <c r="AV41" i="26"/>
  <c r="AT41" i="26"/>
  <c r="AS41" i="26"/>
  <c r="AR41" i="26"/>
  <c r="AU41" i="26"/>
  <c r="AP41" i="26"/>
  <c r="AO41" i="26"/>
  <c r="AN41" i="26"/>
  <c r="AM41" i="26"/>
  <c r="AL41" i="26"/>
  <c r="AK41" i="26"/>
  <c r="AT40" i="26"/>
  <c r="AR40" i="26"/>
  <c r="AP40" i="26"/>
  <c r="AU40" i="26"/>
  <c r="AO40" i="26"/>
  <c r="AV40" i="26"/>
  <c r="AS40" i="26"/>
  <c r="AQ40" i="26"/>
  <c r="AN40" i="26"/>
  <c r="AM40" i="26"/>
  <c r="AL40" i="26"/>
  <c r="AK40" i="26"/>
  <c r="AX40" i="26"/>
  <c r="AW40" i="26"/>
  <c r="AP37" i="26"/>
  <c r="AO37" i="26"/>
  <c r="AN37" i="26"/>
  <c r="AL37" i="26"/>
  <c r="AM37" i="26"/>
  <c r="AK37" i="26"/>
  <c r="AX37" i="26"/>
  <c r="AW37" i="26"/>
  <c r="AV37" i="26"/>
  <c r="AU37" i="26"/>
  <c r="AT37" i="26"/>
  <c r="AS37" i="26"/>
  <c r="AR37" i="26"/>
  <c r="AQ37" i="26"/>
  <c r="AX36" i="26"/>
  <c r="AW36" i="26"/>
  <c r="AN36" i="26"/>
  <c r="AM36" i="26"/>
  <c r="AL36" i="26"/>
  <c r="AK36" i="26"/>
  <c r="AV36" i="26"/>
  <c r="AU36" i="26"/>
  <c r="AT36" i="26"/>
  <c r="AS36" i="26"/>
  <c r="AR36" i="26"/>
  <c r="AQ36" i="26"/>
  <c r="AP36" i="26"/>
  <c r="AO36" i="26"/>
  <c r="AX35" i="26"/>
  <c r="AV35" i="26"/>
  <c r="AU35" i="26"/>
  <c r="AK35" i="26"/>
  <c r="AL35" i="26"/>
  <c r="AW35" i="26"/>
  <c r="AT35" i="26"/>
  <c r="AS35" i="26"/>
  <c r="AR35" i="26"/>
  <c r="AQ35" i="26"/>
  <c r="AP35" i="26"/>
  <c r="AO35" i="26"/>
  <c r="AN35" i="26"/>
  <c r="AM35" i="26"/>
  <c r="AT34" i="26"/>
  <c r="AX34" i="26"/>
  <c r="AS34" i="26"/>
  <c r="AV34" i="26"/>
  <c r="AW34" i="26"/>
  <c r="AU34" i="26"/>
  <c r="AR34" i="26"/>
  <c r="AQ34" i="26"/>
  <c r="AP34" i="26"/>
  <c r="AO34" i="26"/>
  <c r="AN34" i="26"/>
  <c r="AM34" i="26"/>
  <c r="AL34" i="26"/>
  <c r="AK34" i="26"/>
  <c r="AX33" i="26"/>
  <c r="AW33" i="26"/>
  <c r="AV33" i="26"/>
  <c r="AT33" i="26"/>
  <c r="AR33" i="26"/>
  <c r="AQ33" i="26"/>
  <c r="AU33" i="26"/>
  <c r="AS33" i="26"/>
  <c r="AP33" i="26"/>
  <c r="AO33" i="26"/>
  <c r="AN33" i="26"/>
  <c r="AM33" i="26"/>
  <c r="AL33" i="26"/>
  <c r="AK33" i="26"/>
  <c r="AV32" i="26"/>
  <c r="AU32" i="26"/>
  <c r="AT32" i="26"/>
  <c r="AO32" i="26"/>
  <c r="AR32" i="26"/>
  <c r="AP32" i="26"/>
  <c r="AS32" i="26"/>
  <c r="AQ32" i="26"/>
  <c r="AN32" i="26"/>
  <c r="AM32" i="26"/>
  <c r="AL32" i="26"/>
  <c r="AK32" i="26"/>
  <c r="AX32" i="26"/>
  <c r="AW32" i="26"/>
  <c r="AV27" i="26"/>
  <c r="AU27" i="26"/>
  <c r="AL27" i="26"/>
  <c r="AK27" i="26"/>
  <c r="AX27" i="26"/>
  <c r="AW27" i="26"/>
  <c r="AT27" i="26"/>
  <c r="AS27" i="26"/>
  <c r="AR27" i="26"/>
  <c r="AQ27" i="26"/>
  <c r="AP27" i="26"/>
  <c r="AO27" i="26"/>
  <c r="AN27" i="26"/>
  <c r="AM27" i="26"/>
  <c r="AX26" i="26"/>
  <c r="AT26" i="26"/>
  <c r="AW26" i="26"/>
  <c r="AV26" i="26"/>
  <c r="AU26" i="26"/>
  <c r="AS26" i="26"/>
  <c r="AR26" i="26"/>
  <c r="AQ26" i="26"/>
  <c r="AP26" i="26"/>
  <c r="AO26" i="26"/>
  <c r="AN26" i="26"/>
  <c r="AM26" i="26"/>
  <c r="AL26" i="26"/>
  <c r="AK26" i="26"/>
  <c r="AX25" i="26"/>
  <c r="AW25" i="26"/>
  <c r="AV25" i="26"/>
  <c r="AR25" i="26"/>
  <c r="AU25" i="26"/>
  <c r="AT25" i="26"/>
  <c r="AS25" i="26"/>
  <c r="AQ25" i="26"/>
  <c r="AP25" i="26"/>
  <c r="AO25" i="26"/>
  <c r="AN25" i="26"/>
  <c r="AM25" i="26"/>
  <c r="AL25" i="26"/>
  <c r="AK25" i="26"/>
  <c r="AT24" i="26"/>
  <c r="AP24" i="26"/>
  <c r="AV24" i="26"/>
  <c r="AU24" i="26"/>
  <c r="AS24" i="26"/>
  <c r="AR24" i="26"/>
  <c r="AQ24" i="26"/>
  <c r="AO24" i="26"/>
  <c r="AN24" i="26"/>
  <c r="AM24" i="26"/>
  <c r="AL24" i="26"/>
  <c r="AK24" i="26"/>
  <c r="AX24" i="26"/>
  <c r="AW24" i="26"/>
  <c r="AV19" i="26"/>
  <c r="AL19" i="26"/>
  <c r="AK19" i="26"/>
  <c r="AX19" i="26"/>
  <c r="AW19" i="26"/>
  <c r="AU19" i="26"/>
  <c r="AT19" i="26"/>
  <c r="AS19" i="26"/>
  <c r="AR19" i="26"/>
  <c r="AQ19" i="26"/>
  <c r="AP19" i="26"/>
  <c r="AO19" i="26"/>
  <c r="AN19" i="26"/>
  <c r="AM19" i="26"/>
  <c r="AX18" i="26"/>
  <c r="AT18" i="26"/>
  <c r="AW18" i="26"/>
  <c r="AV18" i="26"/>
  <c r="AU18" i="26"/>
  <c r="AS18" i="26"/>
  <c r="AR18" i="26"/>
  <c r="AQ18" i="26"/>
  <c r="AP18" i="26"/>
  <c r="AO18" i="26"/>
  <c r="AN18" i="26"/>
  <c r="AM18" i="26"/>
  <c r="AL18" i="26"/>
  <c r="AK18" i="26"/>
  <c r="AX17" i="26"/>
  <c r="AW17" i="26"/>
  <c r="AR17" i="26"/>
  <c r="AV17" i="26"/>
  <c r="AU17" i="26"/>
  <c r="AT17" i="26"/>
  <c r="AS17" i="26"/>
  <c r="AQ17" i="26"/>
  <c r="AP17" i="26"/>
  <c r="AO17" i="26"/>
  <c r="AN17" i="26"/>
  <c r="AM17" i="26"/>
  <c r="AL17" i="26"/>
  <c r="AK17" i="26"/>
  <c r="AV16" i="26"/>
  <c r="AU16" i="26"/>
  <c r="AP16" i="26"/>
  <c r="AT16" i="26"/>
  <c r="AS16" i="26"/>
  <c r="AR16" i="26"/>
  <c r="AQ16" i="26"/>
  <c r="AO16" i="26"/>
  <c r="AN16" i="26"/>
  <c r="AM16" i="26"/>
  <c r="AL16" i="26"/>
  <c r="AK16" i="26"/>
  <c r="AX16" i="26"/>
  <c r="AW16" i="26"/>
  <c r="AV11" i="26"/>
  <c r="AL11" i="26"/>
  <c r="AK11" i="26"/>
  <c r="AX11" i="26"/>
  <c r="AW11" i="26"/>
  <c r="AU11" i="26"/>
  <c r="AT11" i="26"/>
  <c r="AS11" i="26"/>
  <c r="AR11" i="26"/>
  <c r="AQ11" i="26"/>
  <c r="AP11" i="26"/>
  <c r="AO11" i="26"/>
  <c r="AN11" i="26"/>
  <c r="AM11" i="26"/>
  <c r="Y68" i="15" l="1"/>
  <c r="Y67" i="15"/>
  <c r="AA66" i="15"/>
  <c r="T66" i="15" s="1"/>
  <c r="AB79" i="15"/>
  <c r="Y66" i="15"/>
  <c r="R66" i="15" s="1"/>
  <c r="Y79" i="15"/>
  <c r="Y78" i="15"/>
  <c r="AA67" i="15"/>
  <c r="AB67" i="15"/>
  <c r="AA76" i="15"/>
  <c r="AA78" i="15"/>
  <c r="Y70" i="15"/>
  <c r="R70" i="15" s="1"/>
  <c r="Y65" i="15"/>
  <c r="R65" i="15" s="1"/>
  <c r="Y75" i="15"/>
  <c r="AA75" i="15"/>
  <c r="AB77" i="15"/>
  <c r="Z71" i="15"/>
  <c r="AA65" i="15"/>
  <c r="T65" i="15" s="1"/>
  <c r="AB65" i="15"/>
  <c r="U65" i="15" s="1"/>
  <c r="Z72" i="15"/>
  <c r="AB66" i="15"/>
  <c r="U66" i="15" s="1"/>
  <c r="K19" i="9" s="1"/>
  <c r="Z73" i="15"/>
  <c r="Y77" i="15"/>
  <c r="AA68" i="15"/>
  <c r="AB75" i="15"/>
  <c r="AA70" i="15"/>
  <c r="T70" i="15" s="1"/>
  <c r="AB68" i="15"/>
  <c r="Z74" i="15"/>
  <c r="AA71" i="15"/>
  <c r="AB70" i="15"/>
  <c r="U70" i="15" s="1"/>
  <c r="Z75" i="15"/>
  <c r="AA72" i="15"/>
  <c r="AB73" i="15"/>
  <c r="Z76" i="15"/>
  <c r="AA73" i="15"/>
  <c r="AB71" i="15"/>
  <c r="Z77" i="15"/>
  <c r="AB74" i="15"/>
  <c r="Z78" i="15"/>
  <c r="AB72" i="15"/>
  <c r="Z79" i="15"/>
  <c r="Y71" i="15"/>
  <c r="AA77" i="15"/>
  <c r="Z65" i="15"/>
  <c r="S65" i="15" s="1"/>
  <c r="Y72" i="15"/>
  <c r="Y73" i="15"/>
  <c r="AA74" i="15"/>
  <c r="Z67" i="15"/>
  <c r="Y74" i="15"/>
  <c r="AA79" i="15"/>
  <c r="AB76" i="15"/>
  <c r="Z68" i="15"/>
  <c r="Z70" i="15"/>
  <c r="S70" i="15" s="1"/>
  <c r="Y76" i="15"/>
  <c r="AB78" i="15"/>
  <c r="Z66" i="15"/>
  <c r="S66" i="15" s="1"/>
  <c r="K8" i="9" l="1"/>
  <c r="N10" i="9"/>
  <c r="K13" i="9"/>
  <c r="L13" i="9"/>
  <c r="M13" i="9"/>
  <c r="K16" i="9"/>
  <c r="L16" i="9"/>
  <c r="AL10" i="9"/>
  <c r="AI8" i="9"/>
  <c r="AI10" i="9"/>
  <c r="V66" i="15"/>
  <c r="V65" i="15"/>
  <c r="V70" i="15"/>
  <c r="C18" i="9"/>
  <c r="C12" i="9"/>
  <c r="C15" i="9"/>
  <c r="C8" i="9"/>
  <c r="AR28" i="9"/>
  <c r="W43" i="9"/>
  <c r="CQ73" i="9"/>
  <c r="CY43" i="9"/>
  <c r="CA43" i="9"/>
  <c r="AS28" i="9"/>
  <c r="AU29" i="9"/>
  <c r="DG28" i="9"/>
  <c r="BS73" i="9"/>
  <c r="AT28" i="9"/>
  <c r="AE28" i="9"/>
  <c r="CI28" i="9"/>
  <c r="BC58" i="9"/>
  <c r="BK28" i="9"/>
  <c r="AJ7" i="9" l="1"/>
  <c r="AJ8" i="9" s="1"/>
  <c r="AJ11" i="9" s="1"/>
  <c r="K10" i="9"/>
  <c r="L7" i="9" s="1"/>
  <c r="AJ10" i="9"/>
  <c r="L10" i="9"/>
  <c r="K11" i="9"/>
  <c r="K14" i="9" s="1"/>
  <c r="K17" i="9" s="1"/>
  <c r="O28" i="9" s="1"/>
  <c r="O154" i="9" s="1"/>
  <c r="K52" i="15"/>
  <c r="K53" i="15"/>
  <c r="AI11" i="9"/>
  <c r="AI13" i="9" s="1"/>
  <c r="C10" i="9"/>
  <c r="D7" i="9" s="1"/>
  <c r="C11" i="9"/>
  <c r="E43" i="9" s="1"/>
  <c r="O44" i="9"/>
  <c r="CY73" i="9"/>
  <c r="CY196" i="9" s="1"/>
  <c r="CY28" i="9"/>
  <c r="CY93" i="9" s="1"/>
  <c r="CY58" i="9"/>
  <c r="CY121" i="9" s="1"/>
  <c r="BK43" i="9"/>
  <c r="BK107" i="9" s="1"/>
  <c r="BK73" i="9"/>
  <c r="BK135" i="9" s="1"/>
  <c r="DG73" i="9"/>
  <c r="DG196" i="9" s="1"/>
  <c r="BK58" i="9"/>
  <c r="BK182" i="9" s="1"/>
  <c r="DG43" i="9"/>
  <c r="DG107" i="9" s="1"/>
  <c r="DG58" i="9"/>
  <c r="DG121" i="9" s="1"/>
  <c r="CI58" i="9"/>
  <c r="CI121" i="9" s="1"/>
  <c r="W28" i="9"/>
  <c r="W154" i="9" s="1"/>
  <c r="CI43" i="9"/>
  <c r="CI168" i="9" s="1"/>
  <c r="W58" i="9"/>
  <c r="W182" i="9" s="1"/>
  <c r="CI73" i="9"/>
  <c r="CI135" i="9" s="1"/>
  <c r="CQ43" i="9"/>
  <c r="CQ107" i="9" s="1"/>
  <c r="CQ28" i="9"/>
  <c r="CQ93" i="9" s="1"/>
  <c r="CQ58" i="9"/>
  <c r="CQ121" i="9" s="1"/>
  <c r="W73" i="9"/>
  <c r="W196" i="9" s="1"/>
  <c r="CA58" i="9"/>
  <c r="CA182" i="9" s="1"/>
  <c r="AE43" i="9"/>
  <c r="AE168" i="9" s="1"/>
  <c r="CA73" i="9"/>
  <c r="CA196" i="9" s="1"/>
  <c r="AE73" i="9"/>
  <c r="AE196" i="9" s="1"/>
  <c r="CA28" i="9"/>
  <c r="CA154" i="9" s="1"/>
  <c r="BS28" i="9"/>
  <c r="BS154" i="9" s="1"/>
  <c r="BC28" i="9"/>
  <c r="BC154" i="9" s="1"/>
  <c r="AE58" i="9"/>
  <c r="AE121" i="9" s="1"/>
  <c r="BS58" i="9"/>
  <c r="BS182" i="9" s="1"/>
  <c r="BC43" i="9"/>
  <c r="BC107" i="9" s="1"/>
  <c r="BS43" i="9"/>
  <c r="BS107" i="9" s="1"/>
  <c r="BC73" i="9"/>
  <c r="BC196" i="9" s="1"/>
  <c r="AJ43" i="9"/>
  <c r="CH45" i="9"/>
  <c r="CX30" i="9"/>
  <c r="CY45" i="9"/>
  <c r="DG30" i="9"/>
  <c r="CP45" i="9"/>
  <c r="BZ45" i="9"/>
  <c r="CA45" i="9"/>
  <c r="BR75" i="9"/>
  <c r="BJ75" i="9"/>
  <c r="BK60" i="9"/>
  <c r="BB45" i="9"/>
  <c r="BC75" i="9"/>
  <c r="AU73" i="9"/>
  <c r="CV60" i="9"/>
  <c r="CV75" i="9"/>
  <c r="CV30" i="9"/>
  <c r="CV45" i="9"/>
  <c r="DD60" i="9"/>
  <c r="DD75" i="9"/>
  <c r="DD30" i="9"/>
  <c r="DD45" i="9"/>
  <c r="CN30" i="9"/>
  <c r="CN75" i="9"/>
  <c r="CN45" i="9"/>
  <c r="CN60" i="9"/>
  <c r="CF30" i="9"/>
  <c r="CF75" i="9"/>
  <c r="CF60" i="9"/>
  <c r="CF45" i="9"/>
  <c r="BP75" i="9"/>
  <c r="BP30" i="9"/>
  <c r="BP45" i="9"/>
  <c r="BP60" i="9"/>
  <c r="BX75" i="9"/>
  <c r="BX45" i="9"/>
  <c r="BX30" i="9"/>
  <c r="BX60" i="9"/>
  <c r="AU58" i="9"/>
  <c r="AU43" i="9"/>
  <c r="AB45" i="9"/>
  <c r="AB30" i="9"/>
  <c r="AB60" i="9"/>
  <c r="AB75" i="9"/>
  <c r="T75" i="9"/>
  <c r="T30" i="9"/>
  <c r="T60" i="9"/>
  <c r="T45" i="9"/>
  <c r="AU28" i="9"/>
  <c r="BH75" i="9"/>
  <c r="BH60" i="9"/>
  <c r="BH30" i="9"/>
  <c r="BH45" i="9"/>
  <c r="AZ45" i="9"/>
  <c r="AZ30" i="9"/>
  <c r="AZ60" i="9"/>
  <c r="AZ75" i="9"/>
  <c r="AU94" i="9"/>
  <c r="CQ135" i="9"/>
  <c r="CQ196" i="9"/>
  <c r="BS135" i="9"/>
  <c r="BS196" i="9"/>
  <c r="BC121" i="9"/>
  <c r="BC182" i="9"/>
  <c r="CA168" i="9"/>
  <c r="CA107" i="9"/>
  <c r="CY107" i="9"/>
  <c r="CY168" i="9"/>
  <c r="CI154" i="9"/>
  <c r="CI93" i="9"/>
  <c r="AS154" i="9"/>
  <c r="AS93" i="9"/>
  <c r="BK93" i="9"/>
  <c r="BK154" i="9"/>
  <c r="AT93" i="9"/>
  <c r="AT154" i="9"/>
  <c r="AR93" i="9"/>
  <c r="AR154" i="9"/>
  <c r="DG154" i="9"/>
  <c r="DG93" i="9"/>
  <c r="W168" i="9"/>
  <c r="W107" i="9"/>
  <c r="AE154" i="9"/>
  <c r="AE93" i="9"/>
  <c r="BR43" i="9"/>
  <c r="BR28" i="9"/>
  <c r="BR73" i="9"/>
  <c r="BR58" i="9"/>
  <c r="BH58" i="9"/>
  <c r="BH43" i="9"/>
  <c r="BH73" i="9"/>
  <c r="BH28" i="9"/>
  <c r="CW73" i="9"/>
  <c r="CW43" i="9"/>
  <c r="CW28" i="9"/>
  <c r="CW58" i="9"/>
  <c r="BA58" i="9"/>
  <c r="BA28" i="9"/>
  <c r="BA73" i="9"/>
  <c r="BA43" i="9"/>
  <c r="CP58" i="9"/>
  <c r="CP43" i="9"/>
  <c r="CP28" i="9"/>
  <c r="CP73" i="9"/>
  <c r="CQ44" i="9"/>
  <c r="CQ29" i="9"/>
  <c r="CQ74" i="9"/>
  <c r="CQ59" i="9"/>
  <c r="BC74" i="9"/>
  <c r="BC44" i="9"/>
  <c r="BC59" i="9"/>
  <c r="BC29" i="9"/>
  <c r="DE43" i="9"/>
  <c r="DE73" i="9"/>
  <c r="DE58" i="9"/>
  <c r="DE28" i="9"/>
  <c r="CN58" i="9"/>
  <c r="CN43" i="9"/>
  <c r="CN28" i="9"/>
  <c r="CN73" i="9"/>
  <c r="BS74" i="9"/>
  <c r="BS59" i="9"/>
  <c r="BS44" i="9"/>
  <c r="BS29" i="9"/>
  <c r="BY73" i="9"/>
  <c r="BY58" i="9"/>
  <c r="BY43" i="9"/>
  <c r="BY28" i="9"/>
  <c r="BP43" i="9"/>
  <c r="BP28" i="9"/>
  <c r="BP73" i="9"/>
  <c r="BP58" i="9"/>
  <c r="CX73" i="9"/>
  <c r="CX43" i="9"/>
  <c r="CX28" i="9"/>
  <c r="CX58" i="9"/>
  <c r="BB28" i="9"/>
  <c r="BB73" i="9"/>
  <c r="BB58" i="9"/>
  <c r="BB43" i="9"/>
  <c r="CO58" i="9"/>
  <c r="CO43" i="9"/>
  <c r="CO73" i="9"/>
  <c r="CO28" i="9"/>
  <c r="CY59" i="9"/>
  <c r="CY74" i="9"/>
  <c r="CY29" i="9"/>
  <c r="CY44" i="9"/>
  <c r="AZ58" i="9"/>
  <c r="AZ28" i="9"/>
  <c r="AZ73" i="9"/>
  <c r="AZ43" i="9"/>
  <c r="CV73" i="9"/>
  <c r="CV43" i="9"/>
  <c r="CV28" i="9"/>
  <c r="CV58" i="9"/>
  <c r="CA44" i="9"/>
  <c r="CA29" i="9"/>
  <c r="CA59" i="9"/>
  <c r="CA74" i="9"/>
  <c r="BJ43" i="9"/>
  <c r="BJ73" i="9"/>
  <c r="BJ28" i="9"/>
  <c r="BJ58" i="9"/>
  <c r="BZ58" i="9"/>
  <c r="BZ73" i="9"/>
  <c r="BZ43" i="9"/>
  <c r="BZ28" i="9"/>
  <c r="BK74" i="9"/>
  <c r="BK29" i="9"/>
  <c r="BK59" i="9"/>
  <c r="BK44" i="9"/>
  <c r="CH43" i="9"/>
  <c r="CH28" i="9"/>
  <c r="CH73" i="9"/>
  <c r="CH58" i="9"/>
  <c r="BQ43" i="9"/>
  <c r="BQ28" i="9"/>
  <c r="BQ73" i="9"/>
  <c r="BQ58" i="9"/>
  <c r="CF43" i="9"/>
  <c r="CF28" i="9"/>
  <c r="CF73" i="9"/>
  <c r="CF58" i="9"/>
  <c r="DG44" i="9"/>
  <c r="DG74" i="9"/>
  <c r="DG29" i="9"/>
  <c r="DG59" i="9"/>
  <c r="DD58" i="9"/>
  <c r="DD43" i="9"/>
  <c r="DD73" i="9"/>
  <c r="DD28" i="9"/>
  <c r="CG28" i="9"/>
  <c r="CG43" i="9"/>
  <c r="CG73" i="9"/>
  <c r="CG58" i="9"/>
  <c r="BI43" i="9"/>
  <c r="BI73" i="9"/>
  <c r="BI28" i="9"/>
  <c r="BI58" i="9"/>
  <c r="BX73" i="9"/>
  <c r="BX58" i="9"/>
  <c r="BX43" i="9"/>
  <c r="BX28" i="9"/>
  <c r="DF43" i="9"/>
  <c r="DF73" i="9"/>
  <c r="DF28" i="9"/>
  <c r="DF58" i="9"/>
  <c r="CI74" i="9"/>
  <c r="CI59" i="9"/>
  <c r="CI44" i="9"/>
  <c r="CI29" i="9"/>
  <c r="AE74" i="9"/>
  <c r="AE44" i="9"/>
  <c r="AE59" i="9"/>
  <c r="AE29" i="9"/>
  <c r="AC58" i="9"/>
  <c r="AC28" i="9"/>
  <c r="AC73" i="9"/>
  <c r="AC43" i="9"/>
  <c r="AD43" i="9"/>
  <c r="AD58" i="9"/>
  <c r="AD28" i="9"/>
  <c r="AD73" i="9"/>
  <c r="D58" i="9"/>
  <c r="D28" i="9"/>
  <c r="D43" i="9"/>
  <c r="D73" i="9"/>
  <c r="AB43" i="9"/>
  <c r="AB28" i="9"/>
  <c r="AB58" i="9"/>
  <c r="AB73" i="9"/>
  <c r="AT58" i="9"/>
  <c r="AT73" i="9"/>
  <c r="AT43" i="9"/>
  <c r="AR43" i="9"/>
  <c r="AR73" i="9"/>
  <c r="AR58" i="9"/>
  <c r="AS43" i="9"/>
  <c r="AS73" i="9"/>
  <c r="AS58" i="9"/>
  <c r="AU74" i="9"/>
  <c r="AU44" i="9"/>
  <c r="AU59" i="9"/>
  <c r="V58" i="9"/>
  <c r="V28" i="9"/>
  <c r="V73" i="9"/>
  <c r="V43" i="9"/>
  <c r="U28" i="9"/>
  <c r="U58" i="9"/>
  <c r="U43" i="9"/>
  <c r="U73" i="9"/>
  <c r="T43" i="9"/>
  <c r="T58" i="9"/>
  <c r="T28" i="9"/>
  <c r="T73" i="9"/>
  <c r="W29" i="9"/>
  <c r="W74" i="9"/>
  <c r="W59" i="9"/>
  <c r="W44" i="9"/>
  <c r="AK7" i="9" l="1"/>
  <c r="AK8" i="9" s="1"/>
  <c r="AK11" i="9" s="1"/>
  <c r="L9" i="9"/>
  <c r="L8" i="9"/>
  <c r="AK10" i="9"/>
  <c r="M9" i="9"/>
  <c r="N73" i="9"/>
  <c r="N196" i="9" s="1"/>
  <c r="O93" i="9"/>
  <c r="N58" i="9"/>
  <c r="N182" i="9" s="1"/>
  <c r="M58" i="9"/>
  <c r="M121" i="9" s="1"/>
  <c r="N43" i="9"/>
  <c r="N168" i="9" s="1"/>
  <c r="M28" i="9"/>
  <c r="M154" i="9" s="1"/>
  <c r="N28" i="9"/>
  <c r="N93" i="9" s="1"/>
  <c r="M73" i="9"/>
  <c r="M135" i="9" s="1"/>
  <c r="M43" i="9"/>
  <c r="M168" i="9" s="1"/>
  <c r="O58" i="9"/>
  <c r="O121" i="9" s="1"/>
  <c r="O43" i="9"/>
  <c r="O168" i="9" s="1"/>
  <c r="O73" i="9"/>
  <c r="O196" i="9" s="1"/>
  <c r="K20" i="9"/>
  <c r="AK58" i="9"/>
  <c r="AK121" i="9" s="1"/>
  <c r="AK73" i="9"/>
  <c r="AK135" i="9" s="1"/>
  <c r="AK43" i="9"/>
  <c r="AK168" i="9" s="1"/>
  <c r="AJ14" i="9"/>
  <c r="AJ16" i="9" s="1"/>
  <c r="AJ13" i="9"/>
  <c r="AK13" i="9"/>
  <c r="AI14" i="9"/>
  <c r="AI16" i="9" s="1"/>
  <c r="AL29" i="9" s="1"/>
  <c r="AK28" i="9"/>
  <c r="E73" i="9"/>
  <c r="E196" i="9" s="1"/>
  <c r="E58" i="9"/>
  <c r="E182" i="9" s="1"/>
  <c r="E28" i="9"/>
  <c r="E154" i="9" s="1"/>
  <c r="C14" i="9"/>
  <c r="C13" i="9"/>
  <c r="E59" i="9" s="1"/>
  <c r="D12" i="9"/>
  <c r="D15" i="9"/>
  <c r="D9" i="9"/>
  <c r="D8" i="9"/>
  <c r="D11" i="9" s="1"/>
  <c r="D14" i="9" s="1"/>
  <c r="AR75" i="9"/>
  <c r="AR84" i="9" s="1"/>
  <c r="BI77" i="9"/>
  <c r="BI31" i="9"/>
  <c r="BI96" i="9" s="1"/>
  <c r="BB61" i="9"/>
  <c r="BB124" i="9" s="1"/>
  <c r="O29" i="9"/>
  <c r="O94" i="9" s="1"/>
  <c r="O59" i="9"/>
  <c r="O122" i="9" s="1"/>
  <c r="O74" i="9"/>
  <c r="O136" i="9" s="1"/>
  <c r="D60" i="9"/>
  <c r="D69" i="9" s="1"/>
  <c r="D75" i="9"/>
  <c r="D137" i="9" s="1"/>
  <c r="D30" i="9"/>
  <c r="D95" i="9" s="1"/>
  <c r="AE60" i="9"/>
  <c r="AE184" i="9" s="1"/>
  <c r="AD30" i="9"/>
  <c r="AD95" i="9" s="1"/>
  <c r="AD76" i="9"/>
  <c r="AD138" i="9" s="1"/>
  <c r="AC77" i="9"/>
  <c r="AC46" i="9"/>
  <c r="AC110" i="9" s="1"/>
  <c r="W45" i="9"/>
  <c r="W170" i="9" s="1"/>
  <c r="V30" i="9"/>
  <c r="V95" i="9" s="1"/>
  <c r="U76" i="9"/>
  <c r="U138" i="9" s="1"/>
  <c r="D45" i="9"/>
  <c r="D54" i="9" s="1"/>
  <c r="AR60" i="9"/>
  <c r="AR123" i="9" s="1"/>
  <c r="AS60" i="9"/>
  <c r="AS184" i="9" s="1"/>
  <c r="AR45" i="9"/>
  <c r="AR109" i="9" s="1"/>
  <c r="AU30" i="9"/>
  <c r="AU95" i="9" s="1"/>
  <c r="AR30" i="9"/>
  <c r="AR95" i="9" s="1"/>
  <c r="AT30" i="9"/>
  <c r="AT156" i="9" s="1"/>
  <c r="CY154" i="9"/>
  <c r="AJ29" i="9"/>
  <c r="AJ94" i="9" s="1"/>
  <c r="DG182" i="9"/>
  <c r="DG168" i="9"/>
  <c r="CY135" i="9"/>
  <c r="CY182" i="9"/>
  <c r="BK196" i="9"/>
  <c r="DG135" i="9"/>
  <c r="BK168" i="9"/>
  <c r="BK121" i="9"/>
  <c r="AJ28" i="9"/>
  <c r="AJ93" i="9" s="1"/>
  <c r="CI182" i="9"/>
  <c r="AE182" i="9"/>
  <c r="W121" i="9"/>
  <c r="W93" i="9"/>
  <c r="CQ182" i="9"/>
  <c r="BC93" i="9"/>
  <c r="CQ168" i="9"/>
  <c r="CI196" i="9"/>
  <c r="CQ154" i="9"/>
  <c r="CI107" i="9"/>
  <c r="W135" i="9"/>
  <c r="AJ58" i="9"/>
  <c r="AJ121" i="9" s="1"/>
  <c r="AE107" i="9"/>
  <c r="CA121" i="9"/>
  <c r="CA135" i="9"/>
  <c r="BC135" i="9"/>
  <c r="AJ73" i="9"/>
  <c r="AJ196" i="9" s="1"/>
  <c r="AE135" i="9"/>
  <c r="BS121" i="9"/>
  <c r="BS93" i="9"/>
  <c r="CA93" i="9"/>
  <c r="BS168" i="9"/>
  <c r="BC168" i="9"/>
  <c r="BS60" i="9"/>
  <c r="BS123" i="9" s="1"/>
  <c r="AU135" i="9"/>
  <c r="AU168" i="9"/>
  <c r="AU121" i="9"/>
  <c r="CP75" i="9"/>
  <c r="CP198" i="9" s="1"/>
  <c r="CX45" i="9"/>
  <c r="CX170" i="9" s="1"/>
  <c r="BQ60" i="9"/>
  <c r="BQ123" i="9" s="1"/>
  <c r="CG60" i="9"/>
  <c r="CG184" i="9" s="1"/>
  <c r="CY30" i="9"/>
  <c r="CY156" i="9" s="1"/>
  <c r="BS75" i="9"/>
  <c r="BS198" i="9" s="1"/>
  <c r="BQ75" i="9"/>
  <c r="BQ198" i="9" s="1"/>
  <c r="CH60" i="9"/>
  <c r="CH123" i="9" s="1"/>
  <c r="BI75" i="9"/>
  <c r="BI137" i="9" s="1"/>
  <c r="CV69" i="9"/>
  <c r="CY75" i="9"/>
  <c r="CY198" i="9" s="1"/>
  <c r="CY60" i="9"/>
  <c r="CY184" i="9" s="1"/>
  <c r="CH75" i="9"/>
  <c r="CH198" i="9" s="1"/>
  <c r="DF61" i="9"/>
  <c r="DF124" i="9" s="1"/>
  <c r="DD39" i="9"/>
  <c r="CF39" i="9"/>
  <c r="CG30" i="9"/>
  <c r="CG156" i="9" s="1"/>
  <c r="CX75" i="9"/>
  <c r="CX137" i="9" s="1"/>
  <c r="CX60" i="9"/>
  <c r="CX123" i="9" s="1"/>
  <c r="BS30" i="9"/>
  <c r="CW60" i="9"/>
  <c r="CW123" i="9" s="1"/>
  <c r="BC30" i="9"/>
  <c r="BC95" i="9" s="1"/>
  <c r="DF75" i="9"/>
  <c r="DF198" i="9" s="1"/>
  <c r="BK75" i="9"/>
  <c r="BK198" i="9" s="1"/>
  <c r="BK30" i="9"/>
  <c r="BK95" i="9" s="1"/>
  <c r="V60" i="9"/>
  <c r="V123" i="9" s="1"/>
  <c r="CG75" i="9"/>
  <c r="CG198" i="9" s="1"/>
  <c r="CO60" i="9"/>
  <c r="CO184" i="9" s="1"/>
  <c r="CG45" i="9"/>
  <c r="CG109" i="9" s="1"/>
  <c r="BS45" i="9"/>
  <c r="BS109" i="9" s="1"/>
  <c r="AU196" i="9"/>
  <c r="BK45" i="9"/>
  <c r="CV39" i="9"/>
  <c r="BJ30" i="9"/>
  <c r="BJ156" i="9" s="1"/>
  <c r="DF45" i="9"/>
  <c r="DF109" i="9" s="1"/>
  <c r="V75" i="9"/>
  <c r="V198" i="9" s="1"/>
  <c r="DF60" i="9"/>
  <c r="DF184" i="9" s="1"/>
  <c r="CW45" i="9"/>
  <c r="CW170" i="9" s="1"/>
  <c r="T69" i="9"/>
  <c r="CW75" i="9"/>
  <c r="CW198" i="9" s="1"/>
  <c r="CV84" i="9"/>
  <c r="DG46" i="9"/>
  <c r="DG110" i="9" s="1"/>
  <c r="CX61" i="9"/>
  <c r="CX124" i="9" s="1"/>
  <c r="DF30" i="9"/>
  <c r="DF95" i="9" s="1"/>
  <c r="CW61" i="9"/>
  <c r="CW124" i="9" s="1"/>
  <c r="V45" i="9"/>
  <c r="V170" i="9" s="1"/>
  <c r="CP60" i="9"/>
  <c r="CP184" i="9" s="1"/>
  <c r="BA60" i="9"/>
  <c r="BA184" i="9" s="1"/>
  <c r="BJ45" i="9"/>
  <c r="CW30" i="9"/>
  <c r="CW95" i="9" s="1"/>
  <c r="BQ45" i="9"/>
  <c r="BQ109" i="9" s="1"/>
  <c r="BA75" i="9"/>
  <c r="BA198" i="9" s="1"/>
  <c r="BJ60" i="9"/>
  <c r="BJ123" i="9" s="1"/>
  <c r="AZ54" i="9"/>
  <c r="CP30" i="9"/>
  <c r="CP95" i="9" s="1"/>
  <c r="DG45" i="9"/>
  <c r="DG109" i="9" s="1"/>
  <c r="BY60" i="9"/>
  <c r="BY184" i="9" s="1"/>
  <c r="BA45" i="9"/>
  <c r="BA109" i="9" s="1"/>
  <c r="DG75" i="9"/>
  <c r="DG137" i="9" s="1"/>
  <c r="BY75" i="9"/>
  <c r="BY198" i="9" s="1"/>
  <c r="AB54" i="9"/>
  <c r="BX84" i="9"/>
  <c r="DG60" i="9"/>
  <c r="BY30" i="9"/>
  <c r="BY95" i="9" s="1"/>
  <c r="BQ30" i="9"/>
  <c r="BQ156" i="9" s="1"/>
  <c r="BA30" i="9"/>
  <c r="BA95" i="9" s="1"/>
  <c r="BY45" i="9"/>
  <c r="BY170" i="9" s="1"/>
  <c r="BS61" i="9"/>
  <c r="BS124" i="9" s="1"/>
  <c r="AD75" i="9"/>
  <c r="AD198" i="9" s="1"/>
  <c r="BZ75" i="9"/>
  <c r="BZ198" i="9" s="1"/>
  <c r="BP54" i="9"/>
  <c r="BZ60" i="9"/>
  <c r="BZ184" i="9" s="1"/>
  <c r="AD60" i="9"/>
  <c r="AD184" i="9" s="1"/>
  <c r="BZ30" i="9"/>
  <c r="BZ156" i="9" s="1"/>
  <c r="BX69" i="9"/>
  <c r="AD45" i="9"/>
  <c r="AD170" i="9" s="1"/>
  <c r="CN39" i="9"/>
  <c r="CN69" i="9"/>
  <c r="CY61" i="9"/>
  <c r="CY124" i="9" s="1"/>
  <c r="BH84" i="9"/>
  <c r="V76" i="9"/>
  <c r="V138" i="9" s="1"/>
  <c r="CP61" i="9"/>
  <c r="CP124" i="9" s="1"/>
  <c r="CF84" i="9"/>
  <c r="AZ39" i="9"/>
  <c r="T84" i="9"/>
  <c r="BH54" i="9"/>
  <c r="T39" i="9"/>
  <c r="AB84" i="9"/>
  <c r="AE30" i="9"/>
  <c r="AE156" i="9" s="1"/>
  <c r="W31" i="9"/>
  <c r="W96" i="9" s="1"/>
  <c r="AE61" i="9"/>
  <c r="DD54" i="9"/>
  <c r="AE45" i="9"/>
  <c r="CV54" i="9"/>
  <c r="BP69" i="9"/>
  <c r="CH30" i="9"/>
  <c r="CH156" i="9" s="1"/>
  <c r="BI45" i="9"/>
  <c r="AE75" i="9"/>
  <c r="BI60" i="9"/>
  <c r="BI123" i="9" s="1"/>
  <c r="BQ46" i="9"/>
  <c r="BQ110" i="9" s="1"/>
  <c r="BR30" i="9"/>
  <c r="BR156" i="9" s="1"/>
  <c r="AB69" i="9"/>
  <c r="BR45" i="9"/>
  <c r="BR170" i="9" s="1"/>
  <c r="BH39" i="9"/>
  <c r="BR60" i="9"/>
  <c r="BR123" i="9" s="1"/>
  <c r="CQ76" i="9"/>
  <c r="CQ138" i="9" s="1"/>
  <c r="AB39" i="9"/>
  <c r="BH69" i="9"/>
  <c r="CI46" i="9"/>
  <c r="CI110" i="9" s="1"/>
  <c r="CH46" i="9"/>
  <c r="CH110" i="9" s="1"/>
  <c r="CQ60" i="9"/>
  <c r="DE45" i="9"/>
  <c r="DE109" i="9" s="1"/>
  <c r="CQ45" i="9"/>
  <c r="CQ170" i="9" s="1"/>
  <c r="CQ75" i="9"/>
  <c r="CQ137" i="9" s="1"/>
  <c r="DE60" i="9"/>
  <c r="DE123" i="9" s="1"/>
  <c r="CQ30" i="9"/>
  <c r="CQ156" i="9" s="1"/>
  <c r="DE30" i="9"/>
  <c r="DE156" i="9" s="1"/>
  <c r="AT61" i="9"/>
  <c r="AT124" i="9" s="1"/>
  <c r="DE75" i="9"/>
  <c r="DE137" i="9" s="1"/>
  <c r="AU107" i="9"/>
  <c r="BR46" i="9"/>
  <c r="BR110" i="9" s="1"/>
  <c r="CF184" i="9"/>
  <c r="CF123" i="9"/>
  <c r="CF54" i="9"/>
  <c r="BP170" i="9"/>
  <c r="BP109" i="9"/>
  <c r="DE77" i="9"/>
  <c r="DE32" i="9"/>
  <c r="DE62" i="9"/>
  <c r="DE47" i="9"/>
  <c r="BX170" i="9"/>
  <c r="BX109" i="9"/>
  <c r="U45" i="9"/>
  <c r="U109" i="9" s="1"/>
  <c r="CO30" i="9"/>
  <c r="CO156" i="9" s="1"/>
  <c r="BX137" i="9"/>
  <c r="BX198" i="9"/>
  <c r="CN95" i="9"/>
  <c r="CN156" i="9"/>
  <c r="BX156" i="9"/>
  <c r="BX95" i="9"/>
  <c r="CN198" i="9"/>
  <c r="CN137" i="9"/>
  <c r="U75" i="9"/>
  <c r="U198" i="9" s="1"/>
  <c r="CN84" i="9"/>
  <c r="CF198" i="9"/>
  <c r="CF137" i="9"/>
  <c r="CW77" i="9"/>
  <c r="CW32" i="9"/>
  <c r="CW47" i="9"/>
  <c r="CW62" i="9"/>
  <c r="DD84" i="9"/>
  <c r="BP137" i="9"/>
  <c r="BP198" i="9"/>
  <c r="CO45" i="9"/>
  <c r="CO170" i="9" s="1"/>
  <c r="U30" i="9"/>
  <c r="U156" i="9" s="1"/>
  <c r="BP84" i="9"/>
  <c r="BP39" i="9"/>
  <c r="CN54" i="9"/>
  <c r="CG77" i="9"/>
  <c r="CG62" i="9"/>
  <c r="CG47" i="9"/>
  <c r="CG32" i="9"/>
  <c r="DE61" i="9"/>
  <c r="DE124" i="9" s="1"/>
  <c r="BP156" i="9"/>
  <c r="BP95" i="9"/>
  <c r="DD69" i="9"/>
  <c r="CI75" i="9"/>
  <c r="CI198" i="9" s="1"/>
  <c r="CF156" i="9"/>
  <c r="CF95" i="9"/>
  <c r="DD170" i="9"/>
  <c r="DD109" i="9"/>
  <c r="CV170" i="9"/>
  <c r="CV109" i="9"/>
  <c r="DD198" i="9"/>
  <c r="DD137" i="9"/>
  <c r="CI30" i="9"/>
  <c r="CA60" i="9"/>
  <c r="DD95" i="9"/>
  <c r="DD156" i="9"/>
  <c r="DD184" i="9"/>
  <c r="DD123" i="9"/>
  <c r="W75" i="9"/>
  <c r="W198" i="9" s="1"/>
  <c r="CI45" i="9"/>
  <c r="CA75" i="9"/>
  <c r="BY31" i="9"/>
  <c r="BY96" i="9" s="1"/>
  <c r="CO76" i="9"/>
  <c r="CO138" i="9" s="1"/>
  <c r="CF109" i="9"/>
  <c r="CF170" i="9"/>
  <c r="CI60" i="9"/>
  <c r="CA30" i="9"/>
  <c r="CA61" i="9"/>
  <c r="CA124" i="9" s="1"/>
  <c r="BP184" i="9"/>
  <c r="BP123" i="9"/>
  <c r="CN109" i="9"/>
  <c r="CN170" i="9"/>
  <c r="W30" i="9"/>
  <c r="BX39" i="9"/>
  <c r="CF69" i="9"/>
  <c r="BY32" i="9"/>
  <c r="BY47" i="9"/>
  <c r="BY62" i="9"/>
  <c r="BY77" i="9"/>
  <c r="CG31" i="9"/>
  <c r="CG96" i="9" s="1"/>
  <c r="CV156" i="9"/>
  <c r="CV95" i="9"/>
  <c r="CO62" i="9"/>
  <c r="CO77" i="9"/>
  <c r="CO32" i="9"/>
  <c r="CO47" i="9"/>
  <c r="CO75" i="9"/>
  <c r="CO137" i="9" s="1"/>
  <c r="W60" i="9"/>
  <c r="BX54" i="9"/>
  <c r="AU182" i="9"/>
  <c r="BZ61" i="9"/>
  <c r="BZ124" i="9" s="1"/>
  <c r="BQ62" i="9"/>
  <c r="BQ32" i="9"/>
  <c r="BQ47" i="9"/>
  <c r="BQ77" i="9"/>
  <c r="CN123" i="9"/>
  <c r="CN184" i="9"/>
  <c r="CV198" i="9"/>
  <c r="CV137" i="9"/>
  <c r="U60" i="9"/>
  <c r="U123" i="9" s="1"/>
  <c r="BX184" i="9"/>
  <c r="BX123" i="9"/>
  <c r="CV123" i="9"/>
  <c r="CV184" i="9"/>
  <c r="BI30" i="9"/>
  <c r="BI95" i="9" s="1"/>
  <c r="AZ84" i="9"/>
  <c r="AU31" i="9"/>
  <c r="AU96" i="9" s="1"/>
  <c r="BK31" i="9"/>
  <c r="BK96" i="9" s="1"/>
  <c r="T54" i="9"/>
  <c r="AZ69" i="9"/>
  <c r="AB170" i="9"/>
  <c r="AB109" i="9"/>
  <c r="AC45" i="9"/>
  <c r="AC170" i="9" s="1"/>
  <c r="T170" i="9"/>
  <c r="T109" i="9"/>
  <c r="AC30" i="9"/>
  <c r="AC156" i="9" s="1"/>
  <c r="T123" i="9"/>
  <c r="T184" i="9"/>
  <c r="AC75" i="9"/>
  <c r="AC198" i="9" s="1"/>
  <c r="T156" i="9"/>
  <c r="T95" i="9"/>
  <c r="AC60" i="9"/>
  <c r="AC184" i="9" s="1"/>
  <c r="T137" i="9"/>
  <c r="T198" i="9"/>
  <c r="U32" i="9"/>
  <c r="U62" i="9"/>
  <c r="U47" i="9"/>
  <c r="U77" i="9"/>
  <c r="AB198" i="9"/>
  <c r="AB137" i="9"/>
  <c r="AB123" i="9"/>
  <c r="AB184" i="9"/>
  <c r="AB156" i="9"/>
  <c r="AB95" i="9"/>
  <c r="BJ61" i="9"/>
  <c r="BJ124" i="9" s="1"/>
  <c r="BB75" i="9"/>
  <c r="BB137" i="9" s="1"/>
  <c r="BB30" i="9"/>
  <c r="BB95" i="9" s="1"/>
  <c r="BB60" i="9"/>
  <c r="BB184" i="9" s="1"/>
  <c r="AU93" i="9"/>
  <c r="AU154" i="9"/>
  <c r="BA46" i="9"/>
  <c r="BA110" i="9" s="1"/>
  <c r="BC45" i="9"/>
  <c r="BC31" i="9"/>
  <c r="BH170" i="9"/>
  <c r="BH109" i="9"/>
  <c r="BH156" i="9"/>
  <c r="BH95" i="9"/>
  <c r="BH123" i="9"/>
  <c r="BH184" i="9"/>
  <c r="AZ198" i="9"/>
  <c r="AZ137" i="9"/>
  <c r="BH137" i="9"/>
  <c r="BH198" i="9"/>
  <c r="AZ184" i="9"/>
  <c r="AZ123" i="9"/>
  <c r="AZ95" i="9"/>
  <c r="AZ156" i="9"/>
  <c r="AZ109" i="9"/>
  <c r="AZ170" i="9"/>
  <c r="BC60" i="9"/>
  <c r="BA62" i="9"/>
  <c r="BA32" i="9"/>
  <c r="BA77" i="9"/>
  <c r="BA47" i="9"/>
  <c r="L75" i="9"/>
  <c r="L45" i="9"/>
  <c r="L60" i="9"/>
  <c r="L30" i="9"/>
  <c r="CY136" i="9"/>
  <c r="DG136" i="9"/>
  <c r="CY122" i="9"/>
  <c r="DG122" i="9"/>
  <c r="DG108" i="9"/>
  <c r="CY108" i="9"/>
  <c r="DG94" i="9"/>
  <c r="CY94" i="9"/>
  <c r="CA94" i="9"/>
  <c r="CQ94" i="9"/>
  <c r="BS94" i="9"/>
  <c r="CI94" i="9"/>
  <c r="CA108" i="9"/>
  <c r="CQ108" i="9"/>
  <c r="BS108" i="9"/>
  <c r="CI108" i="9"/>
  <c r="CA122" i="9"/>
  <c r="BS122" i="9"/>
  <c r="CQ122" i="9"/>
  <c r="CI122" i="9"/>
  <c r="CI136" i="9"/>
  <c r="CQ136" i="9"/>
  <c r="CA136" i="9"/>
  <c r="BS136" i="9"/>
  <c r="BC136" i="9"/>
  <c r="BK136" i="9"/>
  <c r="AU136" i="9"/>
  <c r="BC122" i="9"/>
  <c r="BK122" i="9"/>
  <c r="AU122" i="9"/>
  <c r="BC108" i="9"/>
  <c r="BK108" i="9"/>
  <c r="AU108" i="9"/>
  <c r="BC94" i="9"/>
  <c r="BK94" i="9"/>
  <c r="W136" i="9"/>
  <c r="AE136" i="9"/>
  <c r="W122" i="9"/>
  <c r="AE122" i="9"/>
  <c r="AE108" i="9"/>
  <c r="W108" i="9"/>
  <c r="W94" i="9"/>
  <c r="AE94" i="9"/>
  <c r="O108" i="9"/>
  <c r="CF196" i="9"/>
  <c r="CF135" i="9"/>
  <c r="AS135" i="9"/>
  <c r="AS196" i="9"/>
  <c r="BR198" i="9"/>
  <c r="BR137" i="9"/>
  <c r="CV135" i="9"/>
  <c r="CV196" i="9"/>
  <c r="BB135" i="9"/>
  <c r="BB196" i="9"/>
  <c r="CH135" i="9"/>
  <c r="CH196" i="9"/>
  <c r="BY196" i="9"/>
  <c r="BY135" i="9"/>
  <c r="CW196" i="9"/>
  <c r="CW135" i="9"/>
  <c r="BQ135" i="9"/>
  <c r="BQ196" i="9"/>
  <c r="BI196" i="9"/>
  <c r="BI135" i="9"/>
  <c r="AZ196" i="9"/>
  <c r="AZ135" i="9"/>
  <c r="CO135" i="9"/>
  <c r="CO196" i="9"/>
  <c r="CG135" i="9"/>
  <c r="CG196" i="9"/>
  <c r="AT196" i="9"/>
  <c r="AT135" i="9"/>
  <c r="BX196" i="9"/>
  <c r="BX135" i="9"/>
  <c r="BZ196" i="9"/>
  <c r="BZ135" i="9"/>
  <c r="BA196" i="9"/>
  <c r="BA135" i="9"/>
  <c r="DE135" i="9"/>
  <c r="DE196" i="9"/>
  <c r="AR135" i="9"/>
  <c r="AR196" i="9"/>
  <c r="DD135" i="9"/>
  <c r="DD196" i="9"/>
  <c r="BC137" i="9"/>
  <c r="BC198" i="9"/>
  <c r="CX135" i="9"/>
  <c r="CX196" i="9"/>
  <c r="DF196" i="9"/>
  <c r="DF135" i="9"/>
  <c r="CN135" i="9"/>
  <c r="CN196" i="9"/>
  <c r="BJ137" i="9"/>
  <c r="BJ198" i="9"/>
  <c r="CP135" i="9"/>
  <c r="CP196" i="9"/>
  <c r="BJ196" i="9"/>
  <c r="BJ135" i="9"/>
  <c r="BP135" i="9"/>
  <c r="BP196" i="9"/>
  <c r="BH135" i="9"/>
  <c r="BH196" i="9"/>
  <c r="BR135" i="9"/>
  <c r="BR196" i="9"/>
  <c r="AT182" i="9"/>
  <c r="AT121" i="9"/>
  <c r="DF121" i="9"/>
  <c r="DF182" i="9"/>
  <c r="CX182" i="9"/>
  <c r="CX121" i="9"/>
  <c r="CN121" i="9"/>
  <c r="CN182" i="9"/>
  <c r="CP121" i="9"/>
  <c r="CP182" i="9"/>
  <c r="BH121" i="9"/>
  <c r="BH182" i="9"/>
  <c r="BY121" i="9"/>
  <c r="BY182" i="9"/>
  <c r="BZ182" i="9"/>
  <c r="BZ121" i="9"/>
  <c r="DD182" i="9"/>
  <c r="DD121" i="9"/>
  <c r="BJ182" i="9"/>
  <c r="BJ121" i="9"/>
  <c r="AZ121" i="9"/>
  <c r="AZ182" i="9"/>
  <c r="CO182" i="9"/>
  <c r="CO121" i="9"/>
  <c r="DE182" i="9"/>
  <c r="DE121" i="9"/>
  <c r="BI121" i="9"/>
  <c r="BI182" i="9"/>
  <c r="CG182" i="9"/>
  <c r="CG121" i="9"/>
  <c r="CF121" i="9"/>
  <c r="CF182" i="9"/>
  <c r="CV121" i="9"/>
  <c r="CV182" i="9"/>
  <c r="BK123" i="9"/>
  <c r="BK184" i="9"/>
  <c r="BQ182" i="9"/>
  <c r="BQ121" i="9"/>
  <c r="CH121" i="9"/>
  <c r="CH182" i="9"/>
  <c r="BP182" i="9"/>
  <c r="BP121" i="9"/>
  <c r="BA182" i="9"/>
  <c r="BA121" i="9"/>
  <c r="AR182" i="9"/>
  <c r="AR121" i="9"/>
  <c r="AS121" i="9"/>
  <c r="AS182" i="9"/>
  <c r="BX182" i="9"/>
  <c r="BX121" i="9"/>
  <c r="BB182" i="9"/>
  <c r="BB121" i="9"/>
  <c r="CW121" i="9"/>
  <c r="CW182" i="9"/>
  <c r="BR121" i="9"/>
  <c r="BR182" i="9"/>
  <c r="CP109" i="9"/>
  <c r="CP170" i="9"/>
  <c r="CA109" i="9"/>
  <c r="CA170" i="9"/>
  <c r="BZ170" i="9"/>
  <c r="BZ109" i="9"/>
  <c r="CY170" i="9"/>
  <c r="CY109" i="9"/>
  <c r="CH109" i="9"/>
  <c r="CH170" i="9"/>
  <c r="BB109" i="9"/>
  <c r="BB170" i="9"/>
  <c r="BY168" i="9"/>
  <c r="BY107" i="9"/>
  <c r="CF168" i="9"/>
  <c r="CF107" i="9"/>
  <c r="CV168" i="9"/>
  <c r="CV107" i="9"/>
  <c r="AS107" i="9"/>
  <c r="AS168" i="9"/>
  <c r="BQ168" i="9"/>
  <c r="BQ107" i="9"/>
  <c r="CH107" i="9"/>
  <c r="CH168" i="9"/>
  <c r="BZ168" i="9"/>
  <c r="BZ107" i="9"/>
  <c r="AZ107" i="9"/>
  <c r="AZ168" i="9"/>
  <c r="BP168" i="9"/>
  <c r="BP107" i="9"/>
  <c r="CN168" i="9"/>
  <c r="CN107" i="9"/>
  <c r="CP107" i="9"/>
  <c r="CP168" i="9"/>
  <c r="CW107" i="9"/>
  <c r="CW168" i="9"/>
  <c r="BH168" i="9"/>
  <c r="BH107" i="9"/>
  <c r="AT107" i="9"/>
  <c r="AT168" i="9"/>
  <c r="BR107" i="9"/>
  <c r="BR168" i="9"/>
  <c r="CO168" i="9"/>
  <c r="CO107" i="9"/>
  <c r="BA107" i="9"/>
  <c r="BA168" i="9"/>
  <c r="CX168" i="9"/>
  <c r="CX107" i="9"/>
  <c r="CG107" i="9"/>
  <c r="CG168" i="9"/>
  <c r="BJ107" i="9"/>
  <c r="BJ168" i="9"/>
  <c r="DD107" i="9"/>
  <c r="DD168" i="9"/>
  <c r="BX107" i="9"/>
  <c r="BX168" i="9"/>
  <c r="BI107" i="9"/>
  <c r="BI168" i="9"/>
  <c r="DF168" i="9"/>
  <c r="DF107" i="9"/>
  <c r="AR168" i="9"/>
  <c r="AR107" i="9"/>
  <c r="BB107" i="9"/>
  <c r="BB168" i="9"/>
  <c r="DE168" i="9"/>
  <c r="DE107" i="9"/>
  <c r="AJ107" i="9"/>
  <c r="AJ168" i="9"/>
  <c r="DG156" i="9"/>
  <c r="DG95" i="9"/>
  <c r="CX95" i="9"/>
  <c r="CX156" i="9"/>
  <c r="BP93" i="9"/>
  <c r="BP154" i="9"/>
  <c r="CN154" i="9"/>
  <c r="CN93" i="9"/>
  <c r="CP93" i="9"/>
  <c r="CP154" i="9"/>
  <c r="CW93" i="9"/>
  <c r="CW154" i="9"/>
  <c r="CO154" i="9"/>
  <c r="CO93" i="9"/>
  <c r="BB93" i="9"/>
  <c r="BB154" i="9"/>
  <c r="BX154" i="9"/>
  <c r="BX93" i="9"/>
  <c r="AZ154" i="9"/>
  <c r="AZ93" i="9"/>
  <c r="BR154" i="9"/>
  <c r="BR93" i="9"/>
  <c r="BI154" i="9"/>
  <c r="BI93" i="9"/>
  <c r="BJ93" i="9"/>
  <c r="BJ154" i="9"/>
  <c r="CX93" i="9"/>
  <c r="CX154" i="9"/>
  <c r="DE93" i="9"/>
  <c r="DE154" i="9"/>
  <c r="CF93" i="9"/>
  <c r="CF154" i="9"/>
  <c r="CV154" i="9"/>
  <c r="CV93" i="9"/>
  <c r="BA93" i="9"/>
  <c r="BA154" i="9"/>
  <c r="CG93" i="9"/>
  <c r="CG154" i="9"/>
  <c r="BQ154" i="9"/>
  <c r="BQ93" i="9"/>
  <c r="CH154" i="9"/>
  <c r="CH93" i="9"/>
  <c r="BZ154" i="9"/>
  <c r="BZ93" i="9"/>
  <c r="BY154" i="9"/>
  <c r="BY93" i="9"/>
  <c r="DF154" i="9"/>
  <c r="DF93" i="9"/>
  <c r="DD154" i="9"/>
  <c r="DD93" i="9"/>
  <c r="BH93" i="9"/>
  <c r="BH154" i="9"/>
  <c r="T196" i="9"/>
  <c r="T135" i="9"/>
  <c r="V196" i="9"/>
  <c r="V135" i="9"/>
  <c r="D182" i="9"/>
  <c r="D121" i="9"/>
  <c r="E168" i="9"/>
  <c r="E107" i="9"/>
  <c r="T154" i="9"/>
  <c r="T93" i="9"/>
  <c r="AD196" i="9"/>
  <c r="AD135" i="9"/>
  <c r="AC168" i="9"/>
  <c r="AC107" i="9"/>
  <c r="T182" i="9"/>
  <c r="T121" i="9"/>
  <c r="V154" i="9"/>
  <c r="V93" i="9"/>
  <c r="T168" i="9"/>
  <c r="T107" i="9"/>
  <c r="AB196" i="9"/>
  <c r="AB135" i="9"/>
  <c r="D196" i="9"/>
  <c r="D135" i="9"/>
  <c r="AD154" i="9"/>
  <c r="AD93" i="9"/>
  <c r="AC196" i="9"/>
  <c r="AC135" i="9"/>
  <c r="AC154" i="9"/>
  <c r="AC93" i="9"/>
  <c r="V168" i="9"/>
  <c r="V107" i="9"/>
  <c r="AB182" i="9"/>
  <c r="AB121" i="9"/>
  <c r="AD182" i="9"/>
  <c r="AD121" i="9"/>
  <c r="AC182" i="9"/>
  <c r="AC121" i="9"/>
  <c r="V182" i="9"/>
  <c r="V121" i="9"/>
  <c r="U196" i="9"/>
  <c r="U135" i="9"/>
  <c r="U168" i="9"/>
  <c r="U107" i="9"/>
  <c r="U182" i="9"/>
  <c r="U121" i="9"/>
  <c r="U154" i="9"/>
  <c r="U93" i="9"/>
  <c r="AB154" i="9"/>
  <c r="AB93" i="9"/>
  <c r="D168" i="9"/>
  <c r="D107" i="9"/>
  <c r="AD168" i="9"/>
  <c r="AD107" i="9"/>
  <c r="AB168" i="9"/>
  <c r="AB107" i="9"/>
  <c r="D154" i="9"/>
  <c r="D93" i="9"/>
  <c r="DD44" i="9"/>
  <c r="DD74" i="9"/>
  <c r="DD85" i="9" s="1"/>
  <c r="DD29" i="9"/>
  <c r="DD40" i="9" s="1"/>
  <c r="DD59" i="9"/>
  <c r="DD70" i="9" s="1"/>
  <c r="BX59" i="9"/>
  <c r="BX70" i="9" s="1"/>
  <c r="BX44" i="9"/>
  <c r="BX29" i="9"/>
  <c r="BX74" i="9"/>
  <c r="CO44" i="9"/>
  <c r="CO59" i="9"/>
  <c r="CO29" i="9"/>
  <c r="CO74" i="9"/>
  <c r="CF29" i="9"/>
  <c r="CF40" i="9" s="1"/>
  <c r="CF74" i="9"/>
  <c r="CF59" i="9"/>
  <c r="CF44" i="9"/>
  <c r="CV44" i="9"/>
  <c r="CV29" i="9"/>
  <c r="CV40" i="9" s="1"/>
  <c r="CV59" i="9"/>
  <c r="CV70" i="9" s="1"/>
  <c r="CV74" i="9"/>
  <c r="CV85" i="9" s="1"/>
  <c r="DF44" i="9"/>
  <c r="DF74" i="9"/>
  <c r="DF29" i="9"/>
  <c r="DF59" i="9"/>
  <c r="BJ74" i="9"/>
  <c r="BJ44" i="9"/>
  <c r="BJ29" i="9"/>
  <c r="BJ59" i="9"/>
  <c r="CW29" i="9"/>
  <c r="CW44" i="9"/>
  <c r="CW59" i="9"/>
  <c r="CW74" i="9"/>
  <c r="CX29" i="9"/>
  <c r="CX44" i="9"/>
  <c r="CX59" i="9"/>
  <c r="CX74" i="9"/>
  <c r="BA74" i="9"/>
  <c r="BA44" i="9"/>
  <c r="BA29" i="9"/>
  <c r="BA59" i="9"/>
  <c r="AS29" i="9"/>
  <c r="AZ74" i="9"/>
  <c r="AZ85" i="9" s="1"/>
  <c r="AZ44" i="9"/>
  <c r="AZ55" i="9" s="1"/>
  <c r="AZ29" i="9"/>
  <c r="AZ40" i="9" s="1"/>
  <c r="AZ59" i="9"/>
  <c r="CH74" i="9"/>
  <c r="CH29" i="9"/>
  <c r="CH59" i="9"/>
  <c r="CH44" i="9"/>
  <c r="AT29" i="9"/>
  <c r="BB74" i="9"/>
  <c r="BB44" i="9"/>
  <c r="BB59" i="9"/>
  <c r="BB29" i="9"/>
  <c r="BQ29" i="9"/>
  <c r="BQ74" i="9"/>
  <c r="BQ59" i="9"/>
  <c r="BQ44" i="9"/>
  <c r="CN44" i="9"/>
  <c r="CN55" i="9" s="1"/>
  <c r="CN59" i="9"/>
  <c r="CN70" i="9" s="1"/>
  <c r="CN29" i="9"/>
  <c r="CN74" i="9"/>
  <c r="CP44" i="9"/>
  <c r="CP29" i="9"/>
  <c r="CP74" i="9"/>
  <c r="CP59" i="9"/>
  <c r="BH44" i="9"/>
  <c r="BH55" i="9" s="1"/>
  <c r="BH74" i="9"/>
  <c r="BH85" i="9" s="1"/>
  <c r="BH29" i="9"/>
  <c r="BH59" i="9"/>
  <c r="BR29" i="9"/>
  <c r="BR74" i="9"/>
  <c r="BR59" i="9"/>
  <c r="BR44" i="9"/>
  <c r="BY59" i="9"/>
  <c r="BY44" i="9"/>
  <c r="BY29" i="9"/>
  <c r="BY74" i="9"/>
  <c r="BZ59" i="9"/>
  <c r="BZ44" i="9"/>
  <c r="BZ29" i="9"/>
  <c r="BZ74" i="9"/>
  <c r="AR29" i="9"/>
  <c r="BI44" i="9"/>
  <c r="BI74" i="9"/>
  <c r="BI29" i="9"/>
  <c r="BI59" i="9"/>
  <c r="CG29" i="9"/>
  <c r="CG74" i="9"/>
  <c r="CG59" i="9"/>
  <c r="CG44" i="9"/>
  <c r="AK29" i="9"/>
  <c r="DE44" i="9"/>
  <c r="DE74" i="9"/>
  <c r="DE29" i="9"/>
  <c r="DE59" i="9"/>
  <c r="BP29" i="9"/>
  <c r="BP40" i="9" s="1"/>
  <c r="BP74" i="9"/>
  <c r="BP85" i="9" s="1"/>
  <c r="BP44" i="9"/>
  <c r="BP55" i="9" s="1"/>
  <c r="BP59" i="9"/>
  <c r="BP70" i="9" s="1"/>
  <c r="D59" i="9"/>
  <c r="D29" i="9"/>
  <c r="D74" i="9"/>
  <c r="D44" i="9"/>
  <c r="AC29" i="9"/>
  <c r="AC74" i="9"/>
  <c r="AC44" i="9"/>
  <c r="AC59" i="9"/>
  <c r="AB29" i="9"/>
  <c r="AB74" i="9"/>
  <c r="AB44" i="9"/>
  <c r="AB59" i="9"/>
  <c r="AD44" i="9"/>
  <c r="AD29" i="9"/>
  <c r="AD74" i="9"/>
  <c r="AD59" i="9"/>
  <c r="AT59" i="9"/>
  <c r="AT74" i="9"/>
  <c r="AT44" i="9"/>
  <c r="AR74" i="9"/>
  <c r="AR44" i="9"/>
  <c r="AR55" i="9" s="1"/>
  <c r="AR59" i="9"/>
  <c r="AR70" i="9" s="1"/>
  <c r="AS59" i="9"/>
  <c r="AS74" i="9"/>
  <c r="AS44" i="9"/>
  <c r="AK59" i="9"/>
  <c r="AK44" i="9"/>
  <c r="AK74" i="9"/>
  <c r="V59" i="9"/>
  <c r="V29" i="9"/>
  <c r="V74" i="9"/>
  <c r="V44" i="9"/>
  <c r="T59" i="9"/>
  <c r="T70" i="9" s="1"/>
  <c r="T29" i="9"/>
  <c r="T40" i="9" s="1"/>
  <c r="T74" i="9"/>
  <c r="T44" i="9"/>
  <c r="U59" i="9"/>
  <c r="U29" i="9"/>
  <c r="U74" i="9"/>
  <c r="U44" i="9"/>
  <c r="M29" i="9"/>
  <c r="M74" i="9"/>
  <c r="M59" i="9"/>
  <c r="M44" i="9"/>
  <c r="L44" i="9"/>
  <c r="L74" i="9"/>
  <c r="L29" i="9"/>
  <c r="L59" i="9"/>
  <c r="N74" i="9"/>
  <c r="N44" i="9"/>
  <c r="N29" i="9"/>
  <c r="N59" i="9"/>
  <c r="L58" i="9"/>
  <c r="L73" i="9"/>
  <c r="L28" i="9"/>
  <c r="L43" i="9"/>
  <c r="M182" i="9" l="1"/>
  <c r="M107" i="9"/>
  <c r="N135" i="9"/>
  <c r="AL7" i="9"/>
  <c r="AL8" i="9" s="1"/>
  <c r="N121" i="9"/>
  <c r="M7" i="9"/>
  <c r="M8" i="9" s="1"/>
  <c r="L11" i="9"/>
  <c r="N45" i="9" s="1"/>
  <c r="AK20" i="9"/>
  <c r="M10" i="9"/>
  <c r="AL9" i="9"/>
  <c r="N107" i="9"/>
  <c r="N154" i="9"/>
  <c r="M93" i="9"/>
  <c r="M196" i="9"/>
  <c r="O135" i="9"/>
  <c r="O107" i="9"/>
  <c r="AK196" i="9"/>
  <c r="AK107" i="9"/>
  <c r="AK182" i="9"/>
  <c r="O182" i="9"/>
  <c r="AJ20" i="9"/>
  <c r="AL59" i="9"/>
  <c r="AL122" i="9" s="1"/>
  <c r="AL44" i="9"/>
  <c r="AL108" i="9" s="1"/>
  <c r="AL74" i="9"/>
  <c r="AL136" i="9" s="1"/>
  <c r="F73" i="9"/>
  <c r="F196" i="9" s="1"/>
  <c r="C17" i="9"/>
  <c r="C19" i="9" s="1"/>
  <c r="G29" i="9" s="1"/>
  <c r="G94" i="9" s="1"/>
  <c r="E93" i="9"/>
  <c r="E135" i="9"/>
  <c r="E121" i="9"/>
  <c r="AK93" i="9"/>
  <c r="AK154" i="9"/>
  <c r="AI17" i="9"/>
  <c r="AL28" i="9"/>
  <c r="AL58" i="9"/>
  <c r="AL43" i="9"/>
  <c r="AL73" i="9"/>
  <c r="E44" i="9"/>
  <c r="E108" i="9" s="1"/>
  <c r="F43" i="9"/>
  <c r="F168" i="9" s="1"/>
  <c r="F58" i="9"/>
  <c r="F182" i="9" s="1"/>
  <c r="E29" i="9"/>
  <c r="E94" i="9" s="1"/>
  <c r="E74" i="9"/>
  <c r="E136" i="9" s="1"/>
  <c r="D10" i="9"/>
  <c r="E7" i="9" s="1"/>
  <c r="D16" i="9"/>
  <c r="G46" i="9" s="1"/>
  <c r="G110" i="9" s="1"/>
  <c r="C16" i="9"/>
  <c r="F28" i="9"/>
  <c r="D13" i="9"/>
  <c r="F61" i="9" s="1"/>
  <c r="F124" i="9" s="1"/>
  <c r="AR198" i="9"/>
  <c r="AR206" i="9" s="1"/>
  <c r="AR137" i="9"/>
  <c r="BI62" i="9"/>
  <c r="BI69" i="9" s="1"/>
  <c r="BJ32" i="9"/>
  <c r="BI47" i="9"/>
  <c r="BI172" i="9" s="1"/>
  <c r="BI32" i="9"/>
  <c r="BI38" i="9" s="1"/>
  <c r="AS31" i="9"/>
  <c r="AS96" i="9" s="1"/>
  <c r="AS75" i="9"/>
  <c r="AS137" i="9" s="1"/>
  <c r="E45" i="9"/>
  <c r="E109" i="9" s="1"/>
  <c r="D39" i="9"/>
  <c r="D156" i="9"/>
  <c r="D164" i="9" s="1"/>
  <c r="D184" i="9"/>
  <c r="D192" i="9" s="1"/>
  <c r="E30" i="9"/>
  <c r="E156" i="9" s="1"/>
  <c r="D123" i="9"/>
  <c r="E75" i="9"/>
  <c r="E137" i="9" s="1"/>
  <c r="E60" i="9"/>
  <c r="E184" i="9" s="1"/>
  <c r="D84" i="9"/>
  <c r="D198" i="9"/>
  <c r="D206" i="9" s="1"/>
  <c r="D109" i="9"/>
  <c r="D170" i="9"/>
  <c r="D178" i="9" s="1"/>
  <c r="AE123" i="9"/>
  <c r="AS123" i="9"/>
  <c r="AD156" i="9"/>
  <c r="AC62" i="9"/>
  <c r="AC186" i="9" s="1"/>
  <c r="AC47" i="9"/>
  <c r="AC111" i="9" s="1"/>
  <c r="AE33" i="9"/>
  <c r="AE98" i="9" s="1"/>
  <c r="AD33" i="9"/>
  <c r="AD98" i="9" s="1"/>
  <c r="AD47" i="9"/>
  <c r="AC32" i="9"/>
  <c r="AC97" i="9" s="1"/>
  <c r="AE62" i="9"/>
  <c r="AJ74" i="9"/>
  <c r="AJ85" i="9" s="1"/>
  <c r="AJ59" i="9"/>
  <c r="AJ70" i="9" s="1"/>
  <c r="AR184" i="9"/>
  <c r="AR192" i="9" s="1"/>
  <c r="AJ44" i="9"/>
  <c r="AJ108" i="9" s="1"/>
  <c r="AR69" i="9"/>
  <c r="V156" i="9"/>
  <c r="AS45" i="9"/>
  <c r="AS109" i="9" s="1"/>
  <c r="AJ40" i="9"/>
  <c r="AS30" i="9"/>
  <c r="AS156" i="9" s="1"/>
  <c r="AJ45" i="9"/>
  <c r="AJ170" i="9" s="1"/>
  <c r="AJ178" i="9" s="1"/>
  <c r="AJ75" i="9"/>
  <c r="AJ137" i="9" s="1"/>
  <c r="AK75" i="9"/>
  <c r="AK198" i="9" s="1"/>
  <c r="AJ30" i="9"/>
  <c r="AJ39" i="9" s="1"/>
  <c r="AJ60" i="9"/>
  <c r="W109" i="9"/>
  <c r="G60" i="9"/>
  <c r="AT95" i="9"/>
  <c r="AT75" i="9"/>
  <c r="AT198" i="9" s="1"/>
  <c r="AM75" i="9"/>
  <c r="AR156" i="9"/>
  <c r="AR164" i="9" s="1"/>
  <c r="AR39" i="9"/>
  <c r="AU60" i="9"/>
  <c r="AU184" i="9" s="1"/>
  <c r="AU75" i="9"/>
  <c r="AU137" i="9" s="1"/>
  <c r="AT60" i="9"/>
  <c r="AT184" i="9" s="1"/>
  <c r="AL45" i="9"/>
  <c r="AL170" i="9" s="1"/>
  <c r="AR170" i="9"/>
  <c r="AR178" i="9" s="1"/>
  <c r="AU45" i="9"/>
  <c r="AU170" i="9" s="1"/>
  <c r="AR54" i="9"/>
  <c r="AT45" i="9"/>
  <c r="AT170" i="9" s="1"/>
  <c r="AU156" i="9"/>
  <c r="AJ154" i="9"/>
  <c r="AJ135" i="9"/>
  <c r="AJ182" i="9"/>
  <c r="BS184" i="9"/>
  <c r="T178" i="9"/>
  <c r="BX164" i="9"/>
  <c r="CV164" i="9"/>
  <c r="CV178" i="9"/>
  <c r="T192" i="9"/>
  <c r="AB192" i="9"/>
  <c r="BH164" i="9"/>
  <c r="CF192" i="9"/>
  <c r="AZ206" i="9"/>
  <c r="BH192" i="9"/>
  <c r="BP192" i="9"/>
  <c r="BX178" i="9"/>
  <c r="BP206" i="9"/>
  <c r="CN206" i="9"/>
  <c r="CV192" i="9"/>
  <c r="CF206" i="9"/>
  <c r="DD164" i="9"/>
  <c r="L83" i="9"/>
  <c r="AB178" i="9"/>
  <c r="CN164" i="9"/>
  <c r="CW68" i="9"/>
  <c r="T164" i="9"/>
  <c r="U84" i="9"/>
  <c r="BH178" i="9"/>
  <c r="BY38" i="9"/>
  <c r="CF164" i="9"/>
  <c r="AZ192" i="9"/>
  <c r="L68" i="9"/>
  <c r="BH206" i="9"/>
  <c r="DE68" i="9"/>
  <c r="CG38" i="9"/>
  <c r="AZ164" i="9"/>
  <c r="DD192" i="9"/>
  <c r="BX206" i="9"/>
  <c r="CN192" i="9"/>
  <c r="DD206" i="9"/>
  <c r="BQ53" i="9"/>
  <c r="AB55" i="9"/>
  <c r="AB53" i="9"/>
  <c r="BX85" i="9"/>
  <c r="BX83" i="9"/>
  <c r="W123" i="9"/>
  <c r="AR85" i="9"/>
  <c r="AR83" i="9"/>
  <c r="AB70" i="9"/>
  <c r="AB68" i="9"/>
  <c r="D55" i="9"/>
  <c r="D53" i="9"/>
  <c r="CV55" i="9"/>
  <c r="CV53" i="9"/>
  <c r="DD55" i="9"/>
  <c r="DD53" i="9"/>
  <c r="AB206" i="9"/>
  <c r="W156" i="9"/>
  <c r="CA156" i="9"/>
  <c r="CA198" i="9"/>
  <c r="CI123" i="9"/>
  <c r="D40" i="9"/>
  <c r="D38" i="9"/>
  <c r="CN85" i="9"/>
  <c r="CN83" i="9"/>
  <c r="CF70" i="9"/>
  <c r="CF68" i="9"/>
  <c r="BC96" i="9"/>
  <c r="AB40" i="9"/>
  <c r="AB38" i="9"/>
  <c r="BH40" i="9"/>
  <c r="BH38" i="9"/>
  <c r="AZ70" i="9"/>
  <c r="AZ68" i="9"/>
  <c r="CO83" i="9"/>
  <c r="D85" i="9"/>
  <c r="D83" i="9"/>
  <c r="CF55" i="9"/>
  <c r="CF53" i="9"/>
  <c r="BC184" i="9"/>
  <c r="AB85" i="9"/>
  <c r="AB83" i="9"/>
  <c r="BH70" i="9"/>
  <c r="BH68" i="9"/>
  <c r="BA53" i="9"/>
  <c r="CF85" i="9"/>
  <c r="CF83" i="9"/>
  <c r="T55" i="9"/>
  <c r="T53" i="9"/>
  <c r="BX40" i="9"/>
  <c r="BX38" i="9"/>
  <c r="T85" i="9"/>
  <c r="T83" i="9"/>
  <c r="D70" i="9"/>
  <c r="D68" i="9"/>
  <c r="CN40" i="9"/>
  <c r="CN38" i="9"/>
  <c r="BX55" i="9"/>
  <c r="BX53" i="9"/>
  <c r="U83" i="9"/>
  <c r="BC109" i="9"/>
  <c r="L38" i="9"/>
  <c r="AZ178" i="9"/>
  <c r="CV206" i="9"/>
  <c r="AR53" i="9"/>
  <c r="CN53" i="9"/>
  <c r="BP53" i="9"/>
  <c r="BP68" i="9"/>
  <c r="BX68" i="9"/>
  <c r="T38" i="9"/>
  <c r="AZ83" i="9"/>
  <c r="CA123" i="9"/>
  <c r="T68" i="9"/>
  <c r="CV68" i="9"/>
  <c r="CI95" i="9"/>
  <c r="AE198" i="9"/>
  <c r="AE109" i="9"/>
  <c r="BH53" i="9"/>
  <c r="AR68" i="9"/>
  <c r="BP83" i="9"/>
  <c r="AZ38" i="9"/>
  <c r="CV38" i="9"/>
  <c r="CN178" i="9"/>
  <c r="CF178" i="9"/>
  <c r="BX192" i="9"/>
  <c r="AE124" i="9"/>
  <c r="CN68" i="9"/>
  <c r="DD68" i="9"/>
  <c r="DD83" i="9"/>
  <c r="BH83" i="9"/>
  <c r="CQ123" i="9"/>
  <c r="BP164" i="9"/>
  <c r="DD178" i="9"/>
  <c r="AZ53" i="9"/>
  <c r="CV83" i="9"/>
  <c r="CF38" i="9"/>
  <c r="AR40" i="9"/>
  <c r="AR38" i="9"/>
  <c r="L53" i="9"/>
  <c r="AB164" i="9"/>
  <c r="T206" i="9"/>
  <c r="BP178" i="9"/>
  <c r="DG123" i="9"/>
  <c r="BS95" i="9"/>
  <c r="DD38" i="9"/>
  <c r="BP38" i="9"/>
  <c r="BJ170" i="9"/>
  <c r="BK170" i="9"/>
  <c r="BI109" i="9"/>
  <c r="CP137" i="9"/>
  <c r="CY137" i="9"/>
  <c r="BY156" i="9"/>
  <c r="BQ69" i="9"/>
  <c r="BQ184" i="9"/>
  <c r="CW184" i="9"/>
  <c r="CH95" i="9"/>
  <c r="CX109" i="9"/>
  <c r="BS137" i="9"/>
  <c r="CY95" i="9"/>
  <c r="BC156" i="9"/>
  <c r="CG123" i="9"/>
  <c r="CG69" i="9"/>
  <c r="BR61" i="9"/>
  <c r="BR124" i="9" s="1"/>
  <c r="BS156" i="9"/>
  <c r="BJ109" i="9"/>
  <c r="BI198" i="9"/>
  <c r="BQ84" i="9"/>
  <c r="CH184" i="9"/>
  <c r="BQ137" i="9"/>
  <c r="BI84" i="9"/>
  <c r="CY46" i="9"/>
  <c r="CG54" i="9"/>
  <c r="CX31" i="9"/>
  <c r="CX96" i="9" s="1"/>
  <c r="CX46" i="9"/>
  <c r="CX110" i="9" s="1"/>
  <c r="AE46" i="9"/>
  <c r="AE110" i="9" s="1"/>
  <c r="CX76" i="9"/>
  <c r="CX138" i="9" s="1"/>
  <c r="DF170" i="9"/>
  <c r="AE76" i="9"/>
  <c r="AE138" i="9" s="1"/>
  <c r="CH137" i="9"/>
  <c r="DF156" i="9"/>
  <c r="CQ184" i="9"/>
  <c r="AT31" i="9"/>
  <c r="AT96" i="9" s="1"/>
  <c r="CG170" i="9"/>
  <c r="BA137" i="9"/>
  <c r="V137" i="9"/>
  <c r="DF137" i="9"/>
  <c r="DF31" i="9"/>
  <c r="DF96" i="9" s="1"/>
  <c r="DF76" i="9"/>
  <c r="DF138" i="9" s="1"/>
  <c r="DF46" i="9"/>
  <c r="DF110" i="9" s="1"/>
  <c r="CY123" i="9"/>
  <c r="DE31" i="9"/>
  <c r="DE96" i="9" s="1"/>
  <c r="BJ184" i="9"/>
  <c r="U95" i="9"/>
  <c r="L39" i="9"/>
  <c r="BS170" i="9"/>
  <c r="AD123" i="9"/>
  <c r="BK137" i="9"/>
  <c r="CW31" i="9"/>
  <c r="CW96" i="9" s="1"/>
  <c r="CW46" i="9"/>
  <c r="CW76" i="9"/>
  <c r="CW138" i="9" s="1"/>
  <c r="BZ48" i="9"/>
  <c r="BZ112" i="9" s="1"/>
  <c r="BK156" i="9"/>
  <c r="V184" i="9"/>
  <c r="CG95" i="9"/>
  <c r="CI31" i="9"/>
  <c r="CI96" i="9" s="1"/>
  <c r="BY123" i="9"/>
  <c r="DG61" i="9"/>
  <c r="DG124" i="9" s="1"/>
  <c r="CW156" i="9"/>
  <c r="CQ95" i="9"/>
  <c r="BZ137" i="9"/>
  <c r="BA76" i="9"/>
  <c r="BA138" i="9" s="1"/>
  <c r="CW69" i="9"/>
  <c r="W61" i="9"/>
  <c r="W124" i="9" s="1"/>
  <c r="CG46" i="9"/>
  <c r="BJ95" i="9"/>
  <c r="CI61" i="9"/>
  <c r="CI124" i="9" s="1"/>
  <c r="CX198" i="9"/>
  <c r="U170" i="9"/>
  <c r="BQ170" i="9"/>
  <c r="CW137" i="9"/>
  <c r="CX184" i="9"/>
  <c r="CG137" i="9"/>
  <c r="BR109" i="9"/>
  <c r="BK76" i="9"/>
  <c r="BK138" i="9" s="1"/>
  <c r="BZ76" i="9"/>
  <c r="BZ138" i="9" s="1"/>
  <c r="BK46" i="9"/>
  <c r="BK110" i="9" s="1"/>
  <c r="AE95" i="9"/>
  <c r="CO123" i="9"/>
  <c r="BZ46" i="9"/>
  <c r="BZ110" i="9" s="1"/>
  <c r="DG170" i="9"/>
  <c r="BZ31" i="9"/>
  <c r="BK61" i="9"/>
  <c r="AD137" i="9"/>
  <c r="CO69" i="9"/>
  <c r="CG84" i="9"/>
  <c r="BR76" i="9"/>
  <c r="BR138" i="9" s="1"/>
  <c r="CP31" i="9"/>
  <c r="CP96" i="9" s="1"/>
  <c r="CI137" i="9"/>
  <c r="CP78" i="9"/>
  <c r="CP140" i="9" s="1"/>
  <c r="BR31" i="9"/>
  <c r="BR96" i="9" s="1"/>
  <c r="CP76" i="9"/>
  <c r="CP138" i="9" s="1"/>
  <c r="DG184" i="9"/>
  <c r="CW84" i="9"/>
  <c r="CA76" i="9"/>
  <c r="U184" i="9"/>
  <c r="DE170" i="9"/>
  <c r="DG198" i="9"/>
  <c r="BA39" i="9"/>
  <c r="V31" i="9"/>
  <c r="V96" i="9" s="1"/>
  <c r="BI61" i="9"/>
  <c r="BI124" i="9" s="1"/>
  <c r="W184" i="9"/>
  <c r="DF123" i="9"/>
  <c r="BK109" i="9"/>
  <c r="BC46" i="9"/>
  <c r="BC110" i="9" s="1"/>
  <c r="AE170" i="9"/>
  <c r="CW109" i="9"/>
  <c r="BR184" i="9"/>
  <c r="BQ76" i="9"/>
  <c r="BA156" i="9"/>
  <c r="DE198" i="9"/>
  <c r="CQ31" i="9"/>
  <c r="W46" i="9"/>
  <c r="AC61" i="9"/>
  <c r="AC124" i="9" s="1"/>
  <c r="CG61" i="9"/>
  <c r="CG124" i="9" s="1"/>
  <c r="CQ46" i="9"/>
  <c r="CQ110" i="9" s="1"/>
  <c r="BA31" i="9"/>
  <c r="BY109" i="9"/>
  <c r="BY39" i="9"/>
  <c r="BB123" i="9"/>
  <c r="CI76" i="9"/>
  <c r="BA61" i="9"/>
  <c r="BA124" i="9" s="1"/>
  <c r="BY84" i="9"/>
  <c r="V61" i="9"/>
  <c r="DG31" i="9"/>
  <c r="BS31" i="9"/>
  <c r="BS96" i="9" s="1"/>
  <c r="CP156" i="9"/>
  <c r="CA95" i="9"/>
  <c r="CP123" i="9"/>
  <c r="BI184" i="9"/>
  <c r="BY137" i="9"/>
  <c r="BY69" i="9"/>
  <c r="BS76" i="9"/>
  <c r="BS138" i="9" s="1"/>
  <c r="U31" i="9"/>
  <c r="U96" i="9" s="1"/>
  <c r="W76" i="9"/>
  <c r="W138" i="9" s="1"/>
  <c r="DG76" i="9"/>
  <c r="DG138" i="9" s="1"/>
  <c r="CG76" i="9"/>
  <c r="CG138" i="9" s="1"/>
  <c r="BS46" i="9"/>
  <c r="BS110" i="9" s="1"/>
  <c r="V109" i="9"/>
  <c r="CI184" i="9"/>
  <c r="BY54" i="9"/>
  <c r="CW54" i="9"/>
  <c r="U61" i="9"/>
  <c r="U124" i="9" s="1"/>
  <c r="CW39" i="9"/>
  <c r="DE84" i="9"/>
  <c r="DE184" i="9"/>
  <c r="BA69" i="9"/>
  <c r="CP46" i="9"/>
  <c r="CP110" i="9" s="1"/>
  <c r="BI170" i="9"/>
  <c r="AU46" i="9"/>
  <c r="AU110" i="9" s="1"/>
  <c r="DE54" i="9"/>
  <c r="BR95" i="9"/>
  <c r="BA123" i="9"/>
  <c r="AD109" i="9"/>
  <c r="DE95" i="9"/>
  <c r="CY31" i="9"/>
  <c r="CY96" i="9" s="1"/>
  <c r="AE31" i="9"/>
  <c r="CH61" i="9"/>
  <c r="BQ95" i="9"/>
  <c r="BA170" i="9"/>
  <c r="AT46" i="9"/>
  <c r="AT110" i="9" s="1"/>
  <c r="CO31" i="9"/>
  <c r="CO96" i="9" s="1"/>
  <c r="CH76" i="9"/>
  <c r="CH138" i="9" s="1"/>
  <c r="BC170" i="9"/>
  <c r="AT76" i="9"/>
  <c r="CO46" i="9"/>
  <c r="CO110" i="9" s="1"/>
  <c r="CH31" i="9"/>
  <c r="CH96" i="9" s="1"/>
  <c r="CO54" i="9"/>
  <c r="CY76" i="9"/>
  <c r="CY138" i="9" s="1"/>
  <c r="CO61" i="9"/>
  <c r="AC123" i="9"/>
  <c r="CO95" i="9"/>
  <c r="CO109" i="9"/>
  <c r="BZ123" i="9"/>
  <c r="BA54" i="9"/>
  <c r="U46" i="9"/>
  <c r="U110" i="9" s="1"/>
  <c r="V46" i="9"/>
  <c r="V110" i="9" s="1"/>
  <c r="AC76" i="9"/>
  <c r="AC138" i="9" s="1"/>
  <c r="CQ61" i="9"/>
  <c r="CQ124" i="9" s="1"/>
  <c r="CO84" i="9"/>
  <c r="AC31" i="9"/>
  <c r="CA137" i="9"/>
  <c r="AD61" i="9"/>
  <c r="AD124" i="9" s="1"/>
  <c r="AD46" i="9"/>
  <c r="AD110" i="9" s="1"/>
  <c r="BC123" i="9"/>
  <c r="U69" i="9"/>
  <c r="BQ61" i="9"/>
  <c r="BZ95" i="9"/>
  <c r="CA184" i="9"/>
  <c r="AD31" i="9"/>
  <c r="AD96" i="9" s="1"/>
  <c r="BQ31" i="9"/>
  <c r="BQ96" i="9" s="1"/>
  <c r="CQ109" i="9"/>
  <c r="CA78" i="9"/>
  <c r="CA140" i="9" s="1"/>
  <c r="AU76" i="9"/>
  <c r="BI76" i="9"/>
  <c r="BI138" i="9" s="1"/>
  <c r="CI156" i="9"/>
  <c r="CO198" i="9"/>
  <c r="AU61" i="9"/>
  <c r="AU124" i="9" s="1"/>
  <c r="BI46" i="9"/>
  <c r="BI110" i="9" s="1"/>
  <c r="W137" i="9"/>
  <c r="DE69" i="9"/>
  <c r="AE137" i="9"/>
  <c r="CX78" i="9"/>
  <c r="CX140" i="9" s="1"/>
  <c r="CA46" i="9"/>
  <c r="DE76" i="9"/>
  <c r="DE138" i="9" s="1"/>
  <c r="AC95" i="9"/>
  <c r="BI156" i="9"/>
  <c r="CA31" i="9"/>
  <c r="DE46" i="9"/>
  <c r="U137" i="9"/>
  <c r="AC137" i="9"/>
  <c r="U39" i="9"/>
  <c r="CY33" i="9"/>
  <c r="CY98" i="9" s="1"/>
  <c r="BC76" i="9"/>
  <c r="CQ198" i="9"/>
  <c r="BR78" i="9"/>
  <c r="BR140" i="9" s="1"/>
  <c r="U54" i="9"/>
  <c r="CO97" i="9"/>
  <c r="CO158" i="9"/>
  <c r="CI77" i="9"/>
  <c r="CI47" i="9"/>
  <c r="CI62" i="9"/>
  <c r="CI32" i="9"/>
  <c r="DG62" i="9"/>
  <c r="DG47" i="9"/>
  <c r="DG77" i="9"/>
  <c r="DG32" i="9"/>
  <c r="BQ139" i="9"/>
  <c r="BQ200" i="9"/>
  <c r="BQ206" i="9" s="1"/>
  <c r="DE158" i="9"/>
  <c r="DE164" i="9" s="1"/>
  <c r="DE97" i="9"/>
  <c r="CG97" i="9"/>
  <c r="CG158" i="9"/>
  <c r="BQ186" i="9"/>
  <c r="BQ125" i="9"/>
  <c r="CG172" i="9"/>
  <c r="CG111" i="9"/>
  <c r="DE139" i="9"/>
  <c r="DE200" i="9"/>
  <c r="BQ172" i="9"/>
  <c r="BQ111" i="9"/>
  <c r="CG186" i="9"/>
  <c r="CG125" i="9"/>
  <c r="CX47" i="9"/>
  <c r="CX32" i="9"/>
  <c r="CX62" i="9"/>
  <c r="CX77" i="9"/>
  <c r="DF62" i="9"/>
  <c r="DF32" i="9"/>
  <c r="DF77" i="9"/>
  <c r="DF47" i="9"/>
  <c r="CO200" i="9"/>
  <c r="CO139" i="9"/>
  <c r="BY46" i="9"/>
  <c r="BY110" i="9" s="1"/>
  <c r="CG139" i="9"/>
  <c r="CG200" i="9"/>
  <c r="CG206" i="9" s="1"/>
  <c r="CW186" i="9"/>
  <c r="CW125" i="9"/>
  <c r="CH32" i="9"/>
  <c r="CH77" i="9"/>
  <c r="CH62" i="9"/>
  <c r="CH47" i="9"/>
  <c r="BY61" i="9"/>
  <c r="BY124" i="9" s="1"/>
  <c r="DE39" i="9"/>
  <c r="BY76" i="9"/>
  <c r="BY138" i="9" s="1"/>
  <c r="CI109" i="9"/>
  <c r="CG39" i="9"/>
  <c r="CI170" i="9"/>
  <c r="BQ54" i="9"/>
  <c r="BY200" i="9"/>
  <c r="BY206" i="9" s="1"/>
  <c r="BY139" i="9"/>
  <c r="CW172" i="9"/>
  <c r="CW111" i="9"/>
  <c r="BQ97" i="9"/>
  <c r="BQ158" i="9"/>
  <c r="CW97" i="9"/>
  <c r="CW158" i="9"/>
  <c r="W95" i="9"/>
  <c r="BQ39" i="9"/>
  <c r="CP47" i="9"/>
  <c r="CP32" i="9"/>
  <c r="CP77" i="9"/>
  <c r="CP62" i="9"/>
  <c r="BZ47" i="9"/>
  <c r="BZ32" i="9"/>
  <c r="BZ77" i="9"/>
  <c r="BZ62" i="9"/>
  <c r="CY32" i="9"/>
  <c r="CY62" i="9"/>
  <c r="CY77" i="9"/>
  <c r="CY47" i="9"/>
  <c r="CO186" i="9"/>
  <c r="CO125" i="9"/>
  <c r="CO39" i="9"/>
  <c r="BY186" i="9"/>
  <c r="BY125" i="9"/>
  <c r="CW200" i="9"/>
  <c r="CW206" i="9" s="1"/>
  <c r="CW139" i="9"/>
  <c r="BS47" i="9"/>
  <c r="BS32" i="9"/>
  <c r="BS77" i="9"/>
  <c r="BS62" i="9"/>
  <c r="CQ47" i="9"/>
  <c r="CQ32" i="9"/>
  <c r="CQ77" i="9"/>
  <c r="CQ62" i="9"/>
  <c r="BY172" i="9"/>
  <c r="BY178" i="9" s="1"/>
  <c r="BY111" i="9"/>
  <c r="DE186" i="9"/>
  <c r="DE125" i="9"/>
  <c r="BR47" i="9"/>
  <c r="BR32" i="9"/>
  <c r="BR77" i="9"/>
  <c r="BR62" i="9"/>
  <c r="CA77" i="9"/>
  <c r="CA62" i="9"/>
  <c r="CA47" i="9"/>
  <c r="CA32" i="9"/>
  <c r="CO111" i="9"/>
  <c r="CO172" i="9"/>
  <c r="CO178" i="9" s="1"/>
  <c r="BY97" i="9"/>
  <c r="BY158" i="9"/>
  <c r="DE172" i="9"/>
  <c r="DE111" i="9"/>
  <c r="L84" i="9"/>
  <c r="BB46" i="9"/>
  <c r="BB110" i="9" s="1"/>
  <c r="BB76" i="9"/>
  <c r="BB138" i="9" s="1"/>
  <c r="BB31" i="9"/>
  <c r="BB96" i="9" s="1"/>
  <c r="L54" i="9"/>
  <c r="L69" i="9"/>
  <c r="AC109" i="9"/>
  <c r="BJ76" i="9"/>
  <c r="BJ138" i="9" s="1"/>
  <c r="BJ46" i="9"/>
  <c r="BJ110" i="9" s="1"/>
  <c r="BJ31" i="9"/>
  <c r="BJ96" i="9" s="1"/>
  <c r="AC84" i="9"/>
  <c r="BC61" i="9"/>
  <c r="BC124" i="9" s="1"/>
  <c r="V77" i="9"/>
  <c r="V62" i="9"/>
  <c r="V32" i="9"/>
  <c r="V47" i="9"/>
  <c r="U139" i="9"/>
  <c r="U200" i="9"/>
  <c r="U172" i="9"/>
  <c r="U111" i="9"/>
  <c r="U125" i="9"/>
  <c r="U186" i="9"/>
  <c r="U158" i="9"/>
  <c r="U164" i="9" s="1"/>
  <c r="U97" i="9"/>
  <c r="AC139" i="9"/>
  <c r="AC200" i="9"/>
  <c r="BB156" i="9"/>
  <c r="BB198" i="9"/>
  <c r="AS77" i="9"/>
  <c r="AS47" i="9"/>
  <c r="AS62" i="9"/>
  <c r="AS32" i="9"/>
  <c r="BB33" i="9"/>
  <c r="BK47" i="9"/>
  <c r="BK77" i="9"/>
  <c r="BK32" i="9"/>
  <c r="BK62" i="9"/>
  <c r="BA111" i="9"/>
  <c r="BA172" i="9"/>
  <c r="BA139" i="9"/>
  <c r="BA200" i="9"/>
  <c r="BA158" i="9"/>
  <c r="BA97" i="9"/>
  <c r="BA125" i="9"/>
  <c r="BA186" i="9"/>
  <c r="BC62" i="9"/>
  <c r="BC32" i="9"/>
  <c r="BC77" i="9"/>
  <c r="BC47" i="9"/>
  <c r="BA84" i="9"/>
  <c r="BI139" i="9"/>
  <c r="BI200" i="9"/>
  <c r="BB62" i="9"/>
  <c r="BB32" i="9"/>
  <c r="BB77" i="9"/>
  <c r="BB47" i="9"/>
  <c r="M75" i="9"/>
  <c r="M30" i="9"/>
  <c r="M45" i="9"/>
  <c r="M60" i="9"/>
  <c r="L95" i="9"/>
  <c r="L156" i="9"/>
  <c r="L123" i="9"/>
  <c r="L184" i="9"/>
  <c r="L109" i="9"/>
  <c r="L170" i="9"/>
  <c r="L137" i="9"/>
  <c r="L198" i="9"/>
  <c r="DE136" i="9"/>
  <c r="CW136" i="9"/>
  <c r="CX136" i="9"/>
  <c r="DF136" i="9"/>
  <c r="CW122" i="9"/>
  <c r="CW70" i="9"/>
  <c r="CX122" i="9"/>
  <c r="DF122" i="9"/>
  <c r="DE122" i="9"/>
  <c r="DE70" i="9"/>
  <c r="DF108" i="9"/>
  <c r="DE108" i="9"/>
  <c r="CW108" i="9"/>
  <c r="CX108" i="9"/>
  <c r="CW94" i="9"/>
  <c r="CX94" i="9"/>
  <c r="DF94" i="9"/>
  <c r="DE94" i="9"/>
  <c r="CP94" i="9"/>
  <c r="CG94" i="9"/>
  <c r="CG40" i="9"/>
  <c r="CO94" i="9"/>
  <c r="CH94" i="9"/>
  <c r="BR94" i="9"/>
  <c r="BY94" i="9"/>
  <c r="BY40" i="9"/>
  <c r="BZ94" i="9"/>
  <c r="BQ94" i="9"/>
  <c r="CO108" i="9"/>
  <c r="BY108" i="9"/>
  <c r="BQ108" i="9"/>
  <c r="BQ55" i="9"/>
  <c r="BZ108" i="9"/>
  <c r="CG108" i="9"/>
  <c r="CH108" i="9"/>
  <c r="BR108" i="9"/>
  <c r="CP108" i="9"/>
  <c r="BY122" i="9"/>
  <c r="BQ122" i="9"/>
  <c r="BZ122" i="9"/>
  <c r="CG122" i="9"/>
  <c r="CH122" i="9"/>
  <c r="BR122" i="9"/>
  <c r="CO122" i="9"/>
  <c r="CP122" i="9"/>
  <c r="CG136" i="9"/>
  <c r="CO136" i="9"/>
  <c r="CO85" i="9"/>
  <c r="CP136" i="9"/>
  <c r="BR136" i="9"/>
  <c r="CH136" i="9"/>
  <c r="BY136" i="9"/>
  <c r="BZ136" i="9"/>
  <c r="BQ136" i="9"/>
  <c r="BI136" i="9"/>
  <c r="BB136" i="9"/>
  <c r="BJ136" i="9"/>
  <c r="BA136" i="9"/>
  <c r="AK136" i="9"/>
  <c r="AT136" i="9"/>
  <c r="AS136" i="9"/>
  <c r="AK122" i="9"/>
  <c r="BI122" i="9"/>
  <c r="BB122" i="9"/>
  <c r="BJ122" i="9"/>
  <c r="BA122" i="9"/>
  <c r="AT122" i="9"/>
  <c r="AS122" i="9"/>
  <c r="AK108" i="9"/>
  <c r="BB108" i="9"/>
  <c r="BI108" i="9"/>
  <c r="BJ108" i="9"/>
  <c r="BA108" i="9"/>
  <c r="BA55" i="9"/>
  <c r="AT108" i="9"/>
  <c r="AS108" i="9"/>
  <c r="BB94" i="9"/>
  <c r="BJ94" i="9"/>
  <c r="BI94" i="9"/>
  <c r="BI40" i="9"/>
  <c r="AT94" i="9"/>
  <c r="BA94" i="9"/>
  <c r="AK94" i="9"/>
  <c r="AS94" i="9"/>
  <c r="AD136" i="9"/>
  <c r="U136" i="9"/>
  <c r="U85" i="9"/>
  <c r="AC136" i="9"/>
  <c r="V136" i="9"/>
  <c r="AC122" i="9"/>
  <c r="V122" i="9"/>
  <c r="AD122" i="9"/>
  <c r="U122" i="9"/>
  <c r="AD108" i="9"/>
  <c r="AC108" i="9"/>
  <c r="AC55" i="9"/>
  <c r="V108" i="9"/>
  <c r="U108" i="9"/>
  <c r="V94" i="9"/>
  <c r="AD94" i="9"/>
  <c r="U94" i="9"/>
  <c r="AC94" i="9"/>
  <c r="N94" i="9"/>
  <c r="L94" i="9"/>
  <c r="L40" i="9"/>
  <c r="M94" i="9"/>
  <c r="M108" i="9"/>
  <c r="N108" i="9"/>
  <c r="L108" i="9"/>
  <c r="L55" i="9"/>
  <c r="M136" i="9"/>
  <c r="N136" i="9"/>
  <c r="L136" i="9"/>
  <c r="L85" i="9"/>
  <c r="M122" i="9"/>
  <c r="N122" i="9"/>
  <c r="L122" i="9"/>
  <c r="L70" i="9"/>
  <c r="E122" i="9"/>
  <c r="CN136" i="9"/>
  <c r="CN145" i="9" s="1"/>
  <c r="BH136" i="9"/>
  <c r="BP136" i="9"/>
  <c r="AZ136" i="9"/>
  <c r="AZ145" i="9" s="1"/>
  <c r="DD136" i="9"/>
  <c r="AR136" i="9"/>
  <c r="CF136" i="9"/>
  <c r="CV136" i="9"/>
  <c r="CV145" i="9" s="1"/>
  <c r="BX136" i="9"/>
  <c r="BX145" i="9" s="1"/>
  <c r="CV122" i="9"/>
  <c r="CV131" i="9" s="1"/>
  <c r="BP122" i="9"/>
  <c r="BP131" i="9" s="1"/>
  <c r="DD122" i="9"/>
  <c r="BX122" i="9"/>
  <c r="AR122" i="9"/>
  <c r="CF122" i="9"/>
  <c r="CF131" i="9" s="1"/>
  <c r="BH122" i="9"/>
  <c r="BH131" i="9" s="1"/>
  <c r="CN122" i="9"/>
  <c r="CN131" i="9" s="1"/>
  <c r="AZ122" i="9"/>
  <c r="AZ131" i="9" s="1"/>
  <c r="BH108" i="9"/>
  <c r="BH117" i="9" s="1"/>
  <c r="D37" i="20" s="1"/>
  <c r="AZ108" i="9"/>
  <c r="DD108" i="9"/>
  <c r="BP108" i="9"/>
  <c r="CV108" i="9"/>
  <c r="CV117" i="9" s="1"/>
  <c r="D42" i="20" s="1"/>
  <c r="BX108" i="9"/>
  <c r="BX117" i="9" s="1"/>
  <c r="D39" i="20" s="1"/>
  <c r="AR108" i="9"/>
  <c r="AR117" i="9" s="1"/>
  <c r="D35" i="20" s="1"/>
  <c r="CN108" i="9"/>
  <c r="CN117" i="9" s="1"/>
  <c r="D41" i="20" s="1"/>
  <c r="CF108" i="9"/>
  <c r="CF117" i="9" s="1"/>
  <c r="D40" i="20" s="1"/>
  <c r="BX94" i="9"/>
  <c r="AR94" i="9"/>
  <c r="CN94" i="9"/>
  <c r="CF94" i="9"/>
  <c r="CF103" i="9" s="1"/>
  <c r="D21" i="20" s="1"/>
  <c r="CV94" i="9"/>
  <c r="BH94" i="9"/>
  <c r="BP94" i="9"/>
  <c r="BP103" i="9" s="1"/>
  <c r="D19" i="20" s="1"/>
  <c r="AZ94" i="9"/>
  <c r="AZ103" i="9" s="1"/>
  <c r="D17" i="20" s="1"/>
  <c r="DD94" i="9"/>
  <c r="AL94" i="9"/>
  <c r="AB122" i="9"/>
  <c r="AB131" i="9" s="1"/>
  <c r="L182" i="9"/>
  <c r="L121" i="9"/>
  <c r="L168" i="9"/>
  <c r="L107" i="9"/>
  <c r="T136" i="9"/>
  <c r="L154" i="9"/>
  <c r="L93" i="9"/>
  <c r="T94" i="9"/>
  <c r="T103" i="9" s="1"/>
  <c r="D13" i="20" s="1"/>
  <c r="AB108" i="9"/>
  <c r="AB117" i="9" s="1"/>
  <c r="D33" i="20" s="1"/>
  <c r="AB136" i="9"/>
  <c r="AB145" i="9" s="1"/>
  <c r="AB94" i="9"/>
  <c r="AB103" i="9" s="1"/>
  <c r="D14" i="20" s="1"/>
  <c r="T122" i="9"/>
  <c r="T131" i="9" s="1"/>
  <c r="L196" i="9"/>
  <c r="L135" i="9"/>
  <c r="T108" i="9"/>
  <c r="T117" i="9" s="1"/>
  <c r="D32" i="20" s="1"/>
  <c r="D136" i="9"/>
  <c r="D145" i="9" s="1"/>
  <c r="D122" i="9"/>
  <c r="D108" i="9"/>
  <c r="D94" i="9"/>
  <c r="D103" i="9" s="1"/>
  <c r="N75" i="9" l="1"/>
  <c r="N137" i="9" s="1"/>
  <c r="N7" i="9"/>
  <c r="N8" i="9" s="1"/>
  <c r="M11" i="9"/>
  <c r="M20" i="9" s="1"/>
  <c r="L14" i="9"/>
  <c r="O60" i="9" s="1"/>
  <c r="O123" i="9" s="1"/>
  <c r="AL20" i="9"/>
  <c r="N9" i="9"/>
  <c r="G59" i="9"/>
  <c r="G122" i="9" s="1"/>
  <c r="F135" i="9"/>
  <c r="AI19" i="9"/>
  <c r="AM7" i="9" s="1"/>
  <c r="G74" i="9"/>
  <c r="G136" i="9" s="1"/>
  <c r="C20" i="9"/>
  <c r="G44" i="9"/>
  <c r="G108" i="9" s="1"/>
  <c r="G58" i="9"/>
  <c r="G28" i="9"/>
  <c r="G73" i="9"/>
  <c r="G43" i="9"/>
  <c r="AL135" i="9"/>
  <c r="AL196" i="9"/>
  <c r="AL107" i="9"/>
  <c r="AL168" i="9"/>
  <c r="AL182" i="9"/>
  <c r="AL121" i="9"/>
  <c r="AL93" i="9"/>
  <c r="AL154" i="9"/>
  <c r="AM43" i="9"/>
  <c r="AM73" i="9"/>
  <c r="AM28" i="9"/>
  <c r="AM58" i="9"/>
  <c r="F121" i="9"/>
  <c r="F107" i="9"/>
  <c r="E76" i="9"/>
  <c r="E85" i="9" s="1"/>
  <c r="F93" i="9"/>
  <c r="F154" i="9"/>
  <c r="F44" i="9"/>
  <c r="F108" i="9" s="1"/>
  <c r="F29" i="9"/>
  <c r="F94" i="9" s="1"/>
  <c r="F74" i="9"/>
  <c r="F136" i="9" s="1"/>
  <c r="F59" i="9"/>
  <c r="F122" i="9" s="1"/>
  <c r="BI125" i="9"/>
  <c r="BI131" i="9" s="1"/>
  <c r="BJ77" i="9"/>
  <c r="BJ200" i="9" s="1"/>
  <c r="BJ47" i="9"/>
  <c r="BJ111" i="9" s="1"/>
  <c r="BJ62" i="9"/>
  <c r="BJ125" i="9" s="1"/>
  <c r="BI186" i="9"/>
  <c r="BI192" i="9" s="1"/>
  <c r="E9" i="9"/>
  <c r="E12" i="9"/>
  <c r="BI111" i="9"/>
  <c r="BI117" i="9" s="1"/>
  <c r="E37" i="20" s="1"/>
  <c r="BI54" i="9"/>
  <c r="BI39" i="9"/>
  <c r="AS76" i="9"/>
  <c r="AS138" i="9" s="1"/>
  <c r="AS40" i="9"/>
  <c r="BI158" i="9"/>
  <c r="BI164" i="9" s="1"/>
  <c r="BI97" i="9"/>
  <c r="BI103" i="9" s="1"/>
  <c r="E18" i="20" s="1"/>
  <c r="E8" i="9"/>
  <c r="E11" i="9" s="1"/>
  <c r="AS46" i="9"/>
  <c r="AS55" i="9" s="1"/>
  <c r="AS61" i="9"/>
  <c r="AS124" i="9" s="1"/>
  <c r="F46" i="9"/>
  <c r="F110" i="9" s="1"/>
  <c r="E46" i="9"/>
  <c r="E55" i="9" s="1"/>
  <c r="F31" i="9"/>
  <c r="F96" i="9" s="1"/>
  <c r="G61" i="9"/>
  <c r="G124" i="9" s="1"/>
  <c r="F76" i="9"/>
  <c r="F138" i="9" s="1"/>
  <c r="AS38" i="9"/>
  <c r="AS95" i="9"/>
  <c r="E31" i="9"/>
  <c r="E96" i="9" s="1"/>
  <c r="E61" i="9"/>
  <c r="E70" i="9" s="1"/>
  <c r="AS198" i="9"/>
  <c r="E170" i="9"/>
  <c r="E198" i="9"/>
  <c r="G76" i="9"/>
  <c r="G138" i="9" s="1"/>
  <c r="AD62" i="9"/>
  <c r="AD186" i="9" s="1"/>
  <c r="G31" i="9"/>
  <c r="G96" i="9" s="1"/>
  <c r="AE77" i="9"/>
  <c r="AE139" i="9" s="1"/>
  <c r="E77" i="9"/>
  <c r="E139" i="9" s="1"/>
  <c r="E62" i="9"/>
  <c r="E125" i="9" s="1"/>
  <c r="AJ136" i="9"/>
  <c r="AJ145" i="9" s="1"/>
  <c r="AC53" i="9"/>
  <c r="AC172" i="9"/>
  <c r="AC178" i="9" s="1"/>
  <c r="E47" i="9"/>
  <c r="E172" i="9" s="1"/>
  <c r="E32" i="9"/>
  <c r="E97" i="9" s="1"/>
  <c r="AK31" i="9"/>
  <c r="AK96" i="9" s="1"/>
  <c r="AC54" i="9"/>
  <c r="AJ156" i="9"/>
  <c r="AJ164" i="9" s="1"/>
  <c r="AK62" i="9"/>
  <c r="AK186" i="9" s="1"/>
  <c r="AE32" i="9"/>
  <c r="AE158" i="9" s="1"/>
  <c r="AC69" i="9"/>
  <c r="D20" i="9"/>
  <c r="E95" i="9"/>
  <c r="AD77" i="9"/>
  <c r="AD200" i="9" s="1"/>
  <c r="AK137" i="9"/>
  <c r="AC158" i="9"/>
  <c r="AC164" i="9" s="1"/>
  <c r="AC39" i="9"/>
  <c r="D131" i="9"/>
  <c r="E123" i="9"/>
  <c r="AE47" i="9"/>
  <c r="AE172" i="9" s="1"/>
  <c r="D117" i="9"/>
  <c r="D30" i="20" s="1"/>
  <c r="AC125" i="9"/>
  <c r="AC131" i="9" s="1"/>
  <c r="AJ68" i="9"/>
  <c r="AD32" i="9"/>
  <c r="AD158" i="9" s="1"/>
  <c r="G75" i="9"/>
  <c r="AJ95" i="9"/>
  <c r="AJ103" i="9" s="1"/>
  <c r="D15" i="20" s="1"/>
  <c r="AT137" i="9"/>
  <c r="AJ55" i="9"/>
  <c r="AJ109" i="9"/>
  <c r="AJ117" i="9" s="1"/>
  <c r="D34" i="20" s="1"/>
  <c r="AJ122" i="9"/>
  <c r="AJ38" i="9"/>
  <c r="AJ123" i="9"/>
  <c r="AJ54" i="9"/>
  <c r="AU109" i="9"/>
  <c r="AK60" i="9"/>
  <c r="AK123" i="9" s="1"/>
  <c r="AJ53" i="9"/>
  <c r="AJ184" i="9"/>
  <c r="AJ192" i="9" s="1"/>
  <c r="AS170" i="9"/>
  <c r="AJ83" i="9"/>
  <c r="AJ198" i="9"/>
  <c r="AJ206" i="9" s="1"/>
  <c r="N30" i="9"/>
  <c r="N95" i="9" s="1"/>
  <c r="N60" i="9"/>
  <c r="N123" i="9" s="1"/>
  <c r="W77" i="9"/>
  <c r="W200" i="9" s="1"/>
  <c r="W32" i="9"/>
  <c r="W97" i="9" s="1"/>
  <c r="W47" i="9"/>
  <c r="W111" i="9" s="1"/>
  <c r="W62" i="9"/>
  <c r="W186" i="9" s="1"/>
  <c r="AJ69" i="9"/>
  <c r="AK30" i="9"/>
  <c r="AK95" i="9" s="1"/>
  <c r="AJ84" i="9"/>
  <c r="AK45" i="9"/>
  <c r="AK109" i="9" s="1"/>
  <c r="AL30" i="9"/>
  <c r="AL156" i="9" s="1"/>
  <c r="G123" i="9"/>
  <c r="G184" i="9"/>
  <c r="F75" i="9"/>
  <c r="F45" i="9"/>
  <c r="F30" i="9"/>
  <c r="F60" i="9"/>
  <c r="G30" i="9"/>
  <c r="G45" i="9"/>
  <c r="AT109" i="9"/>
  <c r="AM31" i="9"/>
  <c r="AM96" i="9" s="1"/>
  <c r="AM60" i="9"/>
  <c r="AM123" i="9" s="1"/>
  <c r="AM30" i="9"/>
  <c r="AM95" i="9" s="1"/>
  <c r="AM45" i="9"/>
  <c r="AM170" i="9" s="1"/>
  <c r="AU198" i="9"/>
  <c r="AU123" i="9"/>
  <c r="AL31" i="9"/>
  <c r="AL96" i="9" s="1"/>
  <c r="AT123" i="9"/>
  <c r="AL75" i="9"/>
  <c r="AL198" i="9" s="1"/>
  <c r="AL60" i="9"/>
  <c r="AL184" i="9" s="1"/>
  <c r="AL109" i="9"/>
  <c r="U192" i="9"/>
  <c r="CO145" i="9"/>
  <c r="BQ117" i="9"/>
  <c r="E38" i="20" s="1"/>
  <c r="L103" i="9"/>
  <c r="D12" i="20" s="1"/>
  <c r="DE131" i="9"/>
  <c r="BI145" i="9"/>
  <c r="DE38" i="9"/>
  <c r="CO103" i="9"/>
  <c r="E22" i="20" s="1"/>
  <c r="BY53" i="9"/>
  <c r="DE178" i="9"/>
  <c r="CW103" i="9"/>
  <c r="E23" i="20" s="1"/>
  <c r="BY117" i="9"/>
  <c r="E39" i="20" s="1"/>
  <c r="DE206" i="9"/>
  <c r="U117" i="9"/>
  <c r="E32" i="20" s="1"/>
  <c r="DE145" i="9"/>
  <c r="BI206" i="9"/>
  <c r="CG83" i="9"/>
  <c r="CG178" i="9"/>
  <c r="BA178" i="9"/>
  <c r="CG131" i="9"/>
  <c r="CG103" i="9"/>
  <c r="E21" i="20" s="1"/>
  <c r="BA117" i="9"/>
  <c r="E36" i="20" s="1"/>
  <c r="CW164" i="9"/>
  <c r="BA145" i="9"/>
  <c r="CO38" i="9"/>
  <c r="L164" i="9"/>
  <c r="AC145" i="9"/>
  <c r="L206" i="9"/>
  <c r="DE103" i="9"/>
  <c r="E24" i="20" s="1"/>
  <c r="L192" i="9"/>
  <c r="BY103" i="9"/>
  <c r="E20" i="20" s="1"/>
  <c r="CW145" i="9"/>
  <c r="BY164" i="9"/>
  <c r="DE192" i="9"/>
  <c r="CO117" i="9"/>
  <c r="E41" i="20" s="1"/>
  <c r="CO206" i="9"/>
  <c r="U145" i="9"/>
  <c r="BY145" i="9"/>
  <c r="BQ103" i="9"/>
  <c r="E19" i="20" s="1"/>
  <c r="CW131" i="9"/>
  <c r="BQ178" i="9"/>
  <c r="CW192" i="9"/>
  <c r="U53" i="9"/>
  <c r="AC117" i="9"/>
  <c r="E33" i="20" s="1"/>
  <c r="BA164" i="9"/>
  <c r="U103" i="9"/>
  <c r="E13" i="20" s="1"/>
  <c r="U131" i="9"/>
  <c r="U38" i="9"/>
  <c r="BA96" i="9"/>
  <c r="BA103" i="9" s="1"/>
  <c r="E17" i="20" s="1"/>
  <c r="BA38" i="9"/>
  <c r="CA96" i="9"/>
  <c r="BQ124" i="9"/>
  <c r="BQ131" i="9" s="1"/>
  <c r="BQ68" i="9"/>
  <c r="CH124" i="9"/>
  <c r="CA138" i="9"/>
  <c r="DD103" i="9"/>
  <c r="D24" i="20" s="1"/>
  <c r="AR145" i="9"/>
  <c r="T145" i="9"/>
  <c r="CG145" i="9"/>
  <c r="BY131" i="9"/>
  <c r="BQ138" i="9"/>
  <c r="BQ145" i="9" s="1"/>
  <c r="BQ83" i="9"/>
  <c r="DE110" i="9"/>
  <c r="DE117" i="9" s="1"/>
  <c r="E43" i="20" s="1"/>
  <c r="DE53" i="9"/>
  <c r="AC96" i="9"/>
  <c r="AC103" i="9" s="1"/>
  <c r="E14" i="20" s="1"/>
  <c r="AC38" i="9"/>
  <c r="V124" i="9"/>
  <c r="AT138" i="9"/>
  <c r="BQ164" i="9"/>
  <c r="CO164" i="9"/>
  <c r="CO124" i="9"/>
  <c r="CO131" i="9" s="1"/>
  <c r="CO68" i="9"/>
  <c r="BZ96" i="9"/>
  <c r="CG110" i="9"/>
  <c r="CG117" i="9" s="1"/>
  <c r="E40" i="20" s="1"/>
  <c r="CG53" i="9"/>
  <c r="DD117" i="9"/>
  <c r="D43" i="20" s="1"/>
  <c r="BA206" i="9"/>
  <c r="AZ117" i="9"/>
  <c r="D36" i="20" s="1"/>
  <c r="U206" i="9"/>
  <c r="U178" i="9"/>
  <c r="BQ192" i="9"/>
  <c r="BX103" i="9"/>
  <c r="D20" i="20" s="1"/>
  <c r="BA131" i="9"/>
  <c r="DD145" i="9"/>
  <c r="AC206" i="9"/>
  <c r="CG192" i="9"/>
  <c r="CW110" i="9"/>
  <c r="CW117" i="9" s="1"/>
  <c r="E42" i="20" s="1"/>
  <c r="CW53" i="9"/>
  <c r="BX131" i="9"/>
  <c r="CG55" i="9"/>
  <c r="CV103" i="9"/>
  <c r="D23" i="20" s="1"/>
  <c r="AM137" i="9"/>
  <c r="AM198" i="9"/>
  <c r="L131" i="9"/>
  <c r="AR103" i="9"/>
  <c r="D16" i="20" s="1"/>
  <c r="CA110" i="9"/>
  <c r="DG96" i="9"/>
  <c r="BA68" i="9"/>
  <c r="DE83" i="9"/>
  <c r="BA83" i="9"/>
  <c r="BK124" i="9"/>
  <c r="CY110" i="9"/>
  <c r="BI68" i="9"/>
  <c r="BH103" i="9"/>
  <c r="D18" i="20" s="1"/>
  <c r="BC138" i="9"/>
  <c r="AE96" i="9"/>
  <c r="CW38" i="9"/>
  <c r="BQ38" i="9"/>
  <c r="CI138" i="9"/>
  <c r="BA192" i="9"/>
  <c r="CF145" i="9"/>
  <c r="BI83" i="9"/>
  <c r="BY83" i="9"/>
  <c r="W110" i="9"/>
  <c r="BI53" i="9"/>
  <c r="BP145" i="9"/>
  <c r="AC68" i="9"/>
  <c r="CG68" i="9"/>
  <c r="CQ96" i="9"/>
  <c r="BP117" i="9"/>
  <c r="D38" i="20" s="1"/>
  <c r="BY192" i="9"/>
  <c r="CW178" i="9"/>
  <c r="AC83" i="9"/>
  <c r="U68" i="9"/>
  <c r="BH145" i="9"/>
  <c r="L117" i="9"/>
  <c r="D31" i="20" s="1"/>
  <c r="AU138" i="9"/>
  <c r="BI178" i="9"/>
  <c r="L145" i="9"/>
  <c r="L178" i="9"/>
  <c r="L44" i="20" s="1"/>
  <c r="E32" i="11" s="1"/>
  <c r="AN5" i="28" s="1"/>
  <c r="CG164" i="9"/>
  <c r="DD131" i="9"/>
  <c r="CO192" i="9"/>
  <c r="BY68" i="9"/>
  <c r="CN103" i="9"/>
  <c r="D22" i="20" s="1"/>
  <c r="AR131" i="9"/>
  <c r="CW83" i="9"/>
  <c r="AC192" i="9"/>
  <c r="CO53" i="9"/>
  <c r="AC70" i="9"/>
  <c r="DE40" i="9"/>
  <c r="CW55" i="9"/>
  <c r="BZ78" i="9"/>
  <c r="BZ140" i="9" s="1"/>
  <c r="BZ63" i="9"/>
  <c r="BZ126" i="9" s="1"/>
  <c r="BZ33" i="9"/>
  <c r="BZ98" i="9" s="1"/>
  <c r="CW40" i="9"/>
  <c r="BA85" i="9"/>
  <c r="U70" i="9"/>
  <c r="CP33" i="9"/>
  <c r="CP98" i="9" s="1"/>
  <c r="CW85" i="9"/>
  <c r="BQ85" i="9"/>
  <c r="CP48" i="9"/>
  <c r="CP112" i="9" s="1"/>
  <c r="CP63" i="9"/>
  <c r="CP126" i="9" s="1"/>
  <c r="BI70" i="9"/>
  <c r="DE55" i="9"/>
  <c r="CA48" i="9"/>
  <c r="CA112" i="9" s="1"/>
  <c r="CA33" i="9"/>
  <c r="CA98" i="9" s="1"/>
  <c r="BI85" i="9"/>
  <c r="CA63" i="9"/>
  <c r="CG85" i="9"/>
  <c r="BQ40" i="9"/>
  <c r="U40" i="9"/>
  <c r="BA70" i="9"/>
  <c r="CG70" i="9"/>
  <c r="AE48" i="9"/>
  <c r="AE112" i="9" s="1"/>
  <c r="AE78" i="9"/>
  <c r="AE140" i="9" s="1"/>
  <c r="AE63" i="9"/>
  <c r="AE126" i="9" s="1"/>
  <c r="CY48" i="9"/>
  <c r="CY112" i="9" s="1"/>
  <c r="BA40" i="9"/>
  <c r="AC85" i="9"/>
  <c r="CO70" i="9"/>
  <c r="BQ70" i="9"/>
  <c r="CY78" i="9"/>
  <c r="CY140" i="9" s="1"/>
  <c r="CO40" i="9"/>
  <c r="CO55" i="9"/>
  <c r="U55" i="9"/>
  <c r="CP85" i="9"/>
  <c r="BZ55" i="9"/>
  <c r="BR48" i="9"/>
  <c r="BR112" i="9" s="1"/>
  <c r="BR33" i="9"/>
  <c r="BR98" i="9" s="1"/>
  <c r="CY63" i="9"/>
  <c r="CY126" i="9" s="1"/>
  <c r="BR63" i="9"/>
  <c r="AC40" i="9"/>
  <c r="CX33" i="9"/>
  <c r="CX63" i="9"/>
  <c r="CX48" i="9"/>
  <c r="BI55" i="9"/>
  <c r="DE85" i="9"/>
  <c r="BR85" i="9"/>
  <c r="AT33" i="9"/>
  <c r="CX85" i="9"/>
  <c r="CY200" i="9"/>
  <c r="CY139" i="9"/>
  <c r="DG125" i="9"/>
  <c r="DG186" i="9"/>
  <c r="DF111" i="9"/>
  <c r="DF172" i="9"/>
  <c r="CI111" i="9"/>
  <c r="CI172" i="9"/>
  <c r="CI48" i="9"/>
  <c r="CI33" i="9"/>
  <c r="CI78" i="9"/>
  <c r="CI63" i="9"/>
  <c r="CQ125" i="9"/>
  <c r="CQ186" i="9"/>
  <c r="CH111" i="9"/>
  <c r="CH172" i="9"/>
  <c r="DF139" i="9"/>
  <c r="DF200" i="9"/>
  <c r="CI139" i="9"/>
  <c r="CI200" i="9"/>
  <c r="CA158" i="9"/>
  <c r="CA97" i="9"/>
  <c r="CQ139" i="9"/>
  <c r="CQ200" i="9"/>
  <c r="CH186" i="9"/>
  <c r="CH125" i="9"/>
  <c r="DF97" i="9"/>
  <c r="DF158" i="9"/>
  <c r="CY97" i="9"/>
  <c r="CY158" i="9"/>
  <c r="CA172" i="9"/>
  <c r="CA111" i="9"/>
  <c r="CQ158" i="9"/>
  <c r="CQ97" i="9"/>
  <c r="BZ125" i="9"/>
  <c r="BZ186" i="9"/>
  <c r="CH139" i="9"/>
  <c r="CH200" i="9"/>
  <c r="DF186" i="9"/>
  <c r="DF125" i="9"/>
  <c r="BY85" i="9"/>
  <c r="BY70" i="9"/>
  <c r="CA186" i="9"/>
  <c r="CA125" i="9"/>
  <c r="CQ172" i="9"/>
  <c r="CQ111" i="9"/>
  <c r="BZ200" i="9"/>
  <c r="BZ139" i="9"/>
  <c r="CH97" i="9"/>
  <c r="CH158" i="9"/>
  <c r="DF64" i="9"/>
  <c r="DF69" i="9" s="1"/>
  <c r="DF34" i="9"/>
  <c r="DF49" i="9"/>
  <c r="DF54" i="9" s="1"/>
  <c r="DF79" i="9"/>
  <c r="BY55" i="9"/>
  <c r="CA200" i="9"/>
  <c r="CA139" i="9"/>
  <c r="CQ63" i="9"/>
  <c r="CQ48" i="9"/>
  <c r="CQ33" i="9"/>
  <c r="CQ78" i="9"/>
  <c r="BZ158" i="9"/>
  <c r="BZ97" i="9"/>
  <c r="CH64" i="9"/>
  <c r="CH69" i="9" s="1"/>
  <c r="CH49" i="9"/>
  <c r="CH54" i="9" s="1"/>
  <c r="CH79" i="9"/>
  <c r="CH84" i="9" s="1"/>
  <c r="CH34" i="9"/>
  <c r="CH39" i="9" s="1"/>
  <c r="CX200" i="9"/>
  <c r="CX139" i="9"/>
  <c r="CY125" i="9"/>
  <c r="CY186" i="9"/>
  <c r="BR125" i="9"/>
  <c r="BR186" i="9"/>
  <c r="BS125" i="9"/>
  <c r="BS186" i="9"/>
  <c r="BZ172" i="9"/>
  <c r="BZ111" i="9"/>
  <c r="DF48" i="9"/>
  <c r="DF78" i="9"/>
  <c r="DF33" i="9"/>
  <c r="DF63" i="9"/>
  <c r="CX125" i="9"/>
  <c r="CX186" i="9"/>
  <c r="BR200" i="9"/>
  <c r="BR139" i="9"/>
  <c r="BS139" i="9"/>
  <c r="BS200" i="9"/>
  <c r="BZ64" i="9"/>
  <c r="BZ69" i="9" s="1"/>
  <c r="BZ34" i="9"/>
  <c r="BZ79" i="9"/>
  <c r="BZ84" i="9" s="1"/>
  <c r="BZ49" i="9"/>
  <c r="BZ53" i="9" s="1"/>
  <c r="CX158" i="9"/>
  <c r="CX97" i="9"/>
  <c r="CH48" i="9"/>
  <c r="CH33" i="9"/>
  <c r="CH78" i="9"/>
  <c r="CH63" i="9"/>
  <c r="DG48" i="9"/>
  <c r="DG78" i="9"/>
  <c r="DG33" i="9"/>
  <c r="DG63" i="9"/>
  <c r="BR158" i="9"/>
  <c r="BR97" i="9"/>
  <c r="BS158" i="9"/>
  <c r="BS97" i="9"/>
  <c r="CP186" i="9"/>
  <c r="CP125" i="9"/>
  <c r="CX111" i="9"/>
  <c r="CX172" i="9"/>
  <c r="CI158" i="9"/>
  <c r="CI97" i="9"/>
  <c r="CI125" i="9"/>
  <c r="CI186" i="9"/>
  <c r="BR172" i="9"/>
  <c r="BR111" i="9"/>
  <c r="BS111" i="9"/>
  <c r="BS172" i="9"/>
  <c r="CP139" i="9"/>
  <c r="CP200" i="9"/>
  <c r="CX49" i="9"/>
  <c r="CX54" i="9" s="1"/>
  <c r="CX34" i="9"/>
  <c r="CX64" i="9"/>
  <c r="CX69" i="9" s="1"/>
  <c r="CX79" i="9"/>
  <c r="CX83" i="9" s="1"/>
  <c r="BR34" i="9"/>
  <c r="BR49" i="9"/>
  <c r="BR54" i="9" s="1"/>
  <c r="BR64" i="9"/>
  <c r="BR69" i="9" s="1"/>
  <c r="BR79" i="9"/>
  <c r="BR84" i="9" s="1"/>
  <c r="BS33" i="9"/>
  <c r="BS48" i="9"/>
  <c r="BS78" i="9"/>
  <c r="BS63" i="9"/>
  <c r="CP158" i="9"/>
  <c r="CP97" i="9"/>
  <c r="DG97" i="9"/>
  <c r="DG158" i="9"/>
  <c r="CP172" i="9"/>
  <c r="CP111" i="9"/>
  <c r="DG200" i="9"/>
  <c r="DG139" i="9"/>
  <c r="CY111" i="9"/>
  <c r="CY172" i="9"/>
  <c r="CP79" i="9"/>
  <c r="CP84" i="9" s="1"/>
  <c r="CP34" i="9"/>
  <c r="CP39" i="9" s="1"/>
  <c r="CP64" i="9"/>
  <c r="CP69" i="9" s="1"/>
  <c r="CP49" i="9"/>
  <c r="DG172" i="9"/>
  <c r="DG111" i="9"/>
  <c r="AD48" i="9"/>
  <c r="AD40" i="9"/>
  <c r="AD78" i="9"/>
  <c r="AD63" i="9"/>
  <c r="AU33" i="9"/>
  <c r="W33" i="9"/>
  <c r="W78" i="9"/>
  <c r="W63" i="9"/>
  <c r="W48" i="9"/>
  <c r="V63" i="9"/>
  <c r="V33" i="9"/>
  <c r="V78" i="9"/>
  <c r="V48" i="9"/>
  <c r="AD172" i="9"/>
  <c r="AD111" i="9"/>
  <c r="V172" i="9"/>
  <c r="V111" i="9"/>
  <c r="V158" i="9"/>
  <c r="V97" i="9"/>
  <c r="V186" i="9"/>
  <c r="V125" i="9"/>
  <c r="V139" i="9"/>
  <c r="V200" i="9"/>
  <c r="V49" i="9"/>
  <c r="V54" i="9" s="1"/>
  <c r="V79" i="9"/>
  <c r="V84" i="9" s="1"/>
  <c r="V34" i="9"/>
  <c r="V39" i="9" s="1"/>
  <c r="V64" i="9"/>
  <c r="V69" i="9" s="1"/>
  <c r="AE186" i="9"/>
  <c r="AE125" i="9"/>
  <c r="BB98" i="9"/>
  <c r="BB40" i="9"/>
  <c r="AS125" i="9"/>
  <c r="AS186" i="9"/>
  <c r="AS69" i="9"/>
  <c r="AS111" i="9"/>
  <c r="AS172" i="9"/>
  <c r="AS54" i="9"/>
  <c r="AS200" i="9"/>
  <c r="AS139" i="9"/>
  <c r="AS84" i="9"/>
  <c r="AS97" i="9"/>
  <c r="AS158" i="9"/>
  <c r="AU32" i="9"/>
  <c r="AU77" i="9"/>
  <c r="AU62" i="9"/>
  <c r="AU47" i="9"/>
  <c r="AT32" i="9"/>
  <c r="AT77" i="9"/>
  <c r="AT47" i="9"/>
  <c r="AT62" i="9"/>
  <c r="BB48" i="9"/>
  <c r="BB78" i="9"/>
  <c r="BB63" i="9"/>
  <c r="AS39" i="9"/>
  <c r="BK48" i="9"/>
  <c r="BK78" i="9"/>
  <c r="BK33" i="9"/>
  <c r="BK63" i="9"/>
  <c r="BJ97" i="9"/>
  <c r="BJ158" i="9"/>
  <c r="BJ48" i="9"/>
  <c r="BJ78" i="9"/>
  <c r="BJ33" i="9"/>
  <c r="BJ63" i="9"/>
  <c r="BJ79" i="9"/>
  <c r="BJ34" i="9"/>
  <c r="BJ39" i="9" s="1"/>
  <c r="BJ64" i="9"/>
  <c r="BJ49" i="9"/>
  <c r="BB172" i="9"/>
  <c r="BB111" i="9"/>
  <c r="BC172" i="9"/>
  <c r="BC111" i="9"/>
  <c r="BB139" i="9"/>
  <c r="BB200" i="9"/>
  <c r="BC139" i="9"/>
  <c r="BC200" i="9"/>
  <c r="BB97" i="9"/>
  <c r="BB158" i="9"/>
  <c r="BC97" i="9"/>
  <c r="BC158" i="9"/>
  <c r="BK125" i="9"/>
  <c r="BK186" i="9"/>
  <c r="BB186" i="9"/>
  <c r="BB125" i="9"/>
  <c r="BC186" i="9"/>
  <c r="BC125" i="9"/>
  <c r="BK97" i="9"/>
  <c r="BK158" i="9"/>
  <c r="BB34" i="9"/>
  <c r="BB39" i="9" s="1"/>
  <c r="BB79" i="9"/>
  <c r="BB49" i="9"/>
  <c r="BB54" i="9" s="1"/>
  <c r="BB64" i="9"/>
  <c r="BK200" i="9"/>
  <c r="BK139" i="9"/>
  <c r="BK172" i="9"/>
  <c r="BK111" i="9"/>
  <c r="BC33" i="9"/>
  <c r="BC78" i="9"/>
  <c r="BC48" i="9"/>
  <c r="BC63" i="9"/>
  <c r="M156" i="9"/>
  <c r="M95" i="9"/>
  <c r="M198" i="9"/>
  <c r="M137" i="9"/>
  <c r="M77" i="9"/>
  <c r="M32" i="9"/>
  <c r="M62" i="9"/>
  <c r="M47" i="9"/>
  <c r="M170" i="9"/>
  <c r="M109" i="9"/>
  <c r="N170" i="9"/>
  <c r="N109" i="9"/>
  <c r="M31" i="9"/>
  <c r="M76" i="9"/>
  <c r="M46" i="9"/>
  <c r="M61" i="9"/>
  <c r="N31" i="9"/>
  <c r="N76" i="9"/>
  <c r="N46" i="9"/>
  <c r="N110" i="9" s="1"/>
  <c r="N61" i="9"/>
  <c r="N124" i="9" s="1"/>
  <c r="M184" i="9"/>
  <c r="M123" i="9"/>
  <c r="O46" i="9"/>
  <c r="O110" i="9" s="1"/>
  <c r="O61" i="9"/>
  <c r="O124" i="9" s="1"/>
  <c r="O76" i="9"/>
  <c r="O138" i="9" s="1"/>
  <c r="O31" i="9"/>
  <c r="O96" i="9" s="1"/>
  <c r="D11" i="20"/>
  <c r="O75" i="9" l="1"/>
  <c r="O137" i="9" s="1"/>
  <c r="N198" i="9"/>
  <c r="O184" i="9"/>
  <c r="O45" i="9"/>
  <c r="O109" i="9" s="1"/>
  <c r="O30" i="9"/>
  <c r="O156" i="9" s="1"/>
  <c r="BJ186" i="9"/>
  <c r="E138" i="9"/>
  <c r="E145" i="9" s="1"/>
  <c r="BJ54" i="9"/>
  <c r="BJ172" i="9"/>
  <c r="L20" i="9"/>
  <c r="O7" i="9"/>
  <c r="N20" i="9"/>
  <c r="AM29" i="9"/>
  <c r="AM94" i="9" s="1"/>
  <c r="AM74" i="9"/>
  <c r="AM136" i="9" s="1"/>
  <c r="AM59" i="9"/>
  <c r="AM122" i="9" s="1"/>
  <c r="AM44" i="9"/>
  <c r="AM108" i="9" s="1"/>
  <c r="AI20" i="9"/>
  <c r="G168" i="9"/>
  <c r="G107" i="9"/>
  <c r="G135" i="9"/>
  <c r="G196" i="9"/>
  <c r="G154" i="9"/>
  <c r="G93" i="9"/>
  <c r="G182" i="9"/>
  <c r="G121" i="9"/>
  <c r="AM182" i="9"/>
  <c r="AM121" i="9"/>
  <c r="AM154" i="9"/>
  <c r="AM93" i="9"/>
  <c r="AM196" i="9"/>
  <c r="AM135" i="9"/>
  <c r="AM168" i="9"/>
  <c r="AM107" i="9"/>
  <c r="E13" i="9"/>
  <c r="G48" i="9" s="1"/>
  <c r="G112" i="9" s="1"/>
  <c r="E10" i="9"/>
  <c r="F7" i="9" s="1"/>
  <c r="BJ139" i="9"/>
  <c r="AS83" i="9"/>
  <c r="AS85" i="9"/>
  <c r="AS145" i="9"/>
  <c r="AS131" i="9"/>
  <c r="AS53" i="9"/>
  <c r="AS110" i="9"/>
  <c r="AS117" i="9" s="1"/>
  <c r="E35" i="20" s="1"/>
  <c r="AS70" i="9"/>
  <c r="AS68" i="9"/>
  <c r="E110" i="9"/>
  <c r="AD125" i="9"/>
  <c r="AD79" i="9"/>
  <c r="AD141" i="9" s="1"/>
  <c r="AS103" i="9"/>
  <c r="E16" i="20" s="1"/>
  <c r="E40" i="9"/>
  <c r="E124" i="9"/>
  <c r="E131" i="9" s="1"/>
  <c r="AE200" i="9"/>
  <c r="AE97" i="9"/>
  <c r="E68" i="9"/>
  <c r="AK61" i="9"/>
  <c r="AK124" i="9" s="1"/>
  <c r="AD139" i="9"/>
  <c r="E83" i="9"/>
  <c r="AK76" i="9"/>
  <c r="AK85" i="9" s="1"/>
  <c r="W158" i="9"/>
  <c r="AE111" i="9"/>
  <c r="AD64" i="9"/>
  <c r="AD69" i="9" s="1"/>
  <c r="AD49" i="9"/>
  <c r="AD54" i="9" s="1"/>
  <c r="N156" i="9"/>
  <c r="AD34" i="9"/>
  <c r="AD160" i="9" s="1"/>
  <c r="E178" i="9"/>
  <c r="AD97" i="9"/>
  <c r="E38" i="9"/>
  <c r="E53" i="9"/>
  <c r="AL32" i="9"/>
  <c r="AL158" i="9" s="1"/>
  <c r="E84" i="9"/>
  <c r="E200" i="9"/>
  <c r="E206" i="9" s="1"/>
  <c r="AK46" i="9"/>
  <c r="AK110" i="9" s="1"/>
  <c r="E158" i="9"/>
  <c r="E164" i="9" s="1"/>
  <c r="F62" i="9"/>
  <c r="F125" i="9" s="1"/>
  <c r="F47" i="9"/>
  <c r="F172" i="9" s="1"/>
  <c r="E54" i="9"/>
  <c r="E111" i="9"/>
  <c r="E39" i="9"/>
  <c r="E103" i="9"/>
  <c r="AK40" i="9"/>
  <c r="E69" i="9"/>
  <c r="E186" i="9"/>
  <c r="E192" i="9" s="1"/>
  <c r="F77" i="9"/>
  <c r="F32" i="9"/>
  <c r="F97" i="9" s="1"/>
  <c r="AK47" i="9"/>
  <c r="AK32" i="9"/>
  <c r="AK38" i="9" s="1"/>
  <c r="W139" i="9"/>
  <c r="AK77" i="9"/>
  <c r="AK125" i="9"/>
  <c r="AK69" i="9"/>
  <c r="N184" i="9"/>
  <c r="AJ131" i="9"/>
  <c r="D63" i="20" s="1"/>
  <c r="E49" i="11" s="1"/>
  <c r="W172" i="9"/>
  <c r="AK184" i="9"/>
  <c r="AK192" i="9" s="1"/>
  <c r="G137" i="9"/>
  <c r="G198" i="9"/>
  <c r="G32" i="9"/>
  <c r="G77" i="9"/>
  <c r="G47" i="9"/>
  <c r="G62" i="9"/>
  <c r="G186" i="9" s="1"/>
  <c r="L82" i="20"/>
  <c r="E83" i="11" s="1"/>
  <c r="W125" i="9"/>
  <c r="AM76" i="9"/>
  <c r="AM138" i="9" s="1"/>
  <c r="AK170" i="9"/>
  <c r="AK156" i="9"/>
  <c r="AM46" i="9"/>
  <c r="AM110" i="9" s="1"/>
  <c r="AL95" i="9"/>
  <c r="F184" i="9"/>
  <c r="F123" i="9"/>
  <c r="F156" i="9"/>
  <c r="F95" i="9"/>
  <c r="F170" i="9"/>
  <c r="F109" i="9"/>
  <c r="F137" i="9"/>
  <c r="F198" i="9"/>
  <c r="G170" i="9"/>
  <c r="G109" i="9"/>
  <c r="G156" i="9"/>
  <c r="G95" i="9"/>
  <c r="AM109" i="9"/>
  <c r="AM184" i="9"/>
  <c r="AM156" i="9"/>
  <c r="AM61" i="9"/>
  <c r="AM124" i="9" s="1"/>
  <c r="AL61" i="9"/>
  <c r="AL124" i="9" s="1"/>
  <c r="AL46" i="9"/>
  <c r="AL110" i="9" s="1"/>
  <c r="AL76" i="9"/>
  <c r="AL138" i="9" s="1"/>
  <c r="AL137" i="9"/>
  <c r="AL123" i="9"/>
  <c r="L25" i="20"/>
  <c r="E57" i="11" s="1"/>
  <c r="CP53" i="9"/>
  <c r="DF38" i="9"/>
  <c r="BR68" i="9"/>
  <c r="BB83" i="9"/>
  <c r="CX38" i="9"/>
  <c r="BZ38" i="9"/>
  <c r="M38" i="9"/>
  <c r="BJ53" i="9"/>
  <c r="M53" i="9"/>
  <c r="BJ83" i="9"/>
  <c r="BR38" i="9"/>
  <c r="BB68" i="9"/>
  <c r="M83" i="9"/>
  <c r="M68" i="9"/>
  <c r="BJ68" i="9"/>
  <c r="DF83" i="9"/>
  <c r="CP83" i="9"/>
  <c r="BR83" i="9"/>
  <c r="N96" i="9"/>
  <c r="CH83" i="9"/>
  <c r="BB38" i="9"/>
  <c r="CX68" i="9"/>
  <c r="BZ83" i="9"/>
  <c r="CH38" i="9"/>
  <c r="CX53" i="9"/>
  <c r="V83" i="9"/>
  <c r="AS192" i="9"/>
  <c r="DF53" i="9"/>
  <c r="BB53" i="9"/>
  <c r="CH68" i="9"/>
  <c r="CP68" i="9"/>
  <c r="V53" i="9"/>
  <c r="CP38" i="9"/>
  <c r="BZ68" i="9"/>
  <c r="CH53" i="9"/>
  <c r="N138" i="9"/>
  <c r="BJ38" i="9"/>
  <c r="BR53" i="9"/>
  <c r="DF68" i="9"/>
  <c r="AS178" i="9"/>
  <c r="V68" i="9"/>
  <c r="CA126" i="9"/>
  <c r="V38" i="9"/>
  <c r="AS206" i="9"/>
  <c r="AS164" i="9"/>
  <c r="AU78" i="9"/>
  <c r="AU140" i="9" s="1"/>
  <c r="BZ70" i="9"/>
  <c r="BZ85" i="9"/>
  <c r="BZ40" i="9"/>
  <c r="AT48" i="9"/>
  <c r="AT55" i="9" s="1"/>
  <c r="CP55" i="9"/>
  <c r="CP40" i="9"/>
  <c r="CP70" i="9"/>
  <c r="BR55" i="9"/>
  <c r="AU63" i="9"/>
  <c r="AU126" i="9" s="1"/>
  <c r="AT63" i="9"/>
  <c r="AT126" i="9" s="1"/>
  <c r="BR40" i="9"/>
  <c r="AT78" i="9"/>
  <c r="AT140" i="9" s="1"/>
  <c r="BR126" i="9"/>
  <c r="BR70" i="9"/>
  <c r="DG65" i="9"/>
  <c r="DG128" i="9" s="1"/>
  <c r="CX126" i="9"/>
  <c r="CX70" i="9"/>
  <c r="CA65" i="9"/>
  <c r="CX112" i="9"/>
  <c r="CX55" i="9"/>
  <c r="CX98" i="9"/>
  <c r="CX40" i="9"/>
  <c r="CI50" i="9"/>
  <c r="CI114" i="9" s="1"/>
  <c r="CQ50" i="9"/>
  <c r="CQ114" i="9" s="1"/>
  <c r="BZ141" i="9"/>
  <c r="BZ202" i="9"/>
  <c r="DG98" i="9"/>
  <c r="BZ160" i="9"/>
  <c r="BZ99" i="9"/>
  <c r="BZ103" i="9" s="1"/>
  <c r="F20" i="20" s="1"/>
  <c r="DG140" i="9"/>
  <c r="BS34" i="9"/>
  <c r="BS79" i="9"/>
  <c r="BS64" i="9"/>
  <c r="BS49" i="9"/>
  <c r="BZ174" i="9"/>
  <c r="BZ113" i="9"/>
  <c r="AU48" i="9"/>
  <c r="AU112" i="9" s="1"/>
  <c r="W80" i="9"/>
  <c r="W142" i="9" s="1"/>
  <c r="CQ64" i="9"/>
  <c r="CQ49" i="9"/>
  <c r="CQ34" i="9"/>
  <c r="CQ79" i="9"/>
  <c r="DG112" i="9"/>
  <c r="CA64" i="9"/>
  <c r="CA49" i="9"/>
  <c r="CA34" i="9"/>
  <c r="CA79" i="9"/>
  <c r="BZ39" i="9"/>
  <c r="DG49" i="9"/>
  <c r="DG79" i="9"/>
  <c r="DG34" i="9"/>
  <c r="DG64" i="9"/>
  <c r="DG126" i="9"/>
  <c r="CP174" i="9"/>
  <c r="CP113" i="9"/>
  <c r="CP117" i="9" s="1"/>
  <c r="F41" i="20" s="1"/>
  <c r="BZ127" i="9"/>
  <c r="BZ131" i="9" s="1"/>
  <c r="BZ188" i="9"/>
  <c r="BZ192" i="9" s="1"/>
  <c r="DF202" i="9"/>
  <c r="DF141" i="9"/>
  <c r="CP54" i="9"/>
  <c r="DF126" i="9"/>
  <c r="DF70" i="9"/>
  <c r="DF174" i="9"/>
  <c r="DF178" i="9" s="1"/>
  <c r="DF113" i="9"/>
  <c r="CP127" i="9"/>
  <c r="CP188" i="9"/>
  <c r="BS126" i="9"/>
  <c r="DF98" i="9"/>
  <c r="DF40" i="9"/>
  <c r="DF99" i="9"/>
  <c r="DF160" i="9"/>
  <c r="CP99" i="9"/>
  <c r="CP103" i="9" s="1"/>
  <c r="F22" i="20" s="1"/>
  <c r="CP160" i="9"/>
  <c r="BS140" i="9"/>
  <c r="CX202" i="9"/>
  <c r="CX206" i="9" s="1"/>
  <c r="CX141" i="9"/>
  <c r="CH126" i="9"/>
  <c r="CH70" i="9"/>
  <c r="DF140" i="9"/>
  <c r="DF85" i="9"/>
  <c r="CQ140" i="9"/>
  <c r="DF127" i="9"/>
  <c r="DF188" i="9"/>
  <c r="BR99" i="9"/>
  <c r="BR103" i="9" s="1"/>
  <c r="F19" i="20" s="1"/>
  <c r="BR160" i="9"/>
  <c r="CP141" i="9"/>
  <c r="CP202" i="9"/>
  <c r="BS112" i="9"/>
  <c r="CX188" i="9"/>
  <c r="CX192" i="9" s="1"/>
  <c r="CX127" i="9"/>
  <c r="CH140" i="9"/>
  <c r="CH85" i="9"/>
  <c r="DF112" i="9"/>
  <c r="DF55" i="9"/>
  <c r="CQ98" i="9"/>
  <c r="CI49" i="9"/>
  <c r="CI34" i="9"/>
  <c r="CI64" i="9"/>
  <c r="CI79" i="9"/>
  <c r="BS98" i="9"/>
  <c r="CX99" i="9"/>
  <c r="CX160" i="9"/>
  <c r="CX164" i="9" s="1"/>
  <c r="CH98" i="9"/>
  <c r="CH40" i="9"/>
  <c r="CQ112" i="9"/>
  <c r="DF39" i="9"/>
  <c r="CI126" i="9"/>
  <c r="CY49" i="9"/>
  <c r="CY64" i="9"/>
  <c r="CY79" i="9"/>
  <c r="CY34" i="9"/>
  <c r="CH112" i="9"/>
  <c r="CH55" i="9"/>
  <c r="BZ54" i="9"/>
  <c r="CX84" i="9"/>
  <c r="CQ126" i="9"/>
  <c r="CI140" i="9"/>
  <c r="BR202" i="9"/>
  <c r="BR141" i="9"/>
  <c r="BR39" i="9"/>
  <c r="CH99" i="9"/>
  <c r="CH160" i="9"/>
  <c r="CH164" i="9" s="1"/>
  <c r="CI98" i="9"/>
  <c r="CH127" i="9"/>
  <c r="CH188" i="9"/>
  <c r="BR188" i="9"/>
  <c r="BR192" i="9" s="1"/>
  <c r="BR127" i="9"/>
  <c r="CX113" i="9"/>
  <c r="CX174" i="9"/>
  <c r="CX178" i="9" s="1"/>
  <c r="CH202" i="9"/>
  <c r="CH141" i="9"/>
  <c r="DF84" i="9"/>
  <c r="CI112" i="9"/>
  <c r="BR174" i="9"/>
  <c r="BR178" i="9" s="1"/>
  <c r="BR113" i="9"/>
  <c r="CX39" i="9"/>
  <c r="CH174" i="9"/>
  <c r="CH113" i="9"/>
  <c r="AE50" i="9"/>
  <c r="AD112" i="9"/>
  <c r="AD55" i="9"/>
  <c r="AD140" i="9"/>
  <c r="AD85" i="9"/>
  <c r="AD126" i="9"/>
  <c r="AD70" i="9"/>
  <c r="V112" i="9"/>
  <c r="V55" i="9"/>
  <c r="V140" i="9"/>
  <c r="V85" i="9"/>
  <c r="V98" i="9"/>
  <c r="V40" i="9"/>
  <c r="V126" i="9"/>
  <c r="V70" i="9"/>
  <c r="V188" i="9"/>
  <c r="V127" i="9"/>
  <c r="V99" i="9"/>
  <c r="V160" i="9"/>
  <c r="V164" i="9" s="1"/>
  <c r="W112" i="9"/>
  <c r="V202" i="9"/>
  <c r="V141" i="9"/>
  <c r="W126" i="9"/>
  <c r="V174" i="9"/>
  <c r="V178" i="9" s="1"/>
  <c r="V113" i="9"/>
  <c r="W140" i="9"/>
  <c r="W98" i="9"/>
  <c r="W34" i="9"/>
  <c r="W79" i="9"/>
  <c r="W49" i="9"/>
  <c r="W64" i="9"/>
  <c r="AU125" i="9"/>
  <c r="AU186" i="9"/>
  <c r="AU111" i="9"/>
  <c r="AU172" i="9"/>
  <c r="BK65" i="9"/>
  <c r="AU139" i="9"/>
  <c r="AU200" i="9"/>
  <c r="AU158" i="9"/>
  <c r="AU97" i="9"/>
  <c r="BC35" i="9"/>
  <c r="BC100" i="9" s="1"/>
  <c r="BB126" i="9"/>
  <c r="BB70" i="9"/>
  <c r="BB140" i="9"/>
  <c r="BB85" i="9"/>
  <c r="BB112" i="9"/>
  <c r="BB55" i="9"/>
  <c r="AT98" i="9"/>
  <c r="AT40" i="9"/>
  <c r="AT186" i="9"/>
  <c r="AT125" i="9"/>
  <c r="AT172" i="9"/>
  <c r="AT111" i="9"/>
  <c r="AU98" i="9"/>
  <c r="AT139" i="9"/>
  <c r="AT200" i="9"/>
  <c r="AT158" i="9"/>
  <c r="AT97" i="9"/>
  <c r="AT49" i="9"/>
  <c r="AT64" i="9"/>
  <c r="AT69" i="9" s="1"/>
  <c r="AT34" i="9"/>
  <c r="AT79" i="9"/>
  <c r="BJ160" i="9"/>
  <c r="BJ99" i="9"/>
  <c r="BJ69" i="9"/>
  <c r="BJ141" i="9"/>
  <c r="BJ202" i="9"/>
  <c r="BJ206" i="9" s="1"/>
  <c r="BB188" i="9"/>
  <c r="BB127" i="9"/>
  <c r="BK98" i="9"/>
  <c r="BB113" i="9"/>
  <c r="BB174" i="9"/>
  <c r="BB69" i="9"/>
  <c r="BK49" i="9"/>
  <c r="BK79" i="9"/>
  <c r="BK34" i="9"/>
  <c r="BK64" i="9"/>
  <c r="BK126" i="9"/>
  <c r="BJ188" i="9"/>
  <c r="BJ127" i="9"/>
  <c r="BB202" i="9"/>
  <c r="BB141" i="9"/>
  <c r="BB84" i="9"/>
  <c r="BJ126" i="9"/>
  <c r="BJ70" i="9"/>
  <c r="BK112" i="9"/>
  <c r="BC126" i="9"/>
  <c r="BB99" i="9"/>
  <c r="BB103" i="9" s="1"/>
  <c r="F17" i="20" s="1"/>
  <c r="BB160" i="9"/>
  <c r="BB164" i="9" s="1"/>
  <c r="BJ98" i="9"/>
  <c r="BJ40" i="9"/>
  <c r="BC112" i="9"/>
  <c r="BJ140" i="9"/>
  <c r="BJ85" i="9"/>
  <c r="BK140" i="9"/>
  <c r="BC140" i="9"/>
  <c r="BJ112" i="9"/>
  <c r="BJ55" i="9"/>
  <c r="BJ84" i="9"/>
  <c r="BJ174" i="9"/>
  <c r="BJ113" i="9"/>
  <c r="BC98" i="9"/>
  <c r="BC79" i="9"/>
  <c r="BC49" i="9"/>
  <c r="BC34" i="9"/>
  <c r="BC64" i="9"/>
  <c r="M186" i="9"/>
  <c r="M125" i="9"/>
  <c r="M124" i="9"/>
  <c r="M70" i="9"/>
  <c r="M110" i="9"/>
  <c r="M55" i="9"/>
  <c r="M97" i="9"/>
  <c r="M158" i="9"/>
  <c r="M138" i="9"/>
  <c r="M85" i="9"/>
  <c r="N47" i="9"/>
  <c r="N77" i="9"/>
  <c r="N32" i="9"/>
  <c r="N62" i="9"/>
  <c r="M96" i="9"/>
  <c r="M40" i="9"/>
  <c r="M200" i="9"/>
  <c r="M206" i="9" s="1"/>
  <c r="M139" i="9"/>
  <c r="M69" i="9"/>
  <c r="M84" i="9"/>
  <c r="M172" i="9"/>
  <c r="M111" i="9"/>
  <c r="M39" i="9"/>
  <c r="M54" i="9"/>
  <c r="D82" i="20"/>
  <c r="E74" i="11" s="1"/>
  <c r="D44" i="20"/>
  <c r="E23" i="11" s="1"/>
  <c r="K5" i="28" s="1"/>
  <c r="L63" i="20"/>
  <c r="E58" i="11" s="1"/>
  <c r="D25" i="20"/>
  <c r="E48" i="11" s="1"/>
  <c r="O198" i="9" l="1"/>
  <c r="O170" i="9"/>
  <c r="O95" i="9"/>
  <c r="E11" i="20"/>
  <c r="F9" i="9"/>
  <c r="E117" i="9"/>
  <c r="E30" i="20" s="1"/>
  <c r="AD84" i="9"/>
  <c r="AD202" i="9"/>
  <c r="AD206" i="9" s="1"/>
  <c r="AD83" i="9"/>
  <c r="AK131" i="9"/>
  <c r="AK70" i="9"/>
  <c r="AK68" i="9"/>
  <c r="AK138" i="9"/>
  <c r="AD113" i="9"/>
  <c r="AD117" i="9" s="1"/>
  <c r="F33" i="20" s="1"/>
  <c r="AD174" i="9"/>
  <c r="AD178" i="9" s="1"/>
  <c r="AK83" i="9"/>
  <c r="AD53" i="9"/>
  <c r="AD188" i="9"/>
  <c r="AD192" i="9" s="1"/>
  <c r="AD127" i="9"/>
  <c r="AD131" i="9" s="1"/>
  <c r="AD68" i="9"/>
  <c r="AD39" i="9"/>
  <c r="AD38" i="9"/>
  <c r="AD99" i="9"/>
  <c r="AD103" i="9" s="1"/>
  <c r="F14" i="20" s="1"/>
  <c r="AE64" i="9"/>
  <c r="AE188" i="9" s="1"/>
  <c r="AE49" i="9"/>
  <c r="AE174" i="9" s="1"/>
  <c r="AL62" i="9"/>
  <c r="AL125" i="9" s="1"/>
  <c r="AE79" i="9"/>
  <c r="AE202" i="9" s="1"/>
  <c r="AM48" i="9"/>
  <c r="AM112" i="9" s="1"/>
  <c r="AE34" i="9"/>
  <c r="AE160" i="9" s="1"/>
  <c r="G63" i="9"/>
  <c r="G126" i="9" s="1"/>
  <c r="G78" i="9"/>
  <c r="G140" i="9" s="1"/>
  <c r="AL64" i="9"/>
  <c r="AL77" i="9"/>
  <c r="AL139" i="9" s="1"/>
  <c r="AL47" i="9"/>
  <c r="AL111" i="9" s="1"/>
  <c r="G33" i="9"/>
  <c r="G98" i="9" s="1"/>
  <c r="AK55" i="9"/>
  <c r="AK53" i="9"/>
  <c r="F64" i="9"/>
  <c r="F188" i="9" s="1"/>
  <c r="F111" i="9"/>
  <c r="F34" i="9"/>
  <c r="F39" i="9" s="1"/>
  <c r="F79" i="9"/>
  <c r="F84" i="9" s="1"/>
  <c r="F49" i="9"/>
  <c r="F113" i="9" s="1"/>
  <c r="F186" i="9"/>
  <c r="E20" i="9"/>
  <c r="F78" i="9"/>
  <c r="F33" i="9"/>
  <c r="F48" i="9"/>
  <c r="F63" i="9"/>
  <c r="F158" i="9"/>
  <c r="F139" i="9"/>
  <c r="F200" i="9"/>
  <c r="AM77" i="9"/>
  <c r="AM32" i="9"/>
  <c r="AM62" i="9"/>
  <c r="AM47" i="9"/>
  <c r="AK97" i="9"/>
  <c r="AK103" i="9" s="1"/>
  <c r="E15" i="20" s="1"/>
  <c r="AK158" i="9"/>
  <c r="AK164" i="9" s="1"/>
  <c r="AK111" i="9"/>
  <c r="AK117" i="9" s="1"/>
  <c r="E34" i="20" s="1"/>
  <c r="AK172" i="9"/>
  <c r="AK178" i="9" s="1"/>
  <c r="AK39" i="9"/>
  <c r="AK200" i="9"/>
  <c r="AK206" i="9" s="1"/>
  <c r="AK139" i="9"/>
  <c r="AK84" i="9"/>
  <c r="AK54" i="9"/>
  <c r="AL97" i="9"/>
  <c r="G125" i="9"/>
  <c r="G172" i="9"/>
  <c r="G111" i="9"/>
  <c r="G200" i="9"/>
  <c r="G139" i="9"/>
  <c r="G158" i="9"/>
  <c r="G97" i="9"/>
  <c r="O77" i="9"/>
  <c r="O200" i="9" s="1"/>
  <c r="O32" i="9"/>
  <c r="O97" i="9" s="1"/>
  <c r="O47" i="9"/>
  <c r="O111" i="9" s="1"/>
  <c r="O62" i="9"/>
  <c r="O125" i="9" s="1"/>
  <c r="O48" i="9"/>
  <c r="O112" i="9" s="1"/>
  <c r="E82" i="11"/>
  <c r="E84" i="11" s="1"/>
  <c r="E31" i="11"/>
  <c r="CX103" i="9"/>
  <c r="F23" i="20" s="1"/>
  <c r="V145" i="9"/>
  <c r="BR131" i="9"/>
  <c r="AT53" i="9"/>
  <c r="CX131" i="9"/>
  <c r="CH117" i="9"/>
  <c r="F40" i="20" s="1"/>
  <c r="BJ117" i="9"/>
  <c r="F37" i="20" s="1"/>
  <c r="BJ145" i="9"/>
  <c r="DF117" i="9"/>
  <c r="F43" i="20" s="1"/>
  <c r="DF145" i="9"/>
  <c r="DF131" i="9"/>
  <c r="CH103" i="9"/>
  <c r="F21" i="20" s="1"/>
  <c r="M117" i="9"/>
  <c r="E31" i="20" s="1"/>
  <c r="BJ131" i="9"/>
  <c r="CH131" i="9"/>
  <c r="BJ103" i="9"/>
  <c r="F18" i="20" s="1"/>
  <c r="BB117" i="9"/>
  <c r="F36" i="20" s="1"/>
  <c r="AD145" i="9"/>
  <c r="BB145" i="9"/>
  <c r="V103" i="9"/>
  <c r="F13" i="20" s="1"/>
  <c r="CX117" i="9"/>
  <c r="F42" i="20" s="1"/>
  <c r="DF103" i="9"/>
  <c r="F24" i="20" s="1"/>
  <c r="BB131" i="9"/>
  <c r="V131" i="9"/>
  <c r="M103" i="9"/>
  <c r="E12" i="20" s="1"/>
  <c r="M131" i="9"/>
  <c r="AT83" i="9"/>
  <c r="V117" i="9"/>
  <c r="F32" i="20" s="1"/>
  <c r="CH145" i="9"/>
  <c r="BZ164" i="9"/>
  <c r="M145" i="9"/>
  <c r="AD164" i="9"/>
  <c r="BJ192" i="9"/>
  <c r="CX145" i="9"/>
  <c r="CP192" i="9"/>
  <c r="CH192" i="9"/>
  <c r="CP178" i="9"/>
  <c r="AT39" i="9"/>
  <c r="AT38" i="9"/>
  <c r="V206" i="9"/>
  <c r="CH178" i="9"/>
  <c r="BR206" i="9"/>
  <c r="BB192" i="9"/>
  <c r="BR145" i="9"/>
  <c r="V192" i="9"/>
  <c r="BR164" i="9"/>
  <c r="BZ206" i="9"/>
  <c r="M192" i="9"/>
  <c r="M63" i="20" s="1"/>
  <c r="F58" i="11" s="1"/>
  <c r="CP206" i="9"/>
  <c r="CH206" i="9"/>
  <c r="DF164" i="9"/>
  <c r="BJ164" i="9"/>
  <c r="CP131" i="9"/>
  <c r="BZ145" i="9"/>
  <c r="DF206" i="9"/>
  <c r="BB178" i="9"/>
  <c r="M178" i="9"/>
  <c r="CP164" i="9"/>
  <c r="BR117" i="9"/>
  <c r="F38" i="20" s="1"/>
  <c r="BJ178" i="9"/>
  <c r="BZ117" i="9"/>
  <c r="F39" i="20" s="1"/>
  <c r="CP145" i="9"/>
  <c r="BZ178" i="9"/>
  <c r="AT68" i="9"/>
  <c r="DF192" i="9"/>
  <c r="M164" i="9"/>
  <c r="BB206" i="9"/>
  <c r="E22" i="11"/>
  <c r="D5" i="28" s="1"/>
  <c r="E73" i="11"/>
  <c r="AT112" i="9"/>
  <c r="CA35" i="9"/>
  <c r="CA100" i="9" s="1"/>
  <c r="AT85" i="9"/>
  <c r="AT70" i="9"/>
  <c r="DG35" i="9"/>
  <c r="DG100" i="9" s="1"/>
  <c r="DG50" i="9"/>
  <c r="DG114" i="9" s="1"/>
  <c r="CI35" i="9"/>
  <c r="CI100" i="9" s="1"/>
  <c r="DG80" i="9"/>
  <c r="DG142" i="9" s="1"/>
  <c r="CQ80" i="9"/>
  <c r="CQ142" i="9" s="1"/>
  <c r="CA80" i="9"/>
  <c r="CA142" i="9" s="1"/>
  <c r="CA50" i="9"/>
  <c r="CA114" i="9" s="1"/>
  <c r="CQ65" i="9"/>
  <c r="AE65" i="9"/>
  <c r="AE128" i="9" s="1"/>
  <c r="CQ35" i="9"/>
  <c r="BC50" i="9"/>
  <c r="BC114" i="9" s="1"/>
  <c r="CI65" i="9"/>
  <c r="CI128" i="9" s="1"/>
  <c r="CI80" i="9"/>
  <c r="CI142" i="9" s="1"/>
  <c r="W65" i="9"/>
  <c r="W128" i="9" s="1"/>
  <c r="W35" i="9"/>
  <c r="W100" i="9" s="1"/>
  <c r="BC80" i="9"/>
  <c r="BC142" i="9" s="1"/>
  <c r="BC65" i="9"/>
  <c r="BC128" i="9" s="1"/>
  <c r="W50" i="9"/>
  <c r="W114" i="9" s="1"/>
  <c r="CQ55" i="9"/>
  <c r="DG70" i="9"/>
  <c r="CI55" i="9"/>
  <c r="CY99" i="9"/>
  <c r="CY160" i="9"/>
  <c r="AU50" i="9"/>
  <c r="CI99" i="9"/>
  <c r="CI160" i="9"/>
  <c r="BS188" i="9"/>
  <c r="BS127" i="9"/>
  <c r="CI81" i="9"/>
  <c r="CI51" i="9"/>
  <c r="CI53" i="9" s="1"/>
  <c r="CI36" i="9"/>
  <c r="CI66" i="9"/>
  <c r="CY174" i="9"/>
  <c r="CY113" i="9"/>
  <c r="DG99" i="9"/>
  <c r="DG160" i="9"/>
  <c r="CQ99" i="9"/>
  <c r="CQ160" i="9"/>
  <c r="CY188" i="9"/>
  <c r="CY127" i="9"/>
  <c r="CY66" i="9"/>
  <c r="CY36" i="9"/>
  <c r="CY81" i="9"/>
  <c r="CY51" i="9"/>
  <c r="DG141" i="9"/>
  <c r="DG202" i="9"/>
  <c r="CQ113" i="9"/>
  <c r="CQ174" i="9"/>
  <c r="CY50" i="9"/>
  <c r="CY65" i="9"/>
  <c r="CY80" i="9"/>
  <c r="CY35" i="9"/>
  <c r="BS50" i="9"/>
  <c r="BS35" i="9"/>
  <c r="BS80" i="9"/>
  <c r="BS65" i="9"/>
  <c r="DG113" i="9"/>
  <c r="DG174" i="9"/>
  <c r="CQ127" i="9"/>
  <c r="CQ188" i="9"/>
  <c r="DG81" i="9"/>
  <c r="DG36" i="9"/>
  <c r="DG51" i="9"/>
  <c r="DG66" i="9"/>
  <c r="DG68" i="9" s="1"/>
  <c r="CQ36" i="9"/>
  <c r="CQ81" i="9"/>
  <c r="CQ51" i="9"/>
  <c r="CQ66" i="9"/>
  <c r="BS160" i="9"/>
  <c r="BS99" i="9"/>
  <c r="CA202" i="9"/>
  <c r="CA141" i="9"/>
  <c r="DG188" i="9"/>
  <c r="DG127" i="9"/>
  <c r="AE35" i="9"/>
  <c r="AE100" i="9" s="1"/>
  <c r="CA160" i="9"/>
  <c r="CA99" i="9"/>
  <c r="CA128" i="9"/>
  <c r="CA70" i="9"/>
  <c r="AE80" i="9"/>
  <c r="AE142" i="9" s="1"/>
  <c r="CA174" i="9"/>
  <c r="CA113" i="9"/>
  <c r="CY202" i="9"/>
  <c r="CY141" i="9"/>
  <c r="CA127" i="9"/>
  <c r="CA188" i="9"/>
  <c r="CI113" i="9"/>
  <c r="CI174" i="9"/>
  <c r="BS202" i="9"/>
  <c r="BS141" i="9"/>
  <c r="BS66" i="9"/>
  <c r="BS51" i="9"/>
  <c r="BS36" i="9"/>
  <c r="BS81" i="9"/>
  <c r="CI202" i="9"/>
  <c r="CI141" i="9"/>
  <c r="CA81" i="9"/>
  <c r="CA51" i="9"/>
  <c r="CA66" i="9"/>
  <c r="CA68" i="9" s="1"/>
  <c r="CA36" i="9"/>
  <c r="CQ202" i="9"/>
  <c r="CQ141" i="9"/>
  <c r="CI188" i="9"/>
  <c r="CI127" i="9"/>
  <c r="BS113" i="9"/>
  <c r="BS174" i="9"/>
  <c r="BK80" i="9"/>
  <c r="BK142" i="9" s="1"/>
  <c r="BK35" i="9"/>
  <c r="BK100" i="9" s="1"/>
  <c r="BK50" i="9"/>
  <c r="BK114" i="9" s="1"/>
  <c r="BC40" i="9"/>
  <c r="W99" i="9"/>
  <c r="W160" i="9"/>
  <c r="AE51" i="9"/>
  <c r="AE81" i="9"/>
  <c r="AE36" i="9"/>
  <c r="AE66" i="9"/>
  <c r="W51" i="9"/>
  <c r="W66" i="9"/>
  <c r="W81" i="9"/>
  <c r="W36" i="9"/>
  <c r="W188" i="9"/>
  <c r="W127" i="9"/>
  <c r="W85" i="9"/>
  <c r="AE114" i="9"/>
  <c r="AE55" i="9"/>
  <c r="W202" i="9"/>
  <c r="W141" i="9"/>
  <c r="W174" i="9"/>
  <c r="W113" i="9"/>
  <c r="BK128" i="9"/>
  <c r="BK70" i="9"/>
  <c r="AT202" i="9"/>
  <c r="AT206" i="9" s="1"/>
  <c r="AT141" i="9"/>
  <c r="AT84" i="9"/>
  <c r="AT174" i="9"/>
  <c r="AT178" i="9" s="1"/>
  <c r="AT113" i="9"/>
  <c r="AU34" i="9"/>
  <c r="AU64" i="9"/>
  <c r="AU79" i="9"/>
  <c r="AU49" i="9"/>
  <c r="AT127" i="9"/>
  <c r="AT131" i="9" s="1"/>
  <c r="AT188" i="9"/>
  <c r="AT54" i="9"/>
  <c r="AT160" i="9"/>
  <c r="AT99" i="9"/>
  <c r="AT103" i="9" s="1"/>
  <c r="F16" i="20" s="1"/>
  <c r="BK99" i="9"/>
  <c r="BK160" i="9"/>
  <c r="BK127" i="9"/>
  <c r="BK188" i="9"/>
  <c r="BK202" i="9"/>
  <c r="BK141" i="9"/>
  <c r="BK113" i="9"/>
  <c r="BK174" i="9"/>
  <c r="BK66" i="9"/>
  <c r="BK51" i="9"/>
  <c r="BK36" i="9"/>
  <c r="BK81" i="9"/>
  <c r="BC99" i="9"/>
  <c r="BC160" i="9"/>
  <c r="BC113" i="9"/>
  <c r="BC174" i="9"/>
  <c r="BC188" i="9"/>
  <c r="BC127" i="9"/>
  <c r="BC202" i="9"/>
  <c r="BC141" i="9"/>
  <c r="BC36" i="9"/>
  <c r="BC51" i="9"/>
  <c r="BC81" i="9"/>
  <c r="BC66" i="9"/>
  <c r="N125" i="9"/>
  <c r="N186" i="9"/>
  <c r="N49" i="9"/>
  <c r="N64" i="9"/>
  <c r="N79" i="9"/>
  <c r="N34" i="9"/>
  <c r="N63" i="9"/>
  <c r="N33" i="9"/>
  <c r="N48" i="9"/>
  <c r="N78" i="9"/>
  <c r="N158" i="9"/>
  <c r="N97" i="9"/>
  <c r="N200" i="9"/>
  <c r="N139" i="9"/>
  <c r="N172" i="9"/>
  <c r="N111" i="9"/>
  <c r="O33" i="9"/>
  <c r="O98" i="9" s="1"/>
  <c r="O63" i="9"/>
  <c r="O126" i="9" s="1"/>
  <c r="E33" i="11" l="1"/>
  <c r="AG5" i="28"/>
  <c r="F8" i="9"/>
  <c r="AE113" i="9"/>
  <c r="AE141" i="9"/>
  <c r="AE127" i="9"/>
  <c r="E63" i="20"/>
  <c r="F49" i="11" s="1"/>
  <c r="AK145" i="9"/>
  <c r="E82" i="20" s="1"/>
  <c r="F74" i="11" s="1"/>
  <c r="AE99" i="9"/>
  <c r="AE53" i="9"/>
  <c r="O186" i="9"/>
  <c r="AL186" i="9"/>
  <c r="F69" i="9"/>
  <c r="AM63" i="9"/>
  <c r="AM126" i="9" s="1"/>
  <c r="AM33" i="9"/>
  <c r="AM98" i="9" s="1"/>
  <c r="AM78" i="9"/>
  <c r="AM140" i="9" s="1"/>
  <c r="F127" i="9"/>
  <c r="O139" i="9"/>
  <c r="AL49" i="9"/>
  <c r="AL34" i="9"/>
  <c r="AL69" i="9"/>
  <c r="AL127" i="9"/>
  <c r="AL188" i="9"/>
  <c r="AL172" i="9"/>
  <c r="AL200" i="9"/>
  <c r="AL79" i="9"/>
  <c r="F192" i="9"/>
  <c r="F38" i="9"/>
  <c r="F141" i="9"/>
  <c r="F202" i="9"/>
  <c r="F206" i="9" s="1"/>
  <c r="F54" i="9"/>
  <c r="F160" i="9"/>
  <c r="F164" i="9" s="1"/>
  <c r="F99" i="9"/>
  <c r="F174" i="9"/>
  <c r="F178" i="9" s="1"/>
  <c r="F112" i="9"/>
  <c r="F117" i="9" s="1"/>
  <c r="F30" i="20" s="1"/>
  <c r="F55" i="9"/>
  <c r="F53" i="9"/>
  <c r="F98" i="9"/>
  <c r="F40" i="9"/>
  <c r="F140" i="9"/>
  <c r="F85" i="9"/>
  <c r="F68" i="9"/>
  <c r="F70" i="9"/>
  <c r="F126" i="9"/>
  <c r="F83" i="9"/>
  <c r="M82" i="20"/>
  <c r="F83" i="11" s="1"/>
  <c r="AL33" i="9"/>
  <c r="AL78" i="9"/>
  <c r="AL63" i="9"/>
  <c r="AL48" i="9"/>
  <c r="M44" i="20"/>
  <c r="F32" i="11" s="1"/>
  <c r="AO5" i="28" s="1"/>
  <c r="AM172" i="9"/>
  <c r="AM111" i="9"/>
  <c r="AM125" i="9"/>
  <c r="AM186" i="9"/>
  <c r="M25" i="20"/>
  <c r="F57" i="11" s="1"/>
  <c r="F59" i="11" s="1"/>
  <c r="E25" i="20"/>
  <c r="F48" i="11" s="1"/>
  <c r="AM158" i="9"/>
  <c r="AM97" i="9"/>
  <c r="E44" i="20"/>
  <c r="F23" i="11" s="1"/>
  <c r="L5" i="28" s="1"/>
  <c r="AM200" i="9"/>
  <c r="AM139" i="9"/>
  <c r="O172" i="9"/>
  <c r="O158" i="9"/>
  <c r="O78" i="9"/>
  <c r="O140" i="9" s="1"/>
  <c r="CI38" i="9"/>
  <c r="AE38" i="9"/>
  <c r="BK38" i="9"/>
  <c r="CA83" i="9"/>
  <c r="BC83" i="9"/>
  <c r="AE68" i="9"/>
  <c r="CY53" i="9"/>
  <c r="AT117" i="9"/>
  <c r="F35" i="20" s="1"/>
  <c r="AE83" i="9"/>
  <c r="BS53" i="9"/>
  <c r="CQ68" i="9"/>
  <c r="N68" i="9"/>
  <c r="BC68" i="9"/>
  <c r="BK53" i="9"/>
  <c r="N84" i="9"/>
  <c r="N83" i="9"/>
  <c r="BK69" i="9"/>
  <c r="BK68" i="9"/>
  <c r="CQ39" i="9"/>
  <c r="CQ38" i="9"/>
  <c r="CI69" i="9"/>
  <c r="CI68" i="9"/>
  <c r="N54" i="9"/>
  <c r="N53" i="9"/>
  <c r="W69" i="9"/>
  <c r="W68" i="9"/>
  <c r="W53" i="9"/>
  <c r="BS84" i="9"/>
  <c r="BS83" i="9"/>
  <c r="DG54" i="9"/>
  <c r="DG53" i="9"/>
  <c r="BC54" i="9"/>
  <c r="BC53" i="9"/>
  <c r="CA39" i="9"/>
  <c r="CA38" i="9"/>
  <c r="BS39" i="9"/>
  <c r="BS38" i="9"/>
  <c r="DG39" i="9"/>
  <c r="DG38" i="9"/>
  <c r="CY84" i="9"/>
  <c r="CY83" i="9"/>
  <c r="CI83" i="9"/>
  <c r="BC39" i="9"/>
  <c r="BC38" i="9"/>
  <c r="AT145" i="9"/>
  <c r="DG84" i="9"/>
  <c r="DG83" i="9"/>
  <c r="CY39" i="9"/>
  <c r="CY38" i="9"/>
  <c r="N38" i="9"/>
  <c r="BK84" i="9"/>
  <c r="BK83" i="9"/>
  <c r="CA53" i="9"/>
  <c r="BS68" i="9"/>
  <c r="CY68" i="9"/>
  <c r="AT164" i="9"/>
  <c r="W39" i="9"/>
  <c r="W38" i="9"/>
  <c r="CQ54" i="9"/>
  <c r="CQ53" i="9"/>
  <c r="W84" i="9"/>
  <c r="W83" i="9"/>
  <c r="CQ84" i="9"/>
  <c r="CQ83" i="9"/>
  <c r="AT192" i="9"/>
  <c r="E75" i="11"/>
  <c r="E59" i="11"/>
  <c r="CA40" i="9"/>
  <c r="AU80" i="9"/>
  <c r="AU85" i="9" s="1"/>
  <c r="BC55" i="9"/>
  <c r="DG55" i="9"/>
  <c r="CA85" i="9"/>
  <c r="CI40" i="9"/>
  <c r="CQ85" i="9"/>
  <c r="W40" i="9"/>
  <c r="DG85" i="9"/>
  <c r="DG40" i="9"/>
  <c r="AU65" i="9"/>
  <c r="AU70" i="9" s="1"/>
  <c r="CI85" i="9"/>
  <c r="W70" i="9"/>
  <c r="AE70" i="9"/>
  <c r="BK85" i="9"/>
  <c r="CA55" i="9"/>
  <c r="AE85" i="9"/>
  <c r="AU35" i="9"/>
  <c r="AU100" i="9" s="1"/>
  <c r="CQ100" i="9"/>
  <c r="CQ40" i="9"/>
  <c r="CI70" i="9"/>
  <c r="CQ128" i="9"/>
  <c r="CQ70" i="9"/>
  <c r="BC85" i="9"/>
  <c r="BC70" i="9"/>
  <c r="W55" i="9"/>
  <c r="CA84" i="9"/>
  <c r="AE40" i="9"/>
  <c r="BS176" i="9"/>
  <c r="BS115" i="9"/>
  <c r="CQ190" i="9"/>
  <c r="CQ129" i="9"/>
  <c r="CI176" i="9"/>
  <c r="CI115" i="9"/>
  <c r="CI101" i="9"/>
  <c r="CI162" i="9"/>
  <c r="BS190" i="9"/>
  <c r="BS129" i="9"/>
  <c r="CQ176" i="9"/>
  <c r="CQ115" i="9"/>
  <c r="CI204" i="9"/>
  <c r="CI143" i="9"/>
  <c r="CQ143" i="9"/>
  <c r="CQ204" i="9"/>
  <c r="BS128" i="9"/>
  <c r="BS70" i="9"/>
  <c r="CQ101" i="9"/>
  <c r="CQ162" i="9"/>
  <c r="BS142" i="9"/>
  <c r="BS85" i="9"/>
  <c r="BS69" i="9"/>
  <c r="CI190" i="9"/>
  <c r="CI129" i="9"/>
  <c r="BS162" i="9"/>
  <c r="BS101" i="9"/>
  <c r="DG190" i="9"/>
  <c r="DG129" i="9"/>
  <c r="BS100" i="9"/>
  <c r="BS40" i="9"/>
  <c r="CY176" i="9"/>
  <c r="CY115" i="9"/>
  <c r="BS143" i="9"/>
  <c r="BS204" i="9"/>
  <c r="CA101" i="9"/>
  <c r="CA162" i="9"/>
  <c r="DG115" i="9"/>
  <c r="DG176" i="9"/>
  <c r="BS114" i="9"/>
  <c r="BS55" i="9"/>
  <c r="CY143" i="9"/>
  <c r="CY204" i="9"/>
  <c r="CY206" i="9" s="1"/>
  <c r="BS54" i="9"/>
  <c r="CA190" i="9"/>
  <c r="CA129" i="9"/>
  <c r="CI54" i="9"/>
  <c r="DG69" i="9"/>
  <c r="DG101" i="9"/>
  <c r="DG162" i="9"/>
  <c r="CY100" i="9"/>
  <c r="CY40" i="9"/>
  <c r="CY162" i="9"/>
  <c r="CY101" i="9"/>
  <c r="CY54" i="9"/>
  <c r="CA176" i="9"/>
  <c r="CA115" i="9"/>
  <c r="CA54" i="9"/>
  <c r="DG143" i="9"/>
  <c r="DG204" i="9"/>
  <c r="CY142" i="9"/>
  <c r="CY85" i="9"/>
  <c r="CY129" i="9"/>
  <c r="CY190" i="9"/>
  <c r="BK40" i="9"/>
  <c r="CA143" i="9"/>
  <c r="CA204" i="9"/>
  <c r="CY128" i="9"/>
  <c r="CY70" i="9"/>
  <c r="BK55" i="9"/>
  <c r="CY114" i="9"/>
  <c r="CY55" i="9"/>
  <c r="CY69" i="9"/>
  <c r="CI39" i="9"/>
  <c r="CI84" i="9"/>
  <c r="CA69" i="9"/>
  <c r="CQ69" i="9"/>
  <c r="AE54" i="9"/>
  <c r="BK39" i="9"/>
  <c r="W115" i="9"/>
  <c r="W176" i="9"/>
  <c r="AE190" i="9"/>
  <c r="AE129" i="9"/>
  <c r="AE101" i="9"/>
  <c r="AE162" i="9"/>
  <c r="AE204" i="9"/>
  <c r="AE143" i="9"/>
  <c r="AE115" i="9"/>
  <c r="AE176" i="9"/>
  <c r="AE39" i="9"/>
  <c r="AE69" i="9"/>
  <c r="W101" i="9"/>
  <c r="W162" i="9"/>
  <c r="W54" i="9"/>
  <c r="W143" i="9"/>
  <c r="W204" i="9"/>
  <c r="AE84" i="9"/>
  <c r="W129" i="9"/>
  <c r="W190" i="9"/>
  <c r="AU114" i="9"/>
  <c r="AU55" i="9"/>
  <c r="AU113" i="9"/>
  <c r="AU174" i="9"/>
  <c r="AU202" i="9"/>
  <c r="AU141" i="9"/>
  <c r="AU127" i="9"/>
  <c r="AU188" i="9"/>
  <c r="AU160" i="9"/>
  <c r="AU99" i="9"/>
  <c r="AU81" i="9"/>
  <c r="AU66" i="9"/>
  <c r="AU36" i="9"/>
  <c r="AU51" i="9"/>
  <c r="AU53" i="9" s="1"/>
  <c r="BC190" i="9"/>
  <c r="BC129" i="9"/>
  <c r="BC143" i="9"/>
  <c r="BC204" i="9"/>
  <c r="BC101" i="9"/>
  <c r="BC162" i="9"/>
  <c r="BK143" i="9"/>
  <c r="BK204" i="9"/>
  <c r="BC84" i="9"/>
  <c r="BK101" i="9"/>
  <c r="BK162" i="9"/>
  <c r="BK176" i="9"/>
  <c r="BK115" i="9"/>
  <c r="BK190" i="9"/>
  <c r="BK129" i="9"/>
  <c r="BC69" i="9"/>
  <c r="BK54" i="9"/>
  <c r="BC115" i="9"/>
  <c r="BC176" i="9"/>
  <c r="N140" i="9"/>
  <c r="N85" i="9"/>
  <c r="N126" i="9"/>
  <c r="N70" i="9"/>
  <c r="N98" i="9"/>
  <c r="N40" i="9"/>
  <c r="O34" i="9"/>
  <c r="O79" i="9"/>
  <c r="O49" i="9"/>
  <c r="O64" i="9"/>
  <c r="N99" i="9"/>
  <c r="N160" i="9"/>
  <c r="N39" i="9"/>
  <c r="N141" i="9"/>
  <c r="N202" i="9"/>
  <c r="N55" i="9"/>
  <c r="N112" i="9"/>
  <c r="N127" i="9"/>
  <c r="N188" i="9"/>
  <c r="N192" i="9" s="1"/>
  <c r="N174" i="9"/>
  <c r="N113" i="9"/>
  <c r="N69" i="9"/>
  <c r="E24" i="11"/>
  <c r="E50" i="11"/>
  <c r="AU5" i="28" l="1"/>
  <c r="R5" i="28"/>
  <c r="G49" i="9"/>
  <c r="G113" i="9" s="1"/>
  <c r="F10" i="9"/>
  <c r="G35" i="9" s="1"/>
  <c r="G100" i="9" s="1"/>
  <c r="G34" i="9"/>
  <c r="G160" i="9" s="1"/>
  <c r="G79" i="9"/>
  <c r="G202" i="9" s="1"/>
  <c r="G64" i="9"/>
  <c r="G188" i="9" s="1"/>
  <c r="AM50" i="9"/>
  <c r="AM55" i="9" s="1"/>
  <c r="F50" i="11"/>
  <c r="AL192" i="9"/>
  <c r="F131" i="9"/>
  <c r="AL99" i="9"/>
  <c r="AL39" i="9"/>
  <c r="AL160" i="9"/>
  <c r="AL164" i="9" s="1"/>
  <c r="AL54" i="9"/>
  <c r="AL174" i="9"/>
  <c r="AL178" i="9" s="1"/>
  <c r="AL113" i="9"/>
  <c r="AM49" i="9"/>
  <c r="AM64" i="9"/>
  <c r="AM34" i="9"/>
  <c r="AM79" i="9"/>
  <c r="AL84" i="9"/>
  <c r="AL202" i="9"/>
  <c r="AL206" i="9" s="1"/>
  <c r="AL141" i="9"/>
  <c r="F145" i="9"/>
  <c r="F103" i="9"/>
  <c r="F22" i="11"/>
  <c r="F73" i="11"/>
  <c r="F75" i="11" s="1"/>
  <c r="AL112" i="9"/>
  <c r="AL55" i="9"/>
  <c r="AL53" i="9"/>
  <c r="AL126" i="9"/>
  <c r="AL131" i="9" s="1"/>
  <c r="AL68" i="9"/>
  <c r="AL70" i="9"/>
  <c r="F82" i="11"/>
  <c r="F84" i="11" s="1"/>
  <c r="AL140" i="9"/>
  <c r="AL83" i="9"/>
  <c r="AL85" i="9"/>
  <c r="F31" i="11"/>
  <c r="AL98" i="9"/>
  <c r="AL40" i="9"/>
  <c r="AL38" i="9"/>
  <c r="N103" i="9"/>
  <c r="F12" i="20" s="1"/>
  <c r="AU68" i="9"/>
  <c r="AU38" i="9"/>
  <c r="CY103" i="9"/>
  <c r="G23" i="20" s="1"/>
  <c r="N131" i="9"/>
  <c r="BS117" i="9"/>
  <c r="G38" i="20" s="1"/>
  <c r="CQ131" i="9"/>
  <c r="N206" i="9"/>
  <c r="W206" i="9"/>
  <c r="CQ117" i="9"/>
  <c r="G41" i="20" s="1"/>
  <c r="BC192" i="9"/>
  <c r="W131" i="9"/>
  <c r="AE192" i="9"/>
  <c r="DG206" i="9"/>
  <c r="CA131" i="9"/>
  <c r="DG117" i="9"/>
  <c r="G43" i="20" s="1"/>
  <c r="CI145" i="9"/>
  <c r="BK206" i="9"/>
  <c r="AE178" i="9"/>
  <c r="W178" i="9"/>
  <c r="CA206" i="9"/>
  <c r="DG145" i="9"/>
  <c r="CY164" i="9"/>
  <c r="CA192" i="9"/>
  <c r="CA164" i="9"/>
  <c r="DG131" i="9"/>
  <c r="CI206" i="9"/>
  <c r="CI178" i="9"/>
  <c r="AE117" i="9"/>
  <c r="G33" i="20" s="1"/>
  <c r="AE145" i="9"/>
  <c r="BS206" i="9"/>
  <c r="CQ103" i="9"/>
  <c r="G22" i="20" s="1"/>
  <c r="CQ178" i="9"/>
  <c r="N145" i="9"/>
  <c r="BK117" i="9"/>
  <c r="G37" i="20" s="1"/>
  <c r="BC103" i="9"/>
  <c r="G17" i="20" s="1"/>
  <c r="AU84" i="9"/>
  <c r="AU83" i="9"/>
  <c r="AE206" i="9"/>
  <c r="CY192" i="9"/>
  <c r="CA178" i="9"/>
  <c r="DG164" i="9"/>
  <c r="CY145" i="9"/>
  <c r="BS145" i="9"/>
  <c r="BS164" i="9"/>
  <c r="BS131" i="9"/>
  <c r="BK131" i="9"/>
  <c r="CA145" i="9"/>
  <c r="DG192" i="9"/>
  <c r="BC164" i="9"/>
  <c r="W145" i="9"/>
  <c r="CA117" i="9"/>
  <c r="G39" i="20" s="1"/>
  <c r="BS103" i="9"/>
  <c r="G19" i="20" s="1"/>
  <c r="CQ192" i="9"/>
  <c r="N117" i="9"/>
  <c r="F31" i="20" s="1"/>
  <c r="BC206" i="9"/>
  <c r="AE164" i="9"/>
  <c r="CY131" i="9"/>
  <c r="DG103" i="9"/>
  <c r="G24" i="20" s="1"/>
  <c r="CY117" i="9"/>
  <c r="G42" i="20" s="1"/>
  <c r="CI131" i="9"/>
  <c r="BS192" i="9"/>
  <c r="BS178" i="9"/>
  <c r="BK192" i="9"/>
  <c r="W164" i="9"/>
  <c r="BC178" i="9"/>
  <c r="BK164" i="9"/>
  <c r="BC145" i="9"/>
  <c r="W103" i="9"/>
  <c r="G13" i="20" s="1"/>
  <c r="AE103" i="9"/>
  <c r="G14" i="20" s="1"/>
  <c r="CI192" i="9"/>
  <c r="CQ206" i="9"/>
  <c r="CI164" i="9"/>
  <c r="CY178" i="9"/>
  <c r="BK145" i="9"/>
  <c r="W117" i="9"/>
  <c r="G32" i="20" s="1"/>
  <c r="CA103" i="9"/>
  <c r="G20" i="20" s="1"/>
  <c r="CQ164" i="9"/>
  <c r="BC117" i="9"/>
  <c r="G36" i="20" s="1"/>
  <c r="BK103" i="9"/>
  <c r="G18" i="20" s="1"/>
  <c r="BC131" i="9"/>
  <c r="W192" i="9"/>
  <c r="AE131" i="9"/>
  <c r="DG178" i="9"/>
  <c r="CQ145" i="9"/>
  <c r="CI103" i="9"/>
  <c r="G21" i="20" s="1"/>
  <c r="N164" i="9"/>
  <c r="BK178" i="9"/>
  <c r="CI117" i="9"/>
  <c r="G40" i="20" s="1"/>
  <c r="N178" i="9"/>
  <c r="AU142" i="9"/>
  <c r="AU128" i="9"/>
  <c r="AU40" i="9"/>
  <c r="AU115" i="9"/>
  <c r="AU176" i="9"/>
  <c r="AU101" i="9"/>
  <c r="AU162" i="9"/>
  <c r="AU164" i="9" s="1"/>
  <c r="AU54" i="9"/>
  <c r="AU204" i="9"/>
  <c r="AU143" i="9"/>
  <c r="AU39" i="9"/>
  <c r="AU129" i="9"/>
  <c r="AU190" i="9"/>
  <c r="AU192" i="9" s="1"/>
  <c r="AU69" i="9"/>
  <c r="O174" i="9"/>
  <c r="O113" i="9"/>
  <c r="O202" i="9"/>
  <c r="O141" i="9"/>
  <c r="O160" i="9"/>
  <c r="O99" i="9"/>
  <c r="O127" i="9"/>
  <c r="O188" i="9"/>
  <c r="O80" i="9"/>
  <c r="O35" i="9"/>
  <c r="O50" i="9"/>
  <c r="O65" i="9"/>
  <c r="O36" i="9"/>
  <c r="O81" i="9"/>
  <c r="O66" i="9"/>
  <c r="O51" i="9"/>
  <c r="F11" i="20" l="1"/>
  <c r="F33" i="11"/>
  <c r="AH5" i="28"/>
  <c r="F24" i="11"/>
  <c r="E5" i="28"/>
  <c r="G80" i="9"/>
  <c r="G142" i="9" s="1"/>
  <c r="G174" i="9"/>
  <c r="G50" i="9"/>
  <c r="G55" i="9" s="1"/>
  <c r="G40" i="9"/>
  <c r="G99" i="9"/>
  <c r="G7" i="9"/>
  <c r="G81" i="9" s="1"/>
  <c r="G204" i="9" s="1"/>
  <c r="G206" i="9" s="1"/>
  <c r="G65" i="9"/>
  <c r="G70" i="9" s="1"/>
  <c r="F20" i="9"/>
  <c r="G127" i="9"/>
  <c r="G141" i="9"/>
  <c r="AM80" i="9"/>
  <c r="AM35" i="9"/>
  <c r="AM40" i="9" s="1"/>
  <c r="AM65" i="9"/>
  <c r="AM128" i="9" s="1"/>
  <c r="AM114" i="9"/>
  <c r="N63" i="20"/>
  <c r="G58" i="11" s="1"/>
  <c r="AL103" i="9"/>
  <c r="N25" i="20"/>
  <c r="G57" i="11" s="1"/>
  <c r="N82" i="20"/>
  <c r="G83" i="11" s="1"/>
  <c r="AM202" i="9"/>
  <c r="AM141" i="9"/>
  <c r="AM99" i="9"/>
  <c r="AM160" i="9"/>
  <c r="AM66" i="9"/>
  <c r="AM81" i="9"/>
  <c r="AM51" i="9"/>
  <c r="AM36" i="9"/>
  <c r="N44" i="20"/>
  <c r="G32" i="11" s="1"/>
  <c r="AP5" i="28" s="1"/>
  <c r="AM188" i="9"/>
  <c r="AM127" i="9"/>
  <c r="AL117" i="9"/>
  <c r="AM174" i="9"/>
  <c r="AM113" i="9"/>
  <c r="AL145" i="9"/>
  <c r="F82" i="20" s="1"/>
  <c r="G74" i="11" s="1"/>
  <c r="F63" i="20"/>
  <c r="G49" i="11" s="1"/>
  <c r="AU131" i="9"/>
  <c r="O38" i="9"/>
  <c r="AU145" i="9"/>
  <c r="AU178" i="9"/>
  <c r="O54" i="9"/>
  <c r="O53" i="9"/>
  <c r="AU206" i="9"/>
  <c r="AU103" i="9"/>
  <c r="G16" i="20" s="1"/>
  <c r="AU117" i="9"/>
  <c r="G35" i="20" s="1"/>
  <c r="O68" i="9"/>
  <c r="O83" i="9"/>
  <c r="O69" i="9"/>
  <c r="O84" i="9"/>
  <c r="O204" i="9"/>
  <c r="O143" i="9"/>
  <c r="O128" i="9"/>
  <c r="O70" i="9"/>
  <c r="O142" i="9"/>
  <c r="O85" i="9"/>
  <c r="O115" i="9"/>
  <c r="O176" i="9"/>
  <c r="O190" i="9"/>
  <c r="O129" i="9"/>
  <c r="O162" i="9"/>
  <c r="O101" i="9"/>
  <c r="O39" i="9"/>
  <c r="O55" i="9"/>
  <c r="O114" i="9"/>
  <c r="O100" i="9"/>
  <c r="O40" i="9"/>
  <c r="F15" i="20" l="1"/>
  <c r="F25" i="20" s="1"/>
  <c r="G73" i="11" s="1"/>
  <c r="G75" i="11" s="1"/>
  <c r="F34" i="20"/>
  <c r="F44" i="20" s="1"/>
  <c r="G23" i="11" s="1"/>
  <c r="M5" i="28" s="1"/>
  <c r="S5" i="28"/>
  <c r="AV5" i="28"/>
  <c r="G114" i="9"/>
  <c r="G85" i="9"/>
  <c r="G66" i="9"/>
  <c r="G69" i="9" s="1"/>
  <c r="G51" i="9"/>
  <c r="G115" i="9" s="1"/>
  <c r="G84" i="9"/>
  <c r="G143" i="9"/>
  <c r="G145" i="9" s="1"/>
  <c r="G36" i="9"/>
  <c r="G38" i="9" s="1"/>
  <c r="G83" i="9"/>
  <c r="G128" i="9"/>
  <c r="AM100" i="9"/>
  <c r="AM142" i="9"/>
  <c r="AM85" i="9"/>
  <c r="AM70" i="9"/>
  <c r="G59" i="11"/>
  <c r="G31" i="11"/>
  <c r="G82" i="11"/>
  <c r="G84" i="11" s="1"/>
  <c r="AM115" i="9"/>
  <c r="AM117" i="9" s="1"/>
  <c r="G34" i="20" s="1"/>
  <c r="AM176" i="9"/>
  <c r="AM178" i="9" s="1"/>
  <c r="AM53" i="9"/>
  <c r="AM54" i="9"/>
  <c r="AM162" i="9"/>
  <c r="AM164" i="9" s="1"/>
  <c r="AM101" i="9"/>
  <c r="AM38" i="9"/>
  <c r="AM143" i="9"/>
  <c r="AM204" i="9"/>
  <c r="AM206" i="9" s="1"/>
  <c r="AM84" i="9"/>
  <c r="AM83" i="9"/>
  <c r="AM190" i="9"/>
  <c r="AM192" i="9" s="1"/>
  <c r="AM68" i="9"/>
  <c r="AM129" i="9"/>
  <c r="AM131" i="9" s="1"/>
  <c r="AM69" i="9"/>
  <c r="AM39" i="9"/>
  <c r="O117" i="9"/>
  <c r="G31" i="20" s="1"/>
  <c r="O131" i="9"/>
  <c r="O103" i="9"/>
  <c r="G12" i="20" s="1"/>
  <c r="O145" i="9"/>
  <c r="O192" i="9"/>
  <c r="O206" i="9"/>
  <c r="O178" i="9"/>
  <c r="O164" i="9"/>
  <c r="G48" i="11" l="1"/>
  <c r="G50" i="11" s="1"/>
  <c r="G22" i="11"/>
  <c r="F5" i="28" s="1"/>
  <c r="T5" i="28" s="1"/>
  <c r="G33" i="11"/>
  <c r="AI5" i="28"/>
  <c r="G117" i="9"/>
  <c r="G68" i="9"/>
  <c r="G190" i="9"/>
  <c r="G192" i="9" s="1"/>
  <c r="O63" i="20" s="1"/>
  <c r="H58" i="11" s="1"/>
  <c r="K58" i="11" s="1"/>
  <c r="G129" i="9"/>
  <c r="G131" i="9" s="1"/>
  <c r="G63" i="20" s="1"/>
  <c r="H49" i="11" s="1"/>
  <c r="K49" i="11" s="1"/>
  <c r="G53" i="9"/>
  <c r="G176" i="9"/>
  <c r="G178" i="9" s="1"/>
  <c r="O44" i="20" s="1"/>
  <c r="H32" i="11" s="1"/>
  <c r="G54" i="9"/>
  <c r="G162" i="9"/>
  <c r="G164" i="9" s="1"/>
  <c r="O25" i="20" s="1"/>
  <c r="H31" i="11" s="1"/>
  <c r="AJ5" i="28" s="1"/>
  <c r="G101" i="9"/>
  <c r="G103" i="9" s="1"/>
  <c r="G39" i="9"/>
  <c r="AM103" i="9"/>
  <c r="G15" i="20" s="1"/>
  <c r="AM145" i="9"/>
  <c r="G82" i="20" s="1"/>
  <c r="H74" i="11" s="1"/>
  <c r="K74" i="11" s="1"/>
  <c r="O82" i="20"/>
  <c r="H83" i="11" s="1"/>
  <c r="K83" i="11" s="1"/>
  <c r="G11" i="20" l="1"/>
  <c r="G25" i="20" s="1"/>
  <c r="H48" i="11" s="1"/>
  <c r="K48" i="11" s="1"/>
  <c r="G24" i="11"/>
  <c r="G30" i="20"/>
  <c r="G44" i="20" s="1"/>
  <c r="H23" i="11" s="1"/>
  <c r="AW5" i="28"/>
  <c r="AK5" i="28"/>
  <c r="K32" i="11"/>
  <c r="AQ5" i="28"/>
  <c r="AR5" i="28" s="1"/>
  <c r="H33" i="11"/>
  <c r="H57" i="11"/>
  <c r="K57" i="11" s="1"/>
  <c r="H82" i="11"/>
  <c r="K82" i="11" s="1"/>
  <c r="K31" i="11"/>
  <c r="K23" i="11" l="1"/>
  <c r="N5" i="28"/>
  <c r="O5" i="28" s="1"/>
  <c r="AX5" i="28"/>
  <c r="AY5" i="28"/>
  <c r="K33" i="11"/>
  <c r="H73" i="11"/>
  <c r="K73" i="11" s="1"/>
  <c r="H50" i="11"/>
  <c r="I50" i="11" s="1"/>
  <c r="H22" i="11"/>
  <c r="I33" i="11"/>
  <c r="I50" i="27" s="1"/>
  <c r="H59" i="11"/>
  <c r="I59" i="11" s="1"/>
  <c r="H84" i="11"/>
  <c r="I84" i="11" s="1"/>
  <c r="K22" i="11" l="1"/>
  <c r="G5" i="28"/>
  <c r="H5" i="28" s="1"/>
  <c r="V5" i="28" s="1"/>
  <c r="H75" i="11"/>
  <c r="I75" i="11" s="1"/>
  <c r="H24" i="11"/>
  <c r="K50" i="11"/>
  <c r="K59" i="11"/>
  <c r="K84" i="11"/>
  <c r="U5" i="28" l="1"/>
  <c r="K24" i="11"/>
  <c r="K75" i="11"/>
  <c r="I24" i="11"/>
  <c r="I20" i="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Ludmila Peres Gargano</author>
  </authors>
  <commentList>
    <comment ref="D79" authorId="0" shapeId="0" xr:uid="{D4E78677-F06A-4056-977D-7A5B46396085}">
      <text>
        <r>
          <rPr>
            <b/>
            <sz val="9"/>
            <color rgb="FF000000"/>
            <rFont val="Segoe UI"/>
            <family val="2"/>
            <charset val="1"/>
          </rPr>
          <t>Ludmila Peres Gargano:</t>
        </r>
        <r>
          <rPr>
            <sz val="9"/>
            <color rgb="FF000000"/>
            <rFont val="Segoe UI"/>
            <family val="2"/>
            <charset val="1"/>
          </rPr>
          <t xml:space="preserve">
</t>
        </r>
        <r>
          <rPr>
            <sz val="9"/>
            <color rgb="FF000000"/>
            <rFont val="Segoe UI"/>
            <family val="2"/>
            <charset val="1"/>
          </rPr>
          <t>Fill in the epidemiological parameters that make up the funnel, informing the percentages (%) in the cells of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Ludmila</author>
    <author>Ludmila Peres Gargano</author>
  </authors>
  <commentList>
    <comment ref="G31" authorId="0" shapeId="0" xr:uid="{6620B4E6-6CD7-40C0-BE1E-680C7F9BA564}">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durante o tratamento e são comuns para todas as tecnologias avaliadas (por exemplo, custos de acompanhamento com consultas e exames de rotina)</t>
        </r>
      </text>
    </comment>
    <comment ref="H31" authorId="0" shapeId="0" xr:uid="{D635A530-47AD-4CDD-9F35-08F3DDBA3CCF}">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I31" authorId="0" shapeId="0" xr:uid="{BA7C326F-8234-45B1-AAFD-E62C434698B3}">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APÖS a descontinuação do tratamento e são comuns para todas as tecnologias avaliadas (por exemplo, custos de pós progressão)</t>
        </r>
      </text>
    </comment>
    <comment ref="G200" authorId="1" shapeId="0" xr:uid="{FB677AFC-A758-F541-99DD-232DC37DEBB4}">
      <text>
        <r>
          <rPr>
            <b/>
            <sz val="10"/>
            <color rgb="FF000000"/>
            <rFont val="Tahoma"/>
            <family val="2"/>
          </rPr>
          <t xml:space="preserve">Ludmila Peres Gargano: </t>
        </r>
        <r>
          <rPr>
            <sz val="10"/>
            <color rgb="FF000000"/>
            <rFont val="Tahoma"/>
            <family val="2"/>
          </rPr>
          <t xml:space="preserve">For general costs, fill in only the first row, since these costs will be applied equally across all technologies.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Ludmila</author>
  </authors>
  <commentList>
    <comment ref="C10" authorId="0" shapeId="0" xr:uid="{44B277B8-560C-470A-A1CA-F8F8358644E9}">
      <text>
        <r>
          <rPr>
            <b/>
            <sz val="9"/>
            <color rgb="FF000000"/>
            <rFont val="Segoe UI"/>
            <family val="2"/>
            <charset val="1"/>
          </rPr>
          <t>Ludmila Peres Gargano:</t>
        </r>
        <r>
          <rPr>
            <sz val="9"/>
            <color rgb="FF000000"/>
            <rFont val="Segoe UI"/>
            <family val="2"/>
            <charset val="1"/>
          </rPr>
          <t xml:space="preserve">
</t>
        </r>
        <r>
          <rPr>
            <b/>
            <sz val="9"/>
            <color rgb="FF000000"/>
            <rFont val="Calibri"/>
            <family val="2"/>
          </rPr>
          <t>Example 1:</t>
        </r>
        <r>
          <rPr>
            <sz val="9"/>
            <color rgb="FF000000"/>
            <rFont val="Calibri"/>
            <family val="2"/>
          </rPr>
          <t xml:space="preserve"> According to the product label, if the treatment should be provided for two years, then enter 12 months for 1st year, 12 months for 2nd year, and 0 months for the remaining years.
</t>
        </r>
        <r>
          <rPr>
            <sz val="9"/>
            <color rgb="FF000000"/>
            <rFont val="Calibri"/>
            <family val="2"/>
          </rPr>
          <t xml:space="preserve">
</t>
        </r>
        <r>
          <rPr>
            <b/>
            <sz val="9"/>
            <color rgb="FF000000"/>
            <rFont val="Calibri"/>
            <family val="2"/>
          </rPr>
          <t>Example 2:</t>
        </r>
        <r>
          <rPr>
            <sz val="9"/>
            <color rgb="FF000000"/>
            <rFont val="Calibri"/>
            <family val="2"/>
          </rPr>
          <t xml:space="preserve"> According to the product label, induction treatment is administered during the first two months, and maintenance treatment is continuous until disease progression. Enter 10 months for 1st year (excluding the 2-month induction phase), and 12 months for the subsequent years.</t>
        </r>
      </text>
    </comment>
    <comment ref="C37" authorId="0" shapeId="0" xr:uid="{3E5809A4-CE7E-450D-861B-64E5FBBDAA21}">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 xml:space="preserve">Idealmente, deve-se utilizar a mediana de uso do tratamento (tempo em meses) ou a taxa anual de descontinuação.
</t>
        </r>
        <r>
          <rPr>
            <sz val="9"/>
            <color rgb="FF000000"/>
            <rFont val="Segoe UI"/>
            <family val="2"/>
            <charset val="1"/>
          </rPr>
          <t>Entretando, para terapias utilizadas até a progressão da doença (por exemplo alguns tratamentos oncológicos), a sobrevida livre de progressão poderá ser utilizada para estimar o percentual de pacientes que permanece em uso do tratamento anualmente.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<sst xmlns="http://schemas.openxmlformats.org/spreadsheetml/2006/main" count="3609" uniqueCount="410">
  <si>
    <t>Sim</t>
  </si>
  <si>
    <t>Não</t>
  </si>
  <si>
    <t>4.Market share</t>
  </si>
  <si>
    <t>População estimada em cada tratamento conforme market</t>
  </si>
  <si>
    <t xml:space="preserve">Exibir </t>
  </si>
  <si>
    <t>Total</t>
  </si>
  <si>
    <t>Final</t>
  </si>
  <si>
    <t>-</t>
  </si>
  <si>
    <t>Descontinuação por mês</t>
  </si>
  <si>
    <t>h</t>
  </si>
  <si>
    <t>Óbito por mês</t>
  </si>
  <si>
    <t>Min</t>
  </si>
  <si>
    <t>Max</t>
  </si>
  <si>
    <t>Beta</t>
  </si>
  <si>
    <t>DSA</t>
  </si>
  <si>
    <t>ci_int1</t>
  </si>
  <si>
    <t>ci_int2</t>
  </si>
  <si>
    <t>ci_int3</t>
  </si>
  <si>
    <t>ci_int4</t>
  </si>
  <si>
    <t>ci_comp1</t>
  </si>
  <si>
    <t>ci_comp2</t>
  </si>
  <si>
    <t>ci_comp3</t>
  </si>
  <si>
    <t>ci_comp4</t>
  </si>
  <si>
    <t>ci_comp5</t>
  </si>
  <si>
    <t>ci_comp6</t>
  </si>
  <si>
    <t>ci_comp7</t>
  </si>
  <si>
    <t>ci_comp8</t>
  </si>
  <si>
    <t>ci_comp9</t>
  </si>
  <si>
    <t>ci_comp10</t>
  </si>
  <si>
    <t>ct_int1</t>
  </si>
  <si>
    <t>ct_int2</t>
  </si>
  <si>
    <t>ct_int3</t>
  </si>
  <si>
    <t>ct_int4</t>
  </si>
  <si>
    <t>ct_comp1</t>
  </si>
  <si>
    <t>ct_comp2</t>
  </si>
  <si>
    <t>ct_comp3</t>
  </si>
  <si>
    <t>ct_comp4</t>
  </si>
  <si>
    <t>ct_comp5</t>
  </si>
  <si>
    <t>ct_comp6</t>
  </si>
  <si>
    <t>ct_comp7</t>
  </si>
  <si>
    <t>ct_comp8</t>
  </si>
  <si>
    <t>ct_comp9</t>
  </si>
  <si>
    <t>ct_comp10</t>
  </si>
  <si>
    <t>ca_int1</t>
  </si>
  <si>
    <t>ca_int2</t>
  </si>
  <si>
    <t>ca_int3</t>
  </si>
  <si>
    <t>ca_int4</t>
  </si>
  <si>
    <t>ca_comp1</t>
  </si>
  <si>
    <t>ca_comp2</t>
  </si>
  <si>
    <t>ca_comp3</t>
  </si>
  <si>
    <t>ca_comp4</t>
  </si>
  <si>
    <t>ca_comp5</t>
  </si>
  <si>
    <t>ca_comp6</t>
  </si>
  <si>
    <t>ca_comp7</t>
  </si>
  <si>
    <t>ca_comp8</t>
  </si>
  <si>
    <t>ca_comp9</t>
  </si>
  <si>
    <t>ca_comp10</t>
  </si>
  <si>
    <t>c_inicial</t>
  </si>
  <si>
    <t>c_on</t>
  </si>
  <si>
    <t>c_off</t>
  </si>
  <si>
    <t>Budget Impact Calculator - Blank Template</t>
  </si>
  <si>
    <t>1. Starting a new budget impact analysis</t>
  </si>
  <si>
    <t>When starting a new analysis, save a copy of this document and then complete the following fields.</t>
  </si>
  <si>
    <t>Fields in blue will be automatically filled in after definition in the next steps.</t>
  </si>
  <si>
    <t>Document Version</t>
  </si>
  <si>
    <t>Date</t>
  </si>
  <si>
    <t>Responsible Team</t>
  </si>
  <si>
    <t>2. Research question</t>
  </si>
  <si>
    <t>2.1. Population</t>
  </si>
  <si>
    <t>2.2. Proposed Technology(ies)</t>
  </si>
  <si>
    <t>2.3. Comparator(s)</t>
  </si>
  <si>
    <t>Describe the technologies currently available for the condition</t>
  </si>
  <si>
    <t>Proposed technologies are the "interventions" being evaluated for listing/reimbursement.</t>
  </si>
  <si>
    <t>Comparators are the medications/technologies currently available (on the list) for the condition under analysis.</t>
  </si>
  <si>
    <t>The reference scenario refers to the current scenario, in which the interventions are not available.</t>
  </si>
  <si>
    <t>Alternative scenarios refer to the scenarios in which the intervention under analysis will be available.</t>
  </si>
  <si>
    <t>Different alternative scenarios can be chosen to vary the expected diffusion rates.</t>
  </si>
  <si>
    <t>This spreadsheet is intended solely for educational and non-commercial purposes. Reproduction, distribution, or use for commercial gain is strictly prohibited without prior written permission.</t>
  </si>
  <si>
    <t>3. Time horizon</t>
  </si>
  <si>
    <t>5 years</t>
  </si>
  <si>
    <t>Time horizon</t>
  </si>
  <si>
    <t>Technology</t>
  </si>
  <si>
    <t>Alternative scenario 1:</t>
  </si>
  <si>
    <t>Reference scenario:</t>
  </si>
  <si>
    <t>Establish the period of the analysis.</t>
  </si>
  <si>
    <t>Write in 20xx format the first year of the budget impact analysis (e.g., 2025).</t>
  </si>
  <si>
    <t>By definition, this tool evaluates a five-year time horizon.</t>
  </si>
  <si>
    <t>What is the first year of the analysis?</t>
  </si>
  <si>
    <t>Establish the diffusion rate of the technology considering the scenarios previously reported (reference scenario and proposed scenarios).</t>
  </si>
  <si>
    <t>Alternative scenario 2:</t>
  </si>
  <si>
    <t>Alternative scenario 3:</t>
  </si>
  <si>
    <t>Intervention</t>
  </si>
  <si>
    <t>Comparators</t>
  </si>
  <si>
    <t>Fill in lines only for the technologies under analysis</t>
  </si>
  <si>
    <t>The sum of the percentages must result in 100%</t>
  </si>
  <si>
    <t>It is assumed that interventions are not available in the reference scenario, and therefore, 0% in all years</t>
  </si>
  <si>
    <t>Value (%)</t>
  </si>
  <si>
    <t>Reference</t>
  </si>
  <si>
    <t>Calculation method</t>
  </si>
  <si>
    <t>Does the eligible population refer to the number of new cases?</t>
  </si>
  <si>
    <t>Select this option if you want to manually enter the total number of eligible patients, and complete section 5.1. below.</t>
  </si>
  <si>
    <t>Description</t>
  </si>
  <si>
    <t>Select whether the population should be estimated based on the annual average or a linear trend.</t>
  </si>
  <si>
    <t>*Adjustment for population growth in the period</t>
  </si>
  <si>
    <t>5. Estimating the Total Number of Eligible Patients</t>
  </si>
  <si>
    <t>Select the method to be used to estimate the number of eligible patients.</t>
  </si>
  <si>
    <t>5.1. Manual Data Entry</t>
  </si>
  <si>
    <t>Use this section if you prefer to manually enter the final estimate of eligible patients, without applying the calculation strategies.</t>
  </si>
  <si>
    <t>5.2. Estimation Using the Observed Demand Method</t>
  </si>
  <si>
    <t>Use this section if you prefer to estimate the eligible population based on projections from historical data.</t>
  </si>
  <si>
    <t>If the estimate depends on more than one procedure, enter the number for each in a separate row.</t>
  </si>
  <si>
    <t>Start year of data</t>
  </si>
  <si>
    <t>End year of data</t>
  </si>
  <si>
    <t>Data interval</t>
  </si>
  <si>
    <t>Sum</t>
  </si>
  <si>
    <t>Projection calculation strategy</t>
  </si>
  <si>
    <t>Selected observed demand</t>
  </si>
  <si>
    <r>
      <t>Population projection for the time horizon of the analysis (</t>
    </r>
    <r>
      <rPr>
        <b/>
        <sz val="11"/>
        <color theme="8"/>
        <rFont val="Calibri (Corpo)"/>
      </rPr>
      <t>linear projection</t>
    </r>
    <r>
      <rPr>
        <b/>
        <sz val="11"/>
        <color rgb="FF0EB1BA"/>
        <rFont val="Calibri"/>
        <family val="2"/>
        <scheme val="minor"/>
      </rPr>
      <t>)</t>
    </r>
  </si>
  <si>
    <r>
      <t>Population projection for the time horizon of the analysis (</t>
    </r>
    <r>
      <rPr>
        <b/>
        <sz val="11"/>
        <color theme="8"/>
        <rFont val="Calibri (Corpo)"/>
      </rPr>
      <t>mean projection</t>
    </r>
    <r>
      <rPr>
        <b/>
        <sz val="11"/>
        <color rgb="FF0EB1BA"/>
        <rFont val="Calibri"/>
        <family val="2"/>
        <scheme val="minor"/>
      </rPr>
      <t>)</t>
    </r>
  </si>
  <si>
    <t>Parameters</t>
  </si>
  <si>
    <t>In use</t>
  </si>
  <si>
    <t>Base line</t>
  </si>
  <si>
    <t>Probabilistic</t>
  </si>
  <si>
    <t>Variation</t>
  </si>
  <si>
    <t>SE</t>
  </si>
  <si>
    <t>Distribuition</t>
  </si>
  <si>
    <t>Alpha</t>
  </si>
  <si>
    <t>Estimate</t>
  </si>
  <si>
    <t>5.3. Estimation Using the Epidemiological Method</t>
  </si>
  <si>
    <t>Use this section if you wish to estimate the eligible population based on the epidemiological parameters from the literature.</t>
  </si>
  <si>
    <t>This section can also be used if you wish to apply epidemiological parameters to the population projected through the “Observed Demand” method.</t>
  </si>
  <si>
    <t>Enter the first year for which data are available.</t>
  </si>
  <si>
    <t>Enter the last year for which data are available.</t>
  </si>
  <si>
    <t>The chart must be adjusted to include only the years for which data are available.</t>
  </si>
  <si>
    <t>Parameter</t>
  </si>
  <si>
    <t>Title of the Analysis</t>
  </si>
  <si>
    <t>Expected annual growth</t>
  </si>
  <si>
    <t>Intervention 1</t>
  </si>
  <si>
    <t>Intervention 2</t>
  </si>
  <si>
    <t>Intervention 3</t>
  </si>
  <si>
    <t>Intervention 4</t>
  </si>
  <si>
    <t>Comparator 1</t>
  </si>
  <si>
    <t>Comparator 2</t>
  </si>
  <si>
    <t>Comparator 3</t>
  </si>
  <si>
    <t>Comparator 4</t>
  </si>
  <si>
    <t>Comparator 5</t>
  </si>
  <si>
    <t>Comparator 6</t>
  </si>
  <si>
    <t>Comparator 7</t>
  </si>
  <si>
    <t>Comparator 8</t>
  </si>
  <si>
    <t>Comparator 9</t>
  </si>
  <si>
    <t>Comparator 10</t>
  </si>
  <si>
    <t>Applied for any technology</t>
  </si>
  <si>
    <t>Select the technology</t>
  </si>
  <si>
    <t>Description of resource</t>
  </si>
  <si>
    <t>% of patients using</t>
  </si>
  <si>
    <t>Quantity</t>
  </si>
  <si>
    <t>Unit cost</t>
  </si>
  <si>
    <t>Final cost</t>
  </si>
  <si>
    <t>6.1. Calculating Treatment Costs</t>
  </si>
  <si>
    <t>The table below presents the annual total cost per intervention, as reported in the sections below.</t>
  </si>
  <si>
    <r>
      <rPr>
        <b/>
        <sz val="11"/>
        <rFont val="Calibri"/>
        <family val="2"/>
      </rPr>
      <t>Do not make changes directly in this table</t>
    </r>
    <r>
      <rPr>
        <sz val="11"/>
        <rFont val="Calibri"/>
        <family val="2"/>
      </rPr>
      <t>; use the sections below to enter each type of cost.</t>
    </r>
  </si>
  <si>
    <t>6.1.1 Initial Treatment Costs – One-Time Cost at the Start of the Analysis (PER TECHNOLOGY)</t>
  </si>
  <si>
    <t>In this section, report the treatment costs that are incurred only ONCE, at the time the patient enters the analysis.</t>
  </si>
  <si>
    <t>Examples of one-time costs: induction therapy.</t>
  </si>
  <si>
    <t>Model Calculations</t>
  </si>
  <si>
    <t>Cohort 1</t>
  </si>
  <si>
    <t>Cohort 2</t>
  </si>
  <si>
    <t>Cohort 3</t>
  </si>
  <si>
    <t>Cohort 4</t>
  </si>
  <si>
    <t>Cohort 5</t>
  </si>
  <si>
    <t>Cohort 1 on treat.</t>
  </si>
  <si>
    <t>Cohort 2 on treat.</t>
  </si>
  <si>
    <t>Cohort 3 on treat.</t>
  </si>
  <si>
    <t>Cohort 4 on treat.</t>
  </si>
  <si>
    <t>Cohort 5 on treat.</t>
  </si>
  <si>
    <t>Cohort 1 off treat.</t>
  </si>
  <si>
    <t>Cohort 2 off treat.</t>
  </si>
  <si>
    <t>Cohort 3 off treat.</t>
  </si>
  <si>
    <t>Cohort 4 off treat.</t>
  </si>
  <si>
    <t>Cohort 5 off treat.</t>
  </si>
  <si>
    <t>Population estimate adjusted by market share</t>
  </si>
  <si>
    <t>Calculations considering all associated costs</t>
  </si>
  <si>
    <t>Calculations considering only acquisition costs</t>
  </si>
  <si>
    <t>8. Results</t>
  </si>
  <si>
    <t>In observed demand, the number of eligible patients is estimated based on data obtained from previous years on the service. Complete section 5.2 below.</t>
  </si>
  <si>
    <t>In epidemiological methods, population data are used to estimate the total number of eligible patients (e.g. prevalence). Complete section 5.3 below.</t>
  </si>
  <si>
    <t>to</t>
  </si>
  <si>
    <t>Incremental budget impact</t>
  </si>
  <si>
    <t>Adoption rate ranging from</t>
  </si>
  <si>
    <t>8.1. Final population used in the calculations</t>
  </si>
  <si>
    <t>Annual mean</t>
  </si>
  <si>
    <t>Full-cost results</t>
  </si>
  <si>
    <t>Technology cost–only results</t>
  </si>
  <si>
    <t>1st year</t>
  </si>
  <si>
    <t>2nd year</t>
  </si>
  <si>
    <t>3rd year</t>
  </si>
  <si>
    <t>5th year</t>
  </si>
  <si>
    <t>4th year</t>
  </si>
  <si>
    <t>7.1 Reporting Treatment Duration According to the Product Label</t>
  </si>
  <si>
    <t>Use this section to specify the number of months per year that each technology is expected to be used, based on the approved product label.</t>
  </si>
  <si>
    <t>This duration refers solely to the recommended usage and does not account for discontinuation due to disease progression or other reasons (which will be reported in the following sections).</t>
  </si>
  <si>
    <t>If the treatment includes both an induction and a maintenance phase, report only the number of months recommended for the maintenance phase.</t>
  </si>
  <si>
    <t xml:space="preserve">For how many months will each intervention be used per patient?
</t>
  </si>
  <si>
    <t>For how many months will each comparator be used per patient?</t>
  </si>
  <si>
    <t>months</t>
  </si>
  <si>
    <t>Entry</t>
  </si>
  <si>
    <t>On treatment</t>
  </si>
  <si>
    <t>Deaths</t>
  </si>
  <si>
    <t>Discontinued</t>
  </si>
  <si>
    <t>Code</t>
  </si>
  <si>
    <t>HTA Submission Number</t>
  </si>
  <si>
    <t>Describe the target population, interventions, and comparators (alternative treatments or technologies).</t>
  </si>
  <si>
    <t>Describe the population under evaluation (clinical condition)</t>
  </si>
  <si>
    <t>Describe the technology(ies) under assessment for listing/reimbursment</t>
  </si>
  <si>
    <t>Number of technologies under assessment</t>
  </si>
  <si>
    <t>Name of the technology</t>
  </si>
  <si>
    <t>Name of the comparator</t>
  </si>
  <si>
    <t>Number of comparators</t>
  </si>
  <si>
    <t>2.4. Assessed Scenarios</t>
  </si>
  <si>
    <t>Provide names to identify the scenarios under evaluation</t>
  </si>
  <si>
    <t>Name of reference scenario</t>
  </si>
  <si>
    <t>Name of alternative scenario 1</t>
  </si>
  <si>
    <t>Name of alternative scenario 2</t>
  </si>
  <si>
    <t>Name of alternative scenario 3</t>
  </si>
  <si>
    <t>This spreadsheet is intended solely for educational and non-commercial purposes. Reproduction, distribution, or use for commercial gain without prior written permission is strictly prohibited.</t>
  </si>
  <si>
    <t>Tip: If the R² value of the linear projection is less than 0.5, you should consider to use the mean.</t>
  </si>
  <si>
    <t>Technology-Specific Costs</t>
  </si>
  <si>
    <t>Initial treatment cost (one-time)</t>
  </si>
  <si>
    <t>Ongoing monthly treatment cost</t>
  </si>
  <si>
    <t>Additional ongoing monthly costs</t>
  </si>
  <si>
    <t>Initial general costs</t>
  </si>
  <si>
    <t>General Costs (common to all patients)</t>
  </si>
  <si>
    <t>Monthly costs during treatment</t>
  </si>
  <si>
    <t>Monthly costs after treatment</t>
  </si>
  <si>
    <r>
      <t xml:space="preserve">Ongoing </t>
    </r>
    <r>
      <rPr>
        <b/>
        <u/>
        <sz val="11"/>
        <color theme="0"/>
        <rFont val="Calibri"/>
        <family val="2"/>
      </rPr>
      <t>annual</t>
    </r>
    <r>
      <rPr>
        <b/>
        <sz val="11"/>
        <color theme="0"/>
        <rFont val="Calibri"/>
        <family val="2"/>
      </rPr>
      <t xml:space="preserve"> treatment cost</t>
    </r>
  </si>
  <si>
    <r>
      <t xml:space="preserve">Additional ongoing </t>
    </r>
    <r>
      <rPr>
        <b/>
        <u/>
        <sz val="11"/>
        <color theme="0"/>
        <rFont val="Calibri"/>
        <family val="2"/>
      </rPr>
      <t>annual</t>
    </r>
    <r>
      <rPr>
        <b/>
        <sz val="11"/>
        <color theme="0"/>
        <rFont val="Calibri"/>
        <family val="2"/>
      </rPr>
      <t xml:space="preserve"> costs</t>
    </r>
  </si>
  <si>
    <r>
      <rPr>
        <b/>
        <u/>
        <sz val="11"/>
        <color theme="0"/>
        <rFont val="Calibri"/>
        <family val="2"/>
      </rPr>
      <t>Annual</t>
    </r>
    <r>
      <rPr>
        <b/>
        <sz val="11"/>
        <color theme="0"/>
        <rFont val="Calibri"/>
        <family val="2"/>
      </rPr>
      <t xml:space="preserve"> costs during treatment</t>
    </r>
  </si>
  <si>
    <r>
      <rPr>
        <b/>
        <u/>
        <sz val="11"/>
        <color theme="0"/>
        <rFont val="Calibri"/>
        <family val="2"/>
      </rPr>
      <t>Annual</t>
    </r>
    <r>
      <rPr>
        <b/>
        <sz val="11"/>
        <color theme="0"/>
        <rFont val="Calibri"/>
        <family val="2"/>
      </rPr>
      <t xml:space="preserve"> costs after treatment</t>
    </r>
  </si>
  <si>
    <t>6.1.2 Ongoing Monthly Treatment Costs – Recurrent or Continuous (PER TECHNOLOGY)</t>
  </si>
  <si>
    <t>In this section, enter the costs related to each intervention/comparator that occur more than once during the year.</t>
  </si>
  <si>
    <t>Examples of recurring costs: maintenance therapy, continuous treatment, periodic monitoring tests (e.g., every x months).</t>
  </si>
  <si>
    <t>6.1.3 Associated Monthly Costs (Treatment-Related) – Recurrent or Continuous (PER TECHNOLOGY)</t>
  </si>
  <si>
    <t>In this section, enter any additional costs related to each intervention/comparator that occur throughout the treatment period, such as exam or monitoring costs.</t>
  </si>
  <si>
    <t>These costs will be considered in the analysis for the entire duration in which the patient is receiving the technology.</t>
  </si>
  <si>
    <t>Examples of recurring associated costs: specific monitoring of adverse events related to the treatment.</t>
  </si>
  <si>
    <t>6.1.4 Initial General Costs (Common to All Technologies)</t>
  </si>
  <si>
    <t>In this section, enter any initial costs that apply to all patients at the start of the analysis (e.g., diagnostic or molecular testing).</t>
  </si>
  <si>
    <t>6.1.5 Monthly Costs DURING Treatment (Common to All Technologies)</t>
  </si>
  <si>
    <t xml:space="preserve">In this section, enter any additional costs that apply while the patient is receiving treatment (e.g., routine follow-up or monitoring visits).
</t>
  </si>
  <si>
    <t>6.1.6 Monthly Costs AFTER Treatment (Common to All Technologies)</t>
  </si>
  <si>
    <t>In this section, enter any additional costs that apply after the patient discontinues treatment (e.g., costs related to disease progression).</t>
  </si>
  <si>
    <t>6.2. Cost Support Table</t>
  </si>
  <si>
    <t>Use this section only if it is not possible to estimate the costs of each intervention using the structured steps above.</t>
  </si>
  <si>
    <t>These values should be used only as a last resort, when calculating costs through the standard tables is not feasible.</t>
  </si>
  <si>
    <t>Using the 'Cost Support Table'?</t>
  </si>
  <si>
    <t xml:space="preserve">Please keep "No" selected if costs are being calculated using the Section 6.1 tables.
</t>
  </si>
  <si>
    <t>No</t>
  </si>
  <si>
    <t>If the cost applies only during the first year or only in certain years of the analysis, you should still enter the monthly frequency here. The number of months per year or the number of years in which the cost applies should be defined later in the "Time on treatment" tab.</t>
  </si>
  <si>
    <t>7.2. Estimating Patient Discontinuation and Number of Patients on Treatment</t>
  </si>
  <si>
    <t>Use this section if it is important to indicate the percentage of patients who remain on treatment or discontinue treatment over the course of the year.</t>
  </si>
  <si>
    <t>Treatment discontinuation can be estimated using different parameters: median treatment duration, discontinuation rate, or disease progression.</t>
  </si>
  <si>
    <t>Do you wish to consider treatment discontinuation?</t>
  </si>
  <si>
    <t>Select the method to estimate treatment discontinuation:</t>
  </si>
  <si>
    <t>Enter data period:</t>
  </si>
  <si>
    <t>This option does not apply if the "median usage time" is entered.</t>
  </si>
  <si>
    <t>If "Other data frequency" is selected  complete the following tab -&gt;</t>
  </si>
  <si>
    <t>If you wish to report the monthly or semi-annual discontinuation rate, please use the table below.</t>
  </si>
  <si>
    <t>If you wish to report progression-free survival monthly or semi-annually, use the table below.</t>
  </si>
  <si>
    <t>If you wish to report the monthly death rate by month or half-year, use the table below.</t>
  </si>
  <si>
    <t>If you wish to report overall survival monthly or semi-annually, use the table below.</t>
  </si>
  <si>
    <t>MONTHLY death rate (%)</t>
  </si>
  <si>
    <t>Overall MONTHLY survival (%)</t>
  </si>
  <si>
    <t>In this spreadsheet, median survival is extrapolated monthly using an exponential distribution. Do not make any changes here.</t>
  </si>
  <si>
    <t>In this spreadsheet, the median treatment time is extrapolated monthly using an exponential distribution. Do not make any changes here.</t>
  </si>
  <si>
    <t>MONTHLY progression-free survival (%)</t>
  </si>
  <si>
    <t>MONTHLY discontinuation rate (%)</t>
  </si>
  <si>
    <t>Do not fill in this table</t>
  </si>
  <si>
    <t>7.2.1. Table of median time of use of treatments</t>
  </si>
  <si>
    <t>Time (in months)</t>
  </si>
  <si>
    <t>Comparators (inform in %)</t>
  </si>
  <si>
    <t>Interventions (inform in %)</t>
  </si>
  <si>
    <t>Data applied to the analysis - percentage of patients who discontinue the technology each year</t>
  </si>
  <si>
    <t>Extrapolation - percentage of patients who discontinue based on the median time of use</t>
  </si>
  <si>
    <t>Calculation table - percentage of patients who discontinue based on progression-free survival</t>
  </si>
  <si>
    <t>Calculation table - percentage of patients who discontinue based on the discontinuation rate</t>
  </si>
  <si>
    <t>12 months</t>
  </si>
  <si>
    <t>24 months</t>
  </si>
  <si>
    <t>36 months</t>
  </si>
  <si>
    <t>48 months</t>
  </si>
  <si>
    <t>7.3. Patient Exit from the Analysis Due to Death</t>
  </si>
  <si>
    <t>Use this section if it is important to account for patient attrition in the budget impact analysis based on the occurrence of deaths.</t>
  </si>
  <si>
    <t>Do you wish to consider patient exit from the analysis due to death?</t>
  </si>
  <si>
    <t>Select “No” if 100% of patients are expected to remain on treatment for the entire period specified in the previous section.</t>
  </si>
  <si>
    <t>Data source for patient exit information</t>
  </si>
  <si>
    <t>Specify data period</t>
  </si>
  <si>
    <t>If “Other data periodicity” is selected, complete the following tab →</t>
  </si>
  <si>
    <t>This option does not apply if “Median survival” is provided.</t>
  </si>
  <si>
    <t>7.3.1. Table of median survival</t>
  </si>
  <si>
    <t>7.3.2. Table of mortality rate and overall survival</t>
  </si>
  <si>
    <t>Yes</t>
  </si>
  <si>
    <t>Data applied to the analysis – percentage of patients exiting the model due to death</t>
  </si>
  <si>
    <t>Extrapolation – percentage of patients dying based on median survival</t>
  </si>
  <si>
    <t>Calculation table – percentage of patients dying based on overall survival</t>
  </si>
  <si>
    <t>Calculation table – percentage of patients discontinuing based on mortality rate</t>
  </si>
  <si>
    <t>Year 1</t>
  </si>
  <si>
    <t>Year 2</t>
  </si>
  <si>
    <t>Year 3</t>
  </si>
  <si>
    <t>Year 4</t>
  </si>
  <si>
    <t>Year 5</t>
  </si>
  <si>
    <t>Lower limit of the graph</t>
  </si>
  <si>
    <t>Upper limit of the graph</t>
  </si>
  <si>
    <t>Central value of the graph</t>
  </si>
  <si>
    <t>9. Deterministic sensitivity analysis (DSA)</t>
  </si>
  <si>
    <t>Cumulative</t>
  </si>
  <si>
    <t>Select “No” if all patients are expected to remain on treatment for the entire period specified in the previous section, or until death (next section).</t>
  </si>
  <si>
    <t>Annual data</t>
  </si>
  <si>
    <t>Mean projection</t>
  </si>
  <si>
    <t>Discontinuation data includes deaths?</t>
  </si>
  <si>
    <t>Does the reported prevalence refer to a specific line of treatment?</t>
  </si>
  <si>
    <t>If Yes, patients who progress in one year will be removed from the eligible prevalent population in the next year.</t>
  </si>
  <si>
    <t>Range</t>
  </si>
  <si>
    <t>Lower limit</t>
  </si>
  <si>
    <t>Upper limit</t>
  </si>
  <si>
    <t>p</t>
  </si>
  <si>
    <t>Reference scenario</t>
  </si>
  <si>
    <t>Alternative scenario 1</t>
  </si>
  <si>
    <t>Mean</t>
  </si>
  <si>
    <t>Scenario diference</t>
  </si>
  <si>
    <t>95% CI (lower)</t>
  </si>
  <si>
    <t>95% CI (upper)</t>
  </si>
  <si>
    <t>Parameters - Scenario 1 (technology cost–only)</t>
  </si>
  <si>
    <t>Parameters - Scenario 1 (full-cost)</t>
  </si>
  <si>
    <t>Gamma</t>
  </si>
  <si>
    <t>Is it necessary to use dynamic cohorts to project the population?</t>
  </si>
  <si>
    <t>If Yes, patients whil trasition between cohorts based on the data to be provided in the "time to treatment" tab.</t>
  </si>
  <si>
    <t>Cohort on treat.</t>
  </si>
  <si>
    <t>Cohort  on treat.</t>
  </si>
  <si>
    <t>Median usage time</t>
  </si>
  <si>
    <t>Cumulative mortality rate</t>
  </si>
  <si>
    <t xml:space="preserve">Enter market share assumptions according to the best available evidence and the applicable BIA guidelines. </t>
  </si>
  <si>
    <t>Linear, non-linear, S-shaped, or other uptake patterns may be used, provided they are appropriately justified.</t>
  </si>
  <si>
    <t>point estimate</t>
  </si>
  <si>
    <t>yes</t>
  </si>
  <si>
    <t xml:space="preserve">Initial costs </t>
  </si>
  <si>
    <t xml:space="preserve">Treatment costs </t>
  </si>
  <si>
    <t xml:space="preserve">Additional costs </t>
  </si>
  <si>
    <t>Patients at high and very high cardiovascular risk</t>
  </si>
  <si>
    <t>Rosuvastatin 5mg</t>
  </si>
  <si>
    <t>Rosuvastatin 10mg</t>
  </si>
  <si>
    <t>Rosuvastatin 20mg</t>
  </si>
  <si>
    <t>Rosuvastatin 40mg</t>
  </si>
  <si>
    <t>Atorvastatin 10mg</t>
  </si>
  <si>
    <t>Atorvastatin 20mg</t>
  </si>
  <si>
    <t>Atorvastatin 40mg</t>
  </si>
  <si>
    <t>Atorvastatin 80mg</t>
  </si>
  <si>
    <t>Pravastatin</t>
  </si>
  <si>
    <t>Simvastatin 5mg</t>
  </si>
  <si>
    <t>Simvastatin 10mg</t>
  </si>
  <si>
    <t>Simvastatin 20mg</t>
  </si>
  <si>
    <t>Simvastatin 40mg</t>
  </si>
  <si>
    <t>without rosuvastatin</t>
  </si>
  <si>
    <t>all options</t>
  </si>
  <si>
    <t>high intensity only</t>
  </si>
  <si>
    <t>moderate intensity only</t>
  </si>
  <si>
    <t>Epidemiological method</t>
  </si>
  <si>
    <t>No, it represents prevalence</t>
  </si>
  <si>
    <t>estimated Brazilian adult population</t>
  </si>
  <si>
    <t>adults at high cardiovascular risk</t>
  </si>
  <si>
    <t>proportion of adults treated</t>
  </si>
  <si>
    <t>tablet</t>
  </si>
  <si>
    <t>Initial costs Rosuvastatin 5mg</t>
  </si>
  <si>
    <t>Initial costs Rosuvastatin 10mg</t>
  </si>
  <si>
    <t>Initial costs Rosuvastatin 20mg</t>
  </si>
  <si>
    <t>Initial costs Rosuvastatin 40mg</t>
  </si>
  <si>
    <t>Initial costs Atorvastatin 10mg</t>
  </si>
  <si>
    <t>Initial costs Atorvastatin 20mg</t>
  </si>
  <si>
    <t>Initial costs Atorvastatin 40mg</t>
  </si>
  <si>
    <t>Initial costs Atorvastatin 80mg</t>
  </si>
  <si>
    <t>Initial costs Pravastatin</t>
  </si>
  <si>
    <t>Initial costs Simvastatin 5mg</t>
  </si>
  <si>
    <t>Initial costs Simvastatin 10mg</t>
  </si>
  <si>
    <t>Initial costs Simvastatin 20mg</t>
  </si>
  <si>
    <t>Initial costs Simvastatin 40mg</t>
  </si>
  <si>
    <t>Treatment costs Rosuvastatin 5mg</t>
  </si>
  <si>
    <t>Treatment costs Rosuvastatin 10mg</t>
  </si>
  <si>
    <t>Treatment costs Rosuvastatin 20mg</t>
  </si>
  <si>
    <t>Treatment costs Rosuvastatin 40mg</t>
  </si>
  <si>
    <t>Treatment costs Atorvastatin 10mg</t>
  </si>
  <si>
    <t>Treatment costs Atorvastatin 20mg</t>
  </si>
  <si>
    <t>Treatment costs Atorvastatin 40mg</t>
  </si>
  <si>
    <t>Treatment costs Atorvastatin 80mg</t>
  </si>
  <si>
    <t>Treatment costs Pravastatin</t>
  </si>
  <si>
    <t>Treatment costs Simvastatin 5mg</t>
  </si>
  <si>
    <t>Treatment costs Simvastatin 10mg</t>
  </si>
  <si>
    <t>Treatment costs Simvastatin 20mg</t>
  </si>
  <si>
    <t>Treatment costs Simvastatin 40mg</t>
  </si>
  <si>
    <t>Additional costs Rosuvastatin 5mg</t>
  </si>
  <si>
    <t>Additional costs Rosuvastatin 10mg</t>
  </si>
  <si>
    <t>Additional costs Rosuvastatin 20mg</t>
  </si>
  <si>
    <t>Additional costs Rosuvastatin 40mg</t>
  </si>
  <si>
    <t>Additional costs Atorvastatin 10mg</t>
  </si>
  <si>
    <t>Additional costs Atorvastatin 20mg</t>
  </si>
  <si>
    <t>Additional costs Atorvastatin 40mg</t>
  </si>
  <si>
    <t>Additional costs Atorvastatin 80mg</t>
  </si>
  <si>
    <t>Additional costs Pravastatin</t>
  </si>
  <si>
    <t>Additional costs Simvastatin 5mg</t>
  </si>
  <si>
    <t>Additional costs Simvastatin 10mg</t>
  </si>
  <si>
    <t>Additional costs Simvastatin 20mg</t>
  </si>
  <si>
    <t>Additional costs Simvastatin 40mg</t>
  </si>
  <si>
    <t>Recommendation Report No. 1,068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</si>
</sst>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R$&quot;\ #,##0;\-&quot;R$&quot;\ #,##0"/>
    <numFmt numFmtId="43" formatCode="_-* #,##0.00_-;\-* #,##0.00_-;_-* &quot;-&quot;??_-;_-@_-"/>
    <numFmt numFmtId="164" formatCode="&quot;R$&quot;\ #,##0.00"/>
    <numFmt numFmtId="165" formatCode="0.000000"/>
    <numFmt numFmtId="166" formatCode="0.0000"/>
    <numFmt numFmtId="167" formatCode="&quot;R$&quot;#,##0.00"/>
    <numFmt numFmtId="168" formatCode="&quot;R$&quot;\ #,##0"/>
    <numFmt numFmtId="169" formatCode="0.000%"/>
    <numFmt numFmtId="170" formatCode="#,##0.000"/>
    <numFmt numFmtId="171" formatCode="_-[$$-409]* #,##0.00_ ;_-[$$-409]* \-#,##0.00\ ;_-[$$-409]* &quot;-&quot;??_ ;_-@_ "/>
    <numFmt numFmtId="172" formatCode="_-[$$-409]* #,##0_ ;_-[$$-409]* \-#,##0\ ;_-[$$-409]* &quot;-&quot;??_ ;_-@_ "/>
    <numFmt numFmtId="173" formatCode="_(* #,##0.00_);_(* \(#,##0.00\);_(* &quot;-&quot;??_);_(@_)"/>
    <numFmt numFmtId="174" formatCode="0.0000000"/>
    <numFmt numFmtId="175" formatCode="[$$-409]#,##0.00"/>
  </numFmts>
  <fonts count="93">
    <font>
      <sz val="11"/>
      <color theme="1"/>
      <name val="Calibri"/>
      <family val="2"/>
      <scheme val="minor"/>
    </font>
    <font>
      <sz val="11"/>
      <color theme="1"/>
      <name val="Calibri"/>
      <family val="2"/>
    </font>
    <font>
      <sz val="8"/>
      <name val="Calibri"/>
      <family val="2"/>
      <scheme val="minor"/>
    </font>
    <font>
      <sz val="11"/>
      <color rgb="FF000000"/>
      <name val="Calibri"/>
      <family val="2"/>
    </font>
    <font>
      <sz val="11"/>
      <color theme="1"/>
      <name val="Calibri"/>
      <family val="2"/>
      <scheme val="minor"/>
    </font>
    <font>
      <b/>
      <sz val="11"/>
      <color rgb="FFFA7D00"/>
      <name val="Calibri"/>
      <family val="2"/>
      <scheme val="minor"/>
    </font>
    <font>
      <sz val="11"/>
      <color theme="1"/>
      <name val="Calibri"/>
      <family val="2"/>
    </font>
    <font>
      <b/>
      <sz val="11"/>
      <color theme="1"/>
      <name val="Calibri"/>
      <family val="2"/>
    </font>
    <font>
      <sz val="10"/>
      <color theme="1"/>
      <name val="Calibri"/>
      <family val="2"/>
    </font>
    <font>
      <sz val="11"/>
      <color rgb="FFFF0000"/>
      <name val="Calibri"/>
      <family val="2"/>
    </font>
    <font>
      <sz val="10"/>
      <name val="Calibri"/>
      <family val="2"/>
    </font>
    <font>
      <sz val="9"/>
      <color theme="1"/>
      <name val="Calibri"/>
      <family val="2"/>
    </font>
    <font>
      <b/>
      <sz val="12"/>
      <color theme="1"/>
      <name val="Calibri"/>
      <family val="2"/>
    </font>
    <font>
      <b/>
      <sz val="11"/>
      <color theme="4" tint="-0.499984740745262"/>
      <name val="Calibri"/>
      <family val="2"/>
    </font>
    <font>
      <b/>
      <sz val="11"/>
      <color theme="0"/>
      <name val="Calibri"/>
      <family val="2"/>
    </font>
    <font>
      <sz val="11"/>
      <name val="Calibri"/>
      <family val="2"/>
    </font>
    <font>
      <sz val="11"/>
      <color theme="0"/>
      <name val="Calibri"/>
      <family val="2"/>
    </font>
    <font>
      <sz val="11"/>
      <color rgb="FF3F3F76"/>
      <name val="Calibri"/>
      <family val="2"/>
      <scheme val="minor"/>
    </font>
    <font>
      <sz val="11"/>
      <color rgb="FF0EB1BA"/>
      <name val="Calibri"/>
      <family val="2"/>
    </font>
    <font>
      <b/>
      <sz val="14"/>
      <color rgb="FF726C5A"/>
      <name val="Calibri"/>
      <family val="2"/>
    </font>
    <font>
      <b/>
      <i/>
      <sz val="14"/>
      <color rgb="FF726C5A"/>
      <name val="Calibri"/>
      <family val="2"/>
    </font>
    <font>
      <b/>
      <sz val="26"/>
      <color rgb="FF0EB1BA"/>
      <name val="Calibri"/>
      <family val="2"/>
    </font>
    <font>
      <i/>
      <sz val="12"/>
      <color rgb="FF726C5A"/>
      <name val="Calibri"/>
      <family val="2"/>
    </font>
    <font>
      <b/>
      <sz val="11"/>
      <color rgb="FF0EB1BA"/>
      <name val="Calibri"/>
      <family val="2"/>
      <scheme val="minor"/>
    </font>
    <font>
      <sz val="11"/>
      <color rgb="FF000000"/>
      <name val="Calibri"/>
      <family val="2"/>
      <scheme val="minor"/>
    </font>
    <font>
      <sz val="11"/>
      <color rgb="FF726C5A"/>
      <name val="Calibri"/>
      <family val="2"/>
    </font>
    <font>
      <sz val="11"/>
      <name val="Calibri"/>
      <family val="2"/>
      <scheme val="minor"/>
    </font>
    <font>
      <i/>
      <sz val="9"/>
      <color theme="8"/>
      <name val="Calibri"/>
      <family val="2"/>
      <scheme val="minor"/>
    </font>
    <font>
      <sz val="1"/>
      <color rgb="FF0EB1BA"/>
      <name val="Calibri"/>
      <family val="2"/>
    </font>
    <font>
      <b/>
      <sz val="11"/>
      <color rgb="FF726C5A"/>
      <name val="Calibri"/>
      <family val="2"/>
      <scheme val="minor"/>
    </font>
    <font>
      <i/>
      <sz val="10"/>
      <color rgb="FF726C5A"/>
      <name val="Calibri"/>
      <family val="2"/>
    </font>
    <font>
      <b/>
      <i/>
      <sz val="12"/>
      <color rgb="FF726C5A"/>
      <name val="Calibri"/>
      <family val="2"/>
    </font>
    <font>
      <b/>
      <i/>
      <sz val="14"/>
      <color theme="4"/>
      <name val="Calibri"/>
      <family val="2"/>
    </font>
    <font>
      <b/>
      <i/>
      <sz val="12"/>
      <color theme="4"/>
      <name val="Calibri"/>
      <family val="2"/>
    </font>
    <font>
      <sz val="14"/>
      <color theme="1"/>
      <name val="Calibri"/>
      <family val="2"/>
    </font>
    <font>
      <sz val="12"/>
      <color theme="1"/>
      <name val="Calibri"/>
      <family val="2"/>
    </font>
    <font>
      <b/>
      <sz val="11"/>
      <name val="Calibri"/>
      <family val="2"/>
      <scheme val="minor"/>
    </font>
    <font>
      <sz val="1"/>
      <name val="Calibri"/>
      <family val="2"/>
    </font>
    <font>
      <b/>
      <sz val="12"/>
      <color rgb="FF0EB1BA"/>
      <name val="Calibri"/>
      <family val="2"/>
      <scheme val="minor"/>
    </font>
    <font>
      <b/>
      <sz val="11"/>
      <color rgb="FF726C5A"/>
      <name val="Calibri"/>
      <family val="2"/>
    </font>
    <font>
      <i/>
      <sz val="14"/>
      <color rgb="FF726C5A"/>
      <name val="Calibri"/>
      <family val="2"/>
    </font>
    <font>
      <sz val="11"/>
      <color rgb="FFFF0000"/>
      <name val="Calibri"/>
      <family val="2"/>
      <scheme val="minor"/>
    </font>
    <font>
      <sz val="1"/>
      <color rgb="FFFF0000"/>
      <name val="Calibri"/>
      <family val="2"/>
    </font>
    <font>
      <i/>
      <sz val="10"/>
      <color theme="8"/>
      <name val="Calibri"/>
      <family val="2"/>
    </font>
    <font>
      <b/>
      <i/>
      <sz val="16"/>
      <color theme="4"/>
      <name val="Calibri"/>
      <family val="2"/>
    </font>
    <font>
      <b/>
      <i/>
      <sz val="11"/>
      <color rgb="FF726C5A"/>
      <name val="Calibri"/>
      <family val="2"/>
    </font>
    <font>
      <i/>
      <sz val="11"/>
      <color theme="1"/>
      <name val="Calibri"/>
      <family val="2"/>
    </font>
    <font>
      <sz val="9"/>
      <color indexed="81"/>
      <name val="Segoe UI"/>
      <family val="2"/>
    </font>
    <font>
      <b/>
      <sz val="9"/>
      <color indexed="81"/>
      <name val="Segoe UI"/>
      <family val="2"/>
    </font>
    <font>
      <b/>
      <sz val="12"/>
      <color theme="1"/>
      <name val="Calibri"/>
      <family val="2"/>
      <scheme val="minor"/>
    </font>
    <font>
      <i/>
      <sz val="10"/>
      <color rgb="FFFF0000"/>
      <name val="Calibri"/>
      <family val="2"/>
    </font>
    <font>
      <b/>
      <i/>
      <sz val="14"/>
      <color theme="0"/>
      <name val="Calibri"/>
      <family val="2"/>
    </font>
    <font>
      <sz val="11"/>
      <color theme="2" tint="-0.249977111117893"/>
      <name val="Calibri"/>
      <family val="2"/>
    </font>
    <font>
      <sz val="12"/>
      <color rgb="FF000000"/>
      <name val="Calibri"/>
      <family val="2"/>
    </font>
    <font>
      <sz val="12"/>
      <name val="Calibri"/>
      <family val="2"/>
    </font>
    <font>
      <sz val="8"/>
      <color theme="1" tint="0.499984740745262"/>
      <name val="Calibri"/>
      <family val="2"/>
    </font>
    <font>
      <i/>
      <sz val="9"/>
      <color theme="1"/>
      <name val="Calibri"/>
      <family val="2"/>
    </font>
    <font>
      <i/>
      <sz val="9"/>
      <color rgb="FF0EB1BA"/>
      <name val="Calibri"/>
      <family val="2"/>
    </font>
    <font>
      <i/>
      <sz val="9"/>
      <color rgb="FF726C5A"/>
      <name val="Calibri"/>
      <family val="2"/>
    </font>
    <font>
      <b/>
      <i/>
      <sz val="14"/>
      <color rgb="FFFF0000"/>
      <name val="Calibri"/>
      <family val="2"/>
    </font>
    <font>
      <b/>
      <sz val="14"/>
      <color theme="3" tint="-0.249977111117893"/>
      <name val="Calibri"/>
      <family val="2"/>
      <scheme val="minor"/>
    </font>
    <font>
      <b/>
      <sz val="14"/>
      <color rgb="FF686A10"/>
      <name val="Calibri"/>
      <family val="2"/>
      <scheme val="minor"/>
    </font>
    <font>
      <b/>
      <i/>
      <sz val="11"/>
      <color theme="8"/>
      <name val="Calibri"/>
      <family val="2"/>
    </font>
    <font>
      <b/>
      <i/>
      <sz val="11"/>
      <color theme="4"/>
      <name val="Calibri"/>
      <family val="2"/>
    </font>
    <font>
      <sz val="10"/>
      <color theme="9"/>
      <name val="Calibri"/>
      <family val="2"/>
    </font>
    <font>
      <b/>
      <i/>
      <sz val="11"/>
      <color theme="1"/>
      <name val="Calibri"/>
      <family val="2"/>
    </font>
    <font>
      <b/>
      <sz val="10"/>
      <color theme="8"/>
      <name val="Calibri"/>
      <family val="2"/>
    </font>
    <font>
      <b/>
      <i/>
      <sz val="10"/>
      <color rgb="FF726C5A"/>
      <name val="Calibri"/>
      <family val="2"/>
    </font>
    <font>
      <b/>
      <sz val="9"/>
      <color rgb="FF000000"/>
      <name val="Segoe UI"/>
      <family val="2"/>
      <charset val="1"/>
    </font>
    <font>
      <sz val="9"/>
      <color rgb="FF000000"/>
      <name val="Segoe UI"/>
      <family val="2"/>
      <charset val="1"/>
    </font>
    <font>
      <b/>
      <sz val="11"/>
      <color theme="4"/>
      <name val="Calibri"/>
      <family val="2"/>
    </font>
    <font>
      <b/>
      <sz val="11"/>
      <color theme="8"/>
      <name val="Calibri (Corpo)"/>
    </font>
    <font>
      <i/>
      <sz val="11"/>
      <color theme="1"/>
      <name val="Calibri"/>
      <family val="2"/>
      <scheme val="minor"/>
    </font>
    <font>
      <b/>
      <sz val="11"/>
      <name val="Calibri"/>
      <family val="2"/>
    </font>
    <font>
      <sz val="11"/>
      <color theme="8"/>
      <name val="Calibri (Corpo)"/>
    </font>
    <font>
      <b/>
      <sz val="13.5"/>
      <color theme="1"/>
      <name val="Calibri"/>
      <family val="2"/>
      <scheme val="minor"/>
    </font>
    <font>
      <b/>
      <sz val="11"/>
      <color theme="1"/>
      <name val="Calibri"/>
      <family val="2"/>
      <scheme val="minor"/>
    </font>
    <font>
      <sz val="10"/>
      <color rgb="FF000000"/>
      <name val="Tahoma"/>
      <family val="2"/>
    </font>
    <font>
      <b/>
      <u/>
      <sz val="11"/>
      <color theme="0"/>
      <name val="Calibri"/>
      <family val="2"/>
    </font>
    <font>
      <b/>
      <sz val="10"/>
      <color rgb="FF000000"/>
      <name val="Tahoma"/>
      <family val="2"/>
    </font>
    <font>
      <b/>
      <sz val="9"/>
      <color rgb="FF000000"/>
      <name val="Calibri"/>
      <family val="2"/>
    </font>
    <font>
      <sz val="9"/>
      <color rgb="FF000000"/>
      <name val="Calibri"/>
      <family val="2"/>
    </font>
    <font>
      <b/>
      <i/>
      <sz val="10"/>
      <color theme="8"/>
      <name val="Calibri"/>
      <family val="2"/>
    </font>
    <font>
      <sz val="11"/>
      <color theme="7"/>
      <name val="Calibri"/>
      <family val="2"/>
    </font>
    <font>
      <b/>
      <sz val="10"/>
      <color rgb="FFC00000"/>
      <name val="Calibri"/>
      <family val="2"/>
    </font>
    <font>
      <b/>
      <sz val="11"/>
      <color theme="5"/>
      <name val="Calibri"/>
      <family val="2"/>
      <scheme val="minor"/>
    </font>
    <font>
      <sz val="12"/>
      <color theme="1"/>
      <name val="Calibri"/>
      <family val="2"/>
      <scheme val="minor"/>
    </font>
    <font>
      <i/>
      <sz val="9"/>
      <color rgb="FFF8F1DF"/>
      <name val="Calibri"/>
      <family val="2"/>
    </font>
    <font>
      <b/>
      <i/>
      <sz val="14"/>
      <color rgb="FFF8F1DF"/>
      <name val="Calibri"/>
      <family val="2"/>
      <scheme val="minor"/>
    </font>
    <font>
      <sz val="11"/>
      <color rgb="FFF8F1DF"/>
      <name val="Calibri"/>
      <family val="2"/>
      <scheme val="minor"/>
    </font>
    <font>
      <sz val="11"/>
      <color rgb="FFF8F1DF"/>
      <name val="Calibri"/>
      <family val="2"/>
    </font>
    <font>
      <b/>
      <sz val="12"/>
      <color rgb="FF726C5A"/>
      <name val="Calibri"/>
      <family val="2"/>
    </font>
    <font>
      <sz val="10"/>
      <color rgb="FFFF0000"/>
      <name val="Calibri"/>
      <family val="2"/>
    </font>
  </fonts>
  <fills count="14">
    <fill>
      <patternFill patternType="none"/>
    </fill>
    <fill>
      <patternFill patternType="gray125"/>
    </fill>
    <fill>
      <patternFill patternType="solid">
        <fgColor theme="0"/>
        <bgColor indexed="64"/>
      </patternFill>
    </fill>
    <fill>
      <patternFill patternType="solid">
        <fgColor rgb="FFF2F2F2"/>
      </patternFill>
    </fill>
    <fill>
      <patternFill patternType="solid">
        <fgColor rgb="FFF8F1DF"/>
        <bgColor indexed="64"/>
      </patternFill>
    </fill>
    <fill>
      <patternFill patternType="solid">
        <fgColor rgb="FF726C5A"/>
        <bgColor indexed="64"/>
      </patternFill>
    </fill>
    <fill>
      <patternFill patternType="solid">
        <fgColor theme="5"/>
        <bgColor indexed="64"/>
      </patternFill>
    </fill>
    <fill>
      <patternFill patternType="solid">
        <fgColor theme="8"/>
        <bgColor indexed="64"/>
      </patternFill>
    </fill>
    <fill>
      <patternFill patternType="solid">
        <fgColor rgb="FF0EB1BA"/>
        <bgColor indexed="64"/>
      </patternFill>
    </fill>
    <fill>
      <patternFill patternType="solid">
        <fgColor theme="0" tint="-4.9989318521683403E-2"/>
        <bgColor indexed="64"/>
      </patternFill>
    </fill>
    <fill>
      <patternFill patternType="solid">
        <fgColor theme="2"/>
        <bgColor indexed="64"/>
      </patternFill>
    </fill>
    <fill>
      <patternFill patternType="solid">
        <fgColor theme="3" tint="-0.249977111117893"/>
        <bgColor indexed="64"/>
      </patternFill>
    </fill>
    <fill>
      <patternFill patternType="solid">
        <fgColor rgb="FF686A10"/>
        <bgColor indexed="64"/>
      </patternFill>
    </fill>
    <fill>
      <patternFill patternType="solid">
        <fgColor rgb="FF1F6180"/>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tted">
        <color rgb="FF726C5A"/>
      </left>
      <right style="dotted">
        <color rgb="FF726C5A"/>
      </right>
      <top style="dotted">
        <color rgb="FF726C5A"/>
      </top>
      <bottom style="dotted">
        <color rgb="FF726C5A"/>
      </bottom>
      <diagonal/>
    </border>
    <border>
      <left/>
      <right/>
      <top style="dotted">
        <color rgb="FF726C5A"/>
      </top>
      <bottom/>
      <diagonal/>
    </border>
    <border>
      <left style="dotted">
        <color rgb="FF726C5A"/>
      </left>
      <right style="thin">
        <color indexed="64"/>
      </right>
      <top style="dotted">
        <color rgb="FF726C5A"/>
      </top>
      <bottom style="dotted">
        <color rgb="FF726C5A"/>
      </bottom>
      <diagonal/>
    </border>
    <border>
      <left style="thin">
        <color indexed="64"/>
      </left>
      <right style="thin">
        <color indexed="64"/>
      </right>
      <top style="dotted">
        <color rgb="FF726C5A"/>
      </top>
      <bottom style="dotted">
        <color rgb="FF726C5A"/>
      </bottom>
      <diagonal/>
    </border>
    <border>
      <left style="thin">
        <color indexed="64"/>
      </left>
      <right style="dotted">
        <color rgb="FF726C5A"/>
      </right>
      <top style="dotted">
        <color rgb="FF726C5A"/>
      </top>
      <bottom style="dotted">
        <color rgb="FF726C5A"/>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dotted">
        <color rgb="FF726C5A"/>
      </left>
      <right/>
      <top style="dotted">
        <color rgb="FF726C5A"/>
      </top>
      <bottom style="dotted">
        <color rgb="FF726C5A"/>
      </bottom>
      <diagonal/>
    </border>
    <border>
      <left/>
      <right style="dotted">
        <color rgb="FF726C5A"/>
      </right>
      <top style="dotted">
        <color rgb="FF726C5A"/>
      </top>
      <bottom style="dotted">
        <color rgb="FF726C5A"/>
      </bottom>
      <diagonal/>
    </border>
    <border>
      <left style="thin">
        <color theme="0"/>
      </left>
      <right/>
      <top/>
      <bottom/>
      <diagonal/>
    </border>
    <border>
      <left/>
      <right/>
      <top style="dotted">
        <color rgb="FF726C5A"/>
      </top>
      <bottom style="dotted">
        <color rgb="FF726C5A"/>
      </bottom>
      <diagonal/>
    </border>
    <border>
      <left/>
      <right/>
      <top style="thin">
        <color theme="0"/>
      </top>
      <bottom/>
      <diagonal/>
    </border>
    <border>
      <left style="thin">
        <color theme="0"/>
      </left>
      <right style="thin">
        <color theme="0"/>
      </right>
      <top/>
      <bottom style="thin">
        <color theme="0"/>
      </bottom>
      <diagonal/>
    </border>
    <border>
      <left/>
      <right style="thin">
        <color theme="0"/>
      </right>
      <top/>
      <bottom/>
      <diagonal/>
    </border>
    <border>
      <left style="thin">
        <color theme="0"/>
      </left>
      <right/>
      <top style="thin">
        <color theme="0"/>
      </top>
      <bottom style="thin">
        <color indexed="64"/>
      </bottom>
      <diagonal/>
    </border>
    <border>
      <left/>
      <right/>
      <top style="thin">
        <color theme="0"/>
      </top>
      <bottom style="thin">
        <color indexed="64"/>
      </bottom>
      <diagonal/>
    </border>
    <border>
      <left/>
      <right/>
      <top/>
      <bottom style="dotted">
        <color rgb="FF726C5A"/>
      </bottom>
      <diagonal/>
    </border>
    <border>
      <left style="dotted">
        <color rgb="FF726C5A"/>
      </left>
      <right/>
      <top style="thin">
        <color theme="0"/>
      </top>
      <bottom style="thin">
        <color indexed="64"/>
      </bottom>
      <diagonal/>
    </border>
    <border>
      <left/>
      <right style="thin">
        <color theme="0"/>
      </right>
      <top/>
      <bottom style="dotted">
        <color rgb="FF726C5A"/>
      </bottom>
      <diagonal/>
    </border>
    <border>
      <left style="dotted">
        <color rgb="FF726C5A"/>
      </left>
      <right/>
      <top/>
      <bottom/>
      <diagonal/>
    </border>
    <border>
      <left/>
      <right style="dotted">
        <color rgb="FF726C5A"/>
      </right>
      <top/>
      <bottom/>
      <diagonal/>
    </border>
    <border>
      <left/>
      <right style="dotted">
        <color rgb="FF726C5A"/>
      </right>
      <top style="dotted">
        <color rgb="FF726C5A"/>
      </top>
      <bottom/>
      <diagonal/>
    </border>
    <border>
      <left style="dotted">
        <color rgb="FF726C5A"/>
      </left>
      <right/>
      <top style="dotted">
        <color rgb="FF726C5A"/>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theme="8"/>
      </bottom>
      <diagonal/>
    </border>
    <border>
      <left style="dotted">
        <color rgb="FF726C5A"/>
      </left>
      <right style="dotted">
        <color rgb="FF726C5A"/>
      </right>
      <top/>
      <bottom style="dotted">
        <color rgb="FF726C5A"/>
      </bottom>
      <diagonal/>
    </border>
    <border>
      <left style="thin">
        <color theme="0"/>
      </left>
      <right style="thin">
        <color theme="0"/>
      </right>
      <top style="thin">
        <color theme="0"/>
      </top>
      <bottom style="medium">
        <color theme="8"/>
      </bottom>
      <diagonal/>
    </border>
    <border>
      <left style="dotted">
        <color rgb="FF726C5A"/>
      </left>
      <right style="dotted">
        <color rgb="FF726C5A"/>
      </right>
      <top style="dotted">
        <color rgb="FF726C5A"/>
      </top>
      <bottom style="medium">
        <color theme="8"/>
      </bottom>
      <diagonal/>
    </border>
    <border>
      <left style="dotted">
        <color indexed="64"/>
      </left>
      <right style="dotted">
        <color indexed="64"/>
      </right>
      <top style="dotted">
        <color indexed="64"/>
      </top>
      <bottom style="dotted">
        <color indexed="64"/>
      </bottom>
      <diagonal/>
    </border>
    <border>
      <left/>
      <right style="dotted">
        <color rgb="FF726C5A"/>
      </right>
      <top/>
      <bottom style="dotted">
        <color rgb="FF726C5A"/>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thin">
        <color theme="0"/>
      </left>
      <right style="thin">
        <color theme="0"/>
      </right>
      <top style="thin">
        <color theme="0"/>
      </top>
      <bottom/>
      <diagonal/>
    </border>
    <border>
      <left style="dotted">
        <color indexed="64"/>
      </left>
      <right/>
      <top/>
      <bottom/>
      <diagonal/>
    </border>
    <border>
      <left/>
      <right/>
      <top style="thin">
        <color rgb="FF726C5A"/>
      </top>
      <bottom/>
      <diagonal/>
    </border>
    <border>
      <left/>
      <right/>
      <top/>
      <bottom style="medium">
        <color rgb="FF726C5A"/>
      </bottom>
      <diagonal/>
    </border>
    <border>
      <left style="medium">
        <color rgb="FF726C5A"/>
      </left>
      <right/>
      <top style="medium">
        <color rgb="FF726C5A"/>
      </top>
      <bottom/>
      <diagonal/>
    </border>
    <border>
      <left/>
      <right/>
      <top style="medium">
        <color rgb="FF726C5A"/>
      </top>
      <bottom/>
      <diagonal/>
    </border>
    <border>
      <left/>
      <right style="medium">
        <color rgb="FF726C5A"/>
      </right>
      <top style="medium">
        <color rgb="FF726C5A"/>
      </top>
      <bottom/>
      <diagonal/>
    </border>
    <border>
      <left style="medium">
        <color rgb="FF726C5A"/>
      </left>
      <right/>
      <top/>
      <bottom/>
      <diagonal/>
    </border>
    <border>
      <left/>
      <right style="medium">
        <color rgb="FF726C5A"/>
      </right>
      <top/>
      <bottom/>
      <diagonal/>
    </border>
    <border>
      <left style="medium">
        <color rgb="FF726C5A"/>
      </left>
      <right/>
      <top/>
      <bottom style="medium">
        <color rgb="FF726C5A"/>
      </bottom>
      <diagonal/>
    </border>
    <border>
      <left/>
      <right style="medium">
        <color rgb="FF726C5A"/>
      </right>
      <top/>
      <bottom style="medium">
        <color rgb="FF726C5A"/>
      </bottom>
      <diagonal/>
    </border>
    <border>
      <left style="dotted">
        <color rgb="FF726C5A"/>
      </left>
      <right/>
      <top style="thin">
        <color theme="0"/>
      </top>
      <bottom style="dotted">
        <color rgb="FF726C5A"/>
      </bottom>
      <diagonal/>
    </border>
    <border>
      <left/>
      <right style="dotted">
        <color rgb="FF726C5A"/>
      </right>
      <top style="thin">
        <color theme="0"/>
      </top>
      <bottom style="dotted">
        <color rgb="FF726C5A"/>
      </bottom>
      <diagonal/>
    </border>
  </borders>
  <cellStyleXfs count="7">
    <xf numFmtId="0" fontId="0" fillId="0" borderId="0"/>
    <xf numFmtId="9" fontId="4" fillId="0" borderId="0" applyFont="0" applyFill="0" applyBorder="0" applyAlignment="0" applyProtection="0"/>
    <xf numFmtId="43" fontId="4" fillId="0" borderId="0" applyFont="0" applyFill="0" applyBorder="0" applyAlignment="0" applyProtection="0"/>
    <xf numFmtId="0" fontId="5" fillId="3" borderId="14" applyNumberFormat="0" applyAlignment="0" applyProtection="0"/>
    <xf numFmtId="0" fontId="17" fillId="4" borderId="15" applyNumberFormat="0" applyAlignment="0" applyProtection="0"/>
    <xf numFmtId="0" fontId="86" fillId="0" borderId="0"/>
    <xf numFmtId="173" fontId="86" fillId="0" borderId="0" applyFont="0" applyFill="0" applyBorder="0" applyAlignment="0" applyProtection="0"/>
  </cellStyleXfs>
  <cellXfs count="514">
    <xf numFmtId="0" fontId="0" fillId="0" borderId="0" xfId="0"/>
    <xf numFmtId="0" fontId="6" fillId="0" borderId="0" xfId="0" applyFont="1" applyProtection="1">
      <protection locked="0"/>
    </xf>
    <xf numFmtId="0" fontId="8" fillId="2" borderId="0" xfId="0" applyFont="1" applyFill="1"/>
    <xf numFmtId="0" fontId="6" fillId="0" borderId="0" xfId="0" applyFont="1"/>
    <xf numFmtId="0" fontId="9" fillId="0" borderId="0" xfId="0" applyFont="1"/>
    <xf numFmtId="0" fontId="9" fillId="0" borderId="13" xfId="0" applyFont="1" applyBorder="1" applyAlignment="1">
      <alignment horizontal="left"/>
    </xf>
    <xf numFmtId="0" fontId="1" fillId="2" borderId="0" xfId="0" applyFont="1" applyFill="1" applyProtection="1">
      <protection locked="0"/>
    </xf>
    <xf numFmtId="0" fontId="1" fillId="2" borderId="0" xfId="0" applyFont="1" applyFill="1"/>
    <xf numFmtId="0" fontId="1" fillId="0" borderId="0" xfId="0" applyFont="1" applyProtection="1">
      <protection locked="0"/>
    </xf>
    <xf numFmtId="0" fontId="1" fillId="0" borderId="0" xfId="0" applyFont="1"/>
    <xf numFmtId="0" fontId="1" fillId="0" borderId="0" xfId="0" applyFont="1" applyAlignment="1">
      <alignment horizontal="right"/>
    </xf>
    <xf numFmtId="0" fontId="1" fillId="0" borderId="0" xfId="0" applyFont="1" applyAlignment="1">
      <alignment horizontal="center"/>
    </xf>
    <xf numFmtId="168" fontId="1" fillId="0" borderId="0" xfId="2" applyNumberFormat="1" applyFont="1" applyBorder="1" applyAlignment="1" applyProtection="1">
      <alignment horizontal="center"/>
      <protection locked="0"/>
    </xf>
    <xf numFmtId="0" fontId="7" fillId="0" borderId="0" xfId="0" applyFont="1" applyAlignment="1" applyProtection="1">
      <alignment horizontal="center"/>
      <protection locked="0"/>
    </xf>
    <xf numFmtId="0" fontId="1" fillId="0" borderId="0" xfId="0" applyFont="1" applyAlignment="1">
      <alignment horizontal="left"/>
    </xf>
    <xf numFmtId="0" fontId="1" fillId="0" borderId="0" xfId="0" applyFont="1" applyAlignment="1" applyProtection="1">
      <alignment wrapText="1"/>
      <protection locked="0"/>
    </xf>
    <xf numFmtId="0" fontId="8" fillId="0" borderId="0" xfId="0" applyFont="1"/>
    <xf numFmtId="0" fontId="8" fillId="0" borderId="0" xfId="0" applyFont="1" applyProtection="1">
      <protection locked="0"/>
    </xf>
    <xf numFmtId="0" fontId="6" fillId="4" borderId="0" xfId="0" applyFont="1" applyFill="1" applyProtection="1">
      <protection locked="0"/>
    </xf>
    <xf numFmtId="0" fontId="1" fillId="4" borderId="0" xfId="0" applyFont="1" applyFill="1" applyProtection="1">
      <protection locked="0"/>
    </xf>
    <xf numFmtId="0" fontId="7" fillId="4" borderId="0" xfId="0" applyFont="1" applyFill="1" applyProtection="1">
      <protection locked="0"/>
    </xf>
    <xf numFmtId="0" fontId="20" fillId="4" borderId="0" xfId="0" applyFont="1" applyFill="1" applyProtection="1">
      <protection locked="0"/>
    </xf>
    <xf numFmtId="0" fontId="21" fillId="4" borderId="0" xfId="0" applyFont="1" applyFill="1" applyProtection="1">
      <protection locked="0"/>
    </xf>
    <xf numFmtId="0" fontId="23" fillId="0" borderId="0" xfId="0" applyFont="1"/>
    <xf numFmtId="0" fontId="24" fillId="0" borderId="0" xfId="0" applyFont="1"/>
    <xf numFmtId="0" fontId="1" fillId="4" borderId="0" xfId="0" applyFont="1" applyFill="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Alignment="1" applyProtection="1">
      <alignment horizontal="center"/>
      <protection locked="0"/>
    </xf>
    <xf numFmtId="0" fontId="8" fillId="0" borderId="0" xfId="0" applyFont="1" applyAlignment="1">
      <alignment horizontal="center"/>
    </xf>
    <xf numFmtId="0" fontId="8" fillId="0" borderId="0" xfId="0" applyFont="1" applyAlignment="1" applyProtection="1">
      <alignment horizontal="center"/>
      <protection locked="0"/>
    </xf>
    <xf numFmtId="0" fontId="22" fillId="4" borderId="0" xfId="0" applyFont="1" applyFill="1" applyAlignment="1" applyProtection="1">
      <alignment horizontal="left"/>
      <protection locked="0"/>
    </xf>
    <xf numFmtId="0" fontId="1" fillId="0" borderId="0" xfId="0" applyFont="1" applyAlignment="1" applyProtection="1">
      <alignment vertical="center"/>
      <protection locked="0"/>
    </xf>
    <xf numFmtId="0" fontId="1" fillId="0" borderId="0" xfId="0" applyFont="1" applyAlignment="1" applyProtection="1">
      <alignment horizontal="center" vertical="center"/>
      <protection locked="0"/>
    </xf>
    <xf numFmtId="0" fontId="6" fillId="4" borderId="0" xfId="0" applyFont="1" applyFill="1" applyAlignment="1" applyProtection="1">
      <alignment vertical="center"/>
      <protection locked="0"/>
    </xf>
    <xf numFmtId="0" fontId="21" fillId="4" borderId="0" xfId="0" applyFont="1" applyFill="1" applyAlignment="1" applyProtection="1">
      <alignment vertical="center"/>
      <protection locked="0"/>
    </xf>
    <xf numFmtId="0" fontId="1" fillId="4" borderId="0" xfId="0" applyFont="1" applyFill="1" applyAlignment="1" applyProtection="1">
      <alignment horizontal="center" vertical="center"/>
      <protection locked="0"/>
    </xf>
    <xf numFmtId="0" fontId="1" fillId="4" borderId="0" xfId="0" applyFont="1" applyFill="1" applyAlignment="1" applyProtection="1">
      <alignment vertical="center"/>
      <protection locked="0"/>
    </xf>
    <xf numFmtId="0" fontId="20" fillId="4" borderId="0" xfId="0" applyFont="1" applyFill="1" applyAlignment="1" applyProtection="1">
      <alignment vertical="center"/>
      <protection locked="0"/>
    </xf>
    <xf numFmtId="0" fontId="22" fillId="4" borderId="0" xfId="0" applyFont="1" applyFill="1" applyAlignment="1" applyProtection="1">
      <alignment horizontal="left" vertical="center"/>
      <protection locked="0"/>
    </xf>
    <xf numFmtId="0" fontId="7" fillId="4" borderId="0" xfId="0" applyFont="1" applyFill="1" applyAlignment="1" applyProtection="1">
      <alignment vertical="center"/>
      <protection locked="0"/>
    </xf>
    <xf numFmtId="0" fontId="18" fillId="0" borderId="0" xfId="0" applyFont="1" applyAlignment="1" applyProtection="1">
      <alignment vertical="center"/>
      <protection locked="0"/>
    </xf>
    <xf numFmtId="0" fontId="18" fillId="0" borderId="0" xfId="0" applyFont="1" applyAlignment="1" applyProtection="1">
      <alignment horizontal="center" vertical="center"/>
      <protection locked="0"/>
    </xf>
    <xf numFmtId="0" fontId="23" fillId="0" borderId="0" xfId="0" applyFont="1" applyAlignment="1">
      <alignment horizontal="right" vertical="center"/>
    </xf>
    <xf numFmtId="0" fontId="27" fillId="0" borderId="0" xfId="0" applyFont="1" applyAlignment="1">
      <alignment vertical="center"/>
    </xf>
    <xf numFmtId="0" fontId="26" fillId="4" borderId="15" xfId="4" applyFont="1" applyAlignment="1" applyProtection="1">
      <alignment horizontal="center" vertical="center"/>
      <protection locked="0"/>
    </xf>
    <xf numFmtId="0" fontId="28" fillId="5" borderId="0" xfId="0" applyFont="1" applyFill="1" applyProtection="1">
      <protection locked="0"/>
    </xf>
    <xf numFmtId="0" fontId="28" fillId="5" borderId="0" xfId="0" applyFont="1" applyFill="1" applyAlignment="1" applyProtection="1">
      <alignment horizontal="center"/>
      <protection locked="0"/>
    </xf>
    <xf numFmtId="0" fontId="20" fillId="0" borderId="0" xfId="0" applyFont="1" applyAlignment="1" applyProtection="1">
      <alignment vertical="center"/>
      <protection locked="0"/>
    </xf>
    <xf numFmtId="0" fontId="29" fillId="0" borderId="0" xfId="0" applyFont="1" applyAlignment="1">
      <alignment horizontal="right" vertical="center"/>
    </xf>
    <xf numFmtId="0" fontId="1" fillId="4" borderId="15" xfId="0" applyFont="1" applyFill="1" applyBorder="1" applyAlignment="1" applyProtection="1">
      <alignment horizontal="center"/>
      <protection locked="0"/>
    </xf>
    <xf numFmtId="9" fontId="26" fillId="4" borderId="15" xfId="1" applyFont="1" applyFill="1" applyBorder="1" applyAlignment="1" applyProtection="1">
      <alignment horizontal="center" vertical="center"/>
      <protection locked="0"/>
    </xf>
    <xf numFmtId="9" fontId="26" fillId="6" borderId="15" xfId="1" applyFont="1" applyFill="1" applyBorder="1" applyAlignment="1" applyProtection="1">
      <alignment horizontal="center" vertical="center"/>
      <protection locked="0"/>
    </xf>
    <xf numFmtId="0" fontId="14" fillId="7" borderId="20" xfId="0" applyFont="1" applyFill="1" applyBorder="1" applyAlignment="1" applyProtection="1">
      <alignment horizontal="center"/>
      <protection locked="0"/>
    </xf>
    <xf numFmtId="3" fontId="26" fillId="4" borderId="15" xfId="1" applyNumberFormat="1" applyFont="1" applyFill="1" applyBorder="1" applyAlignment="1" applyProtection="1">
      <alignment horizontal="center" vertical="center"/>
      <protection locked="0"/>
    </xf>
    <xf numFmtId="3" fontId="26" fillId="6" borderId="15" xfId="1" applyNumberFormat="1" applyFont="1" applyFill="1" applyBorder="1" applyAlignment="1" applyProtection="1">
      <alignment horizontal="center" vertical="center"/>
      <protection locked="0"/>
    </xf>
    <xf numFmtId="0" fontId="15" fillId="4" borderId="0" xfId="0" applyFont="1" applyFill="1" applyAlignment="1" applyProtection="1">
      <alignment vertical="center"/>
      <protection locked="0"/>
    </xf>
    <xf numFmtId="0" fontId="37" fillId="5" borderId="0" xfId="0" applyFont="1" applyFill="1" applyProtection="1">
      <protection locked="0"/>
    </xf>
    <xf numFmtId="0" fontId="20" fillId="0" borderId="0" xfId="0" applyFont="1" applyAlignment="1" applyProtection="1">
      <alignment horizontal="right" vertical="center"/>
      <protection locked="0"/>
    </xf>
    <xf numFmtId="0" fontId="1" fillId="0" borderId="16" xfId="0" applyFont="1" applyBorder="1" applyProtection="1">
      <protection locked="0"/>
    </xf>
    <xf numFmtId="164" fontId="26" fillId="4" borderId="15" xfId="1" applyNumberFormat="1" applyFont="1" applyFill="1" applyBorder="1" applyAlignment="1" applyProtection="1">
      <alignment horizontal="center" vertical="center"/>
      <protection locked="0"/>
    </xf>
    <xf numFmtId="164" fontId="26" fillId="6" borderId="15" xfId="1" applyNumberFormat="1" applyFont="1" applyFill="1" applyBorder="1" applyAlignment="1" applyProtection="1">
      <alignment horizontal="center" vertical="center"/>
      <protection locked="0"/>
    </xf>
    <xf numFmtId="9" fontId="26" fillId="4" borderId="24" xfId="1" applyFont="1" applyFill="1" applyBorder="1" applyAlignment="1" applyProtection="1">
      <alignment horizontal="center" vertical="center"/>
      <protection locked="0"/>
    </xf>
    <xf numFmtId="2" fontId="26" fillId="4" borderId="15" xfId="1" applyNumberFormat="1" applyFont="1" applyFill="1" applyBorder="1" applyAlignment="1" applyProtection="1">
      <alignment horizontal="center" vertical="center"/>
      <protection locked="0"/>
    </xf>
    <xf numFmtId="0" fontId="23" fillId="0" borderId="0" xfId="0" applyFont="1" applyAlignment="1">
      <alignment horizontal="right" vertical="center" wrapText="1"/>
    </xf>
    <xf numFmtId="0" fontId="23" fillId="0" borderId="16" xfId="0" applyFont="1" applyBorder="1" applyAlignment="1">
      <alignment horizontal="right" vertical="center" wrapText="1"/>
    </xf>
    <xf numFmtId="0" fontId="1" fillId="2" borderId="16" xfId="0" applyFont="1" applyFill="1" applyBorder="1"/>
    <xf numFmtId="0" fontId="25" fillId="0" borderId="0" xfId="0" applyFont="1" applyAlignment="1" applyProtection="1">
      <alignment horizontal="center" vertical="center"/>
      <protection locked="0"/>
    </xf>
    <xf numFmtId="0" fontId="6" fillId="4" borderId="0" xfId="0" applyFont="1" applyFill="1" applyAlignment="1" applyProtection="1">
      <alignment horizontal="center" vertical="center"/>
      <protection locked="0"/>
    </xf>
    <xf numFmtId="9" fontId="26" fillId="4" borderId="37" xfId="1" applyFont="1" applyFill="1" applyBorder="1" applyAlignment="1" applyProtection="1">
      <alignment horizontal="center" vertical="center"/>
      <protection locked="0"/>
    </xf>
    <xf numFmtId="9" fontId="26" fillId="4" borderId="16" xfId="1" applyFont="1" applyFill="1" applyBorder="1" applyAlignment="1" applyProtection="1">
      <alignment horizontal="center" vertical="center"/>
      <protection locked="0"/>
    </xf>
    <xf numFmtId="9" fontId="26" fillId="4" borderId="26" xfId="1" applyFont="1" applyFill="1" applyBorder="1" applyAlignment="1" applyProtection="1">
      <alignment horizontal="center" vertical="center"/>
      <protection locked="0"/>
    </xf>
    <xf numFmtId="0" fontId="25" fillId="0" borderId="0" xfId="0" applyFont="1" applyAlignment="1" applyProtection="1">
      <alignment horizontal="center" vertical="center" textRotation="180"/>
      <protection locked="0"/>
    </xf>
    <xf numFmtId="0" fontId="21" fillId="4" borderId="0" xfId="0" applyFont="1" applyFill="1" applyAlignment="1" applyProtection="1">
      <alignment horizontal="center" vertical="center"/>
      <protection locked="0"/>
    </xf>
    <xf numFmtId="0" fontId="25" fillId="4" borderId="0" xfId="0" applyFont="1" applyFill="1" applyAlignment="1" applyProtection="1">
      <alignment horizontal="center" vertical="center" textRotation="180"/>
      <protection locked="0"/>
    </xf>
    <xf numFmtId="0" fontId="18" fillId="5" borderId="0" xfId="0" applyFont="1" applyFill="1" applyAlignment="1" applyProtection="1">
      <alignment horizontal="center" vertical="center"/>
      <protection locked="0"/>
    </xf>
    <xf numFmtId="0" fontId="25" fillId="5" borderId="0" xfId="0" applyFont="1" applyFill="1" applyAlignment="1" applyProtection="1">
      <alignment horizontal="center" vertical="center" textRotation="180"/>
      <protection locked="0"/>
    </xf>
    <xf numFmtId="0" fontId="44" fillId="0" borderId="0" xfId="0" applyFont="1" applyAlignment="1">
      <alignment horizontal="center" vertical="center"/>
    </xf>
    <xf numFmtId="0" fontId="25" fillId="0" borderId="0" xfId="0" applyFont="1" applyAlignment="1">
      <alignment horizontal="center" vertical="center" textRotation="180"/>
    </xf>
    <xf numFmtId="0" fontId="31" fillId="0" borderId="0" xfId="0" applyFont="1" applyAlignment="1">
      <alignment horizontal="center" vertical="center"/>
    </xf>
    <xf numFmtId="0" fontId="6" fillId="0" borderId="0" xfId="0" applyFont="1" applyAlignment="1">
      <alignment horizontal="center" vertical="center"/>
    </xf>
    <xf numFmtId="3" fontId="1" fillId="0" borderId="0" xfId="0" applyNumberFormat="1" applyFont="1" applyAlignment="1">
      <alignment horizontal="center" vertical="center"/>
    </xf>
    <xf numFmtId="0" fontId="6" fillId="0" borderId="16" xfId="0" applyFont="1" applyBorder="1" applyAlignment="1">
      <alignment horizontal="center" vertical="center"/>
    </xf>
    <xf numFmtId="0" fontId="25" fillId="0" borderId="16" xfId="0" applyFont="1" applyBorder="1" applyAlignment="1">
      <alignment horizontal="center" vertical="center" textRotation="180"/>
    </xf>
    <xf numFmtId="0" fontId="1" fillId="0" borderId="0" xfId="0" applyFont="1" applyAlignment="1">
      <alignment horizontal="center" vertical="center"/>
    </xf>
    <xf numFmtId="0" fontId="1" fillId="0" borderId="8" xfId="0" applyFont="1" applyBorder="1" applyAlignment="1">
      <alignment horizontal="center" vertical="center"/>
    </xf>
    <xf numFmtId="0" fontId="1" fillId="0" borderId="2" xfId="0" applyFont="1" applyBorder="1" applyAlignment="1">
      <alignment horizontal="center" vertical="center"/>
    </xf>
    <xf numFmtId="167" fontId="7" fillId="0" borderId="0" xfId="0" applyNumberFormat="1" applyFont="1" applyAlignment="1">
      <alignment horizontal="center" vertical="center"/>
    </xf>
    <xf numFmtId="3" fontId="1" fillId="0" borderId="8" xfId="0" applyNumberFormat="1" applyFont="1" applyBorder="1" applyAlignment="1">
      <alignment horizontal="center" vertical="center"/>
    </xf>
    <xf numFmtId="3" fontId="1" fillId="0" borderId="9" xfId="0" applyNumberFormat="1" applyFont="1" applyBorder="1" applyAlignment="1">
      <alignment horizontal="center" vertical="center"/>
    </xf>
    <xf numFmtId="3" fontId="1" fillId="0" borderId="2" xfId="0" applyNumberFormat="1" applyFont="1" applyBorder="1" applyAlignment="1">
      <alignment horizontal="center" vertical="center"/>
    </xf>
    <xf numFmtId="3" fontId="7" fillId="0" borderId="3" xfId="0" applyNumberFormat="1" applyFont="1" applyBorder="1" applyAlignment="1">
      <alignment horizontal="center" vertical="center"/>
    </xf>
    <xf numFmtId="3" fontId="7" fillId="0" borderId="4" xfId="0" applyNumberFormat="1" applyFont="1" applyBorder="1" applyAlignment="1">
      <alignment horizontal="center" vertical="center"/>
    </xf>
    <xf numFmtId="3" fontId="7" fillId="0" borderId="0" xfId="0" applyNumberFormat="1" applyFont="1" applyAlignment="1">
      <alignment horizontal="center" vertical="center"/>
    </xf>
    <xf numFmtId="0" fontId="14" fillId="5" borderId="1" xfId="0" applyFont="1" applyFill="1" applyBorder="1" applyAlignment="1">
      <alignment horizontal="center"/>
    </xf>
    <xf numFmtId="3" fontId="7" fillId="0" borderId="2" xfId="0" applyNumberFormat="1" applyFont="1" applyBorder="1" applyAlignment="1">
      <alignment horizontal="center" vertical="center"/>
    </xf>
    <xf numFmtId="3" fontId="25" fillId="0" borderId="4" xfId="0" applyNumberFormat="1" applyFont="1" applyBorder="1" applyAlignment="1">
      <alignment horizontal="center" vertical="center" textRotation="180"/>
    </xf>
    <xf numFmtId="3" fontId="25" fillId="0" borderId="0" xfId="0" applyNumberFormat="1" applyFont="1" applyAlignment="1">
      <alignment horizontal="center" vertical="center" textRotation="180"/>
    </xf>
    <xf numFmtId="3" fontId="6" fillId="0" borderId="0" xfId="0" applyNumberFormat="1" applyFont="1" applyAlignment="1">
      <alignment horizontal="center" vertical="center"/>
    </xf>
    <xf numFmtId="3" fontId="7" fillId="0" borderId="5" xfId="0" applyNumberFormat="1" applyFont="1" applyBorder="1" applyAlignment="1">
      <alignment horizontal="center" vertical="center"/>
    </xf>
    <xf numFmtId="3" fontId="7" fillId="0" borderId="8"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39" fillId="0" borderId="0" xfId="0" applyFont="1" applyAlignment="1">
      <alignment horizontal="center" vertical="center"/>
    </xf>
    <xf numFmtId="0" fontId="39" fillId="0" borderId="9" xfId="0" applyFont="1" applyBorder="1" applyAlignment="1">
      <alignment horizontal="center" vertical="center"/>
    </xf>
    <xf numFmtId="3" fontId="1" fillId="9" borderId="0" xfId="0" applyNumberFormat="1" applyFont="1" applyFill="1" applyAlignment="1">
      <alignment horizontal="center" vertical="center"/>
    </xf>
    <xf numFmtId="0" fontId="21" fillId="4" borderId="0" xfId="0" applyFont="1" applyFill="1" applyAlignment="1" applyProtection="1">
      <alignment horizontal="left" vertical="center"/>
      <protection locked="0"/>
    </xf>
    <xf numFmtId="3" fontId="52" fillId="0" borderId="0" xfId="0" applyNumberFormat="1" applyFont="1" applyAlignment="1">
      <alignment horizontal="center" vertical="center"/>
    </xf>
    <xf numFmtId="3" fontId="52" fillId="0" borderId="9" xfId="0" applyNumberFormat="1" applyFont="1" applyBorder="1" applyAlignment="1">
      <alignment horizontal="center" vertical="center"/>
    </xf>
    <xf numFmtId="0" fontId="45" fillId="0" borderId="0" xfId="0" applyFont="1" applyAlignment="1">
      <alignment vertical="center"/>
    </xf>
    <xf numFmtId="0" fontId="44" fillId="0" borderId="0" xfId="0" applyFont="1" applyAlignment="1">
      <alignment vertical="center"/>
    </xf>
    <xf numFmtId="5" fontId="1" fillId="0" borderId="0" xfId="0" applyNumberFormat="1" applyFont="1" applyAlignment="1">
      <alignment horizontal="center" vertical="center"/>
    </xf>
    <xf numFmtId="5" fontId="1" fillId="0" borderId="9" xfId="0" applyNumberFormat="1" applyFont="1" applyBorder="1" applyAlignment="1">
      <alignment horizontal="center" vertical="center"/>
    </xf>
    <xf numFmtId="5" fontId="1" fillId="10" borderId="0" xfId="0" applyNumberFormat="1" applyFont="1" applyFill="1" applyAlignment="1">
      <alignment horizontal="center" vertical="center"/>
    </xf>
    <xf numFmtId="5" fontId="15" fillId="0" borderId="9" xfId="0" applyNumberFormat="1" applyFont="1" applyBorder="1" applyAlignment="1">
      <alignment horizontal="center" vertical="center"/>
    </xf>
    <xf numFmtId="5" fontId="7" fillId="0" borderId="3" xfId="0" applyNumberFormat="1" applyFont="1" applyBorder="1" applyAlignment="1">
      <alignment horizontal="center" vertical="center"/>
    </xf>
    <xf numFmtId="5" fontId="7" fillId="0" borderId="4" xfId="0" applyNumberFormat="1" applyFont="1" applyBorder="1" applyAlignment="1">
      <alignment horizontal="center" vertical="center"/>
    </xf>
    <xf numFmtId="0" fontId="45" fillId="0" borderId="0" xfId="0" applyFont="1" applyAlignment="1">
      <alignment horizontal="right"/>
    </xf>
    <xf numFmtId="0" fontId="56" fillId="4" borderId="0" xfId="0" applyFont="1" applyFill="1" applyAlignment="1" applyProtection="1">
      <alignment vertical="center"/>
      <protection locked="0"/>
    </xf>
    <xf numFmtId="0" fontId="57" fillId="5" borderId="0" xfId="0" applyFont="1" applyFill="1" applyProtection="1">
      <protection locked="0"/>
    </xf>
    <xf numFmtId="0" fontId="56" fillId="0" borderId="0" xfId="0" applyFont="1" applyProtection="1">
      <protection locked="0"/>
    </xf>
    <xf numFmtId="168" fontId="1" fillId="0" borderId="0" xfId="0" applyNumberFormat="1" applyFont="1" applyProtection="1">
      <protection locked="0"/>
    </xf>
    <xf numFmtId="0" fontId="1" fillId="0" borderId="16" xfId="0" applyFont="1" applyBorder="1" applyAlignment="1">
      <alignment horizontal="center" vertical="center"/>
    </xf>
    <xf numFmtId="0" fontId="14" fillId="11" borderId="20" xfId="0" applyFont="1" applyFill="1" applyBorder="1" applyAlignment="1" applyProtection="1">
      <alignment horizontal="center" vertical="center" wrapText="1"/>
      <protection locked="0"/>
    </xf>
    <xf numFmtId="0" fontId="14" fillId="12" borderId="20" xfId="0" applyFont="1" applyFill="1" applyBorder="1" applyAlignment="1" applyProtection="1">
      <alignment horizontal="center" vertical="center" wrapText="1"/>
      <protection locked="0"/>
    </xf>
    <xf numFmtId="0" fontId="14" fillId="12" borderId="20" xfId="0" applyFont="1" applyFill="1" applyBorder="1" applyAlignment="1" applyProtection="1">
      <alignment horizontal="center"/>
      <protection locked="0"/>
    </xf>
    <xf numFmtId="0" fontId="14" fillId="11" borderId="20" xfId="0" applyFont="1" applyFill="1" applyBorder="1" applyAlignment="1" applyProtection="1">
      <alignment horizontal="center"/>
      <protection locked="0"/>
    </xf>
    <xf numFmtId="14" fontId="26" fillId="4" borderId="15" xfId="4" applyNumberFormat="1" applyFont="1" applyAlignment="1" applyProtection="1">
      <alignment horizontal="center" vertical="center"/>
      <protection locked="0"/>
    </xf>
    <xf numFmtId="0" fontId="14" fillId="11" borderId="21" xfId="0" applyFont="1" applyFill="1" applyBorder="1" applyAlignment="1" applyProtection="1">
      <alignment horizontal="center" vertical="center"/>
      <protection locked="0"/>
    </xf>
    <xf numFmtId="0" fontId="1" fillId="4" borderId="0" xfId="0" applyFont="1" applyFill="1" applyAlignment="1">
      <alignment vertical="center"/>
    </xf>
    <xf numFmtId="0" fontId="21" fillId="4" borderId="0" xfId="0" applyFont="1" applyFill="1" applyAlignment="1">
      <alignment vertical="center"/>
    </xf>
    <xf numFmtId="0" fontId="1" fillId="4" borderId="0" xfId="0" applyFont="1" applyFill="1" applyAlignment="1">
      <alignment horizontal="center" vertical="center"/>
    </xf>
    <xf numFmtId="0" fontId="6" fillId="4" borderId="0" xfId="0" applyFont="1" applyFill="1" applyAlignment="1">
      <alignment vertical="center"/>
    </xf>
    <xf numFmtId="0" fontId="20" fillId="4" borderId="0" xfId="0" applyFont="1" applyFill="1" applyAlignment="1">
      <alignment vertical="center"/>
    </xf>
    <xf numFmtId="0" fontId="22" fillId="4" borderId="0" xfId="0" applyFont="1" applyFill="1" applyAlignment="1">
      <alignment horizontal="left" vertical="center"/>
    </xf>
    <xf numFmtId="0" fontId="7" fillId="4" borderId="0" xfId="0" applyFont="1" applyFill="1" applyAlignment="1">
      <alignment vertical="center"/>
    </xf>
    <xf numFmtId="0" fontId="28" fillId="5" borderId="0" xfId="0" applyFont="1" applyFill="1"/>
    <xf numFmtId="0" fontId="28" fillId="5" borderId="0" xfId="0" applyFont="1" applyFill="1" applyAlignment="1">
      <alignment horizontal="center"/>
    </xf>
    <xf numFmtId="0" fontId="1" fillId="0" borderId="0" xfId="0" applyFont="1" applyAlignment="1">
      <alignment vertical="center"/>
    </xf>
    <xf numFmtId="0" fontId="18" fillId="0" borderId="0" xfId="0" applyFont="1" applyAlignment="1">
      <alignment vertical="center"/>
    </xf>
    <xf numFmtId="0" fontId="18" fillId="0" borderId="0" xfId="0" applyFont="1" applyAlignment="1">
      <alignment horizontal="center" vertical="center"/>
    </xf>
    <xf numFmtId="0" fontId="16" fillId="0" borderId="0" xfId="0" applyFont="1" applyAlignment="1">
      <alignment vertical="center"/>
    </xf>
    <xf numFmtId="0" fontId="20" fillId="0" borderId="0" xfId="0" applyFont="1" applyAlignment="1">
      <alignment vertical="center"/>
    </xf>
    <xf numFmtId="0" fontId="19" fillId="0" borderId="0" xfId="0" applyFont="1" applyAlignment="1">
      <alignment vertical="center"/>
    </xf>
    <xf numFmtId="0" fontId="6" fillId="0" borderId="0" xfId="0" applyFont="1" applyAlignment="1">
      <alignment vertical="center"/>
    </xf>
    <xf numFmtId="0" fontId="0" fillId="0" borderId="0" xfId="0" applyAlignment="1">
      <alignment vertical="center"/>
    </xf>
    <xf numFmtId="0" fontId="23" fillId="0" borderId="0" xfId="0" applyFont="1" applyAlignment="1">
      <alignment horizontal="right" vertical="top"/>
    </xf>
    <xf numFmtId="0" fontId="23" fillId="0" borderId="0" xfId="0" applyFont="1" applyAlignment="1">
      <alignment vertical="center"/>
    </xf>
    <xf numFmtId="0" fontId="1" fillId="6" borderId="15" xfId="0" applyFont="1" applyFill="1" applyBorder="1" applyAlignment="1">
      <alignment horizontal="center" vertical="center" wrapText="1"/>
    </xf>
    <xf numFmtId="0" fontId="25" fillId="0" borderId="0" xfId="0" applyFont="1" applyAlignment="1">
      <alignment vertical="center"/>
    </xf>
    <xf numFmtId="0" fontId="27" fillId="0" borderId="0" xfId="0" applyFont="1" applyAlignment="1">
      <alignment vertical="top"/>
    </xf>
    <xf numFmtId="0" fontId="64" fillId="0" borderId="0" xfId="0" applyFont="1" applyAlignment="1" applyProtection="1">
      <alignment vertical="center"/>
      <protection locked="0" hidden="1"/>
    </xf>
    <xf numFmtId="0" fontId="16" fillId="0" borderId="0" xfId="0" applyFont="1" applyAlignment="1" applyProtection="1">
      <alignment vertical="center"/>
      <protection locked="0" hidden="1"/>
    </xf>
    <xf numFmtId="0" fontId="25" fillId="0" borderId="0" xfId="0" applyFont="1" applyAlignment="1" applyProtection="1">
      <alignment vertical="center"/>
      <protection locked="0" hidden="1"/>
    </xf>
    <xf numFmtId="0" fontId="1" fillId="2" borderId="0" xfId="0" applyFont="1" applyFill="1" applyProtection="1">
      <protection locked="0" hidden="1"/>
    </xf>
    <xf numFmtId="0" fontId="1" fillId="4" borderId="0" xfId="0" applyFont="1" applyFill="1"/>
    <xf numFmtId="0" fontId="21" fillId="4" borderId="0" xfId="0" applyFont="1" applyFill="1"/>
    <xf numFmtId="0" fontId="1" fillId="4" borderId="0" xfId="0" applyFont="1" applyFill="1" applyAlignment="1">
      <alignment horizontal="center"/>
    </xf>
    <xf numFmtId="0" fontId="1" fillId="4" borderId="0" xfId="0" applyFont="1" applyFill="1" applyAlignment="1">
      <alignment horizontal="left" vertical="center"/>
    </xf>
    <xf numFmtId="0" fontId="6" fillId="4" borderId="0" xfId="0" applyFont="1" applyFill="1"/>
    <xf numFmtId="0" fontId="20" fillId="4" borderId="0" xfId="0" applyFont="1" applyFill="1"/>
    <xf numFmtId="0" fontId="22" fillId="4" borderId="0" xfId="0" applyFont="1" applyFill="1" applyAlignment="1">
      <alignment horizontal="left"/>
    </xf>
    <xf numFmtId="0" fontId="7" fillId="4" borderId="0" xfId="0" applyFont="1" applyFill="1"/>
    <xf numFmtId="0" fontId="7" fillId="4" borderId="0" xfId="0" applyFont="1" applyFill="1" applyAlignment="1">
      <alignment horizontal="left" vertical="center"/>
    </xf>
    <xf numFmtId="0" fontId="28" fillId="5" borderId="0" xfId="0" applyFont="1" applyFill="1" applyAlignment="1">
      <alignment horizontal="left" vertical="center"/>
    </xf>
    <xf numFmtId="0" fontId="9" fillId="0" borderId="0" xfId="0" applyFont="1" applyAlignment="1">
      <alignment horizontal="center" vertical="center"/>
    </xf>
    <xf numFmtId="1" fontId="26" fillId="6" borderId="15" xfId="1" applyNumberFormat="1" applyFont="1" applyFill="1" applyBorder="1" applyAlignment="1" applyProtection="1">
      <alignment horizontal="center" vertical="center"/>
    </xf>
    <xf numFmtId="0" fontId="33" fillId="0" borderId="0" xfId="0" applyFont="1" applyAlignment="1">
      <alignment horizontal="left" vertical="center"/>
    </xf>
    <xf numFmtId="0" fontId="34" fillId="0" borderId="0" xfId="0" applyFont="1"/>
    <xf numFmtId="0" fontId="32" fillId="0" borderId="0" xfId="0" applyFont="1" applyAlignment="1">
      <alignment horizontal="right" vertical="center"/>
    </xf>
    <xf numFmtId="0" fontId="32" fillId="0" borderId="0" xfId="0" applyFont="1" applyAlignment="1">
      <alignment vertical="center"/>
    </xf>
    <xf numFmtId="0" fontId="59" fillId="0" borderId="0" xfId="0" applyFont="1" applyAlignment="1">
      <alignment vertical="center"/>
    </xf>
    <xf numFmtId="0" fontId="40" fillId="0" borderId="0" xfId="0" applyFont="1" applyAlignment="1">
      <alignment horizontal="left" vertical="center"/>
    </xf>
    <xf numFmtId="0" fontId="33" fillId="0" borderId="0" xfId="0" applyFont="1" applyAlignment="1">
      <alignment vertical="center"/>
    </xf>
    <xf numFmtId="0" fontId="16" fillId="0" borderId="0" xfId="0" applyFont="1"/>
    <xf numFmtId="0" fontId="30" fillId="0" borderId="0" xfId="0" applyFont="1" applyAlignment="1">
      <alignment horizontal="left" vertical="center"/>
    </xf>
    <xf numFmtId="0" fontId="14" fillId="7" borderId="0" xfId="0" applyFont="1" applyFill="1" applyAlignment="1">
      <alignment horizontal="center"/>
    </xf>
    <xf numFmtId="0" fontId="39" fillId="0" borderId="0" xfId="0" applyFont="1" applyAlignment="1">
      <alignment horizontal="center"/>
    </xf>
    <xf numFmtId="0" fontId="25" fillId="0" borderId="0" xfId="0" applyFont="1"/>
    <xf numFmtId="0" fontId="1" fillId="0" borderId="0" xfId="0" applyFont="1" applyAlignment="1">
      <alignment horizontal="left" vertical="center"/>
    </xf>
    <xf numFmtId="9" fontId="30" fillId="0" borderId="0" xfId="0" applyNumberFormat="1" applyFont="1" applyAlignment="1">
      <alignment horizontal="center"/>
    </xf>
    <xf numFmtId="0" fontId="30" fillId="0" borderId="0" xfId="0" applyFont="1" applyAlignment="1">
      <alignment horizontal="center"/>
    </xf>
    <xf numFmtId="0" fontId="6" fillId="2" borderId="0" xfId="0" applyFont="1" applyFill="1"/>
    <xf numFmtId="0" fontId="35" fillId="0" borderId="0" xfId="0" applyFont="1"/>
    <xf numFmtId="0" fontId="6" fillId="0" borderId="0" xfId="0" applyFont="1" applyAlignment="1">
      <alignment horizontal="left" vertical="center"/>
    </xf>
    <xf numFmtId="169" fontId="26" fillId="4" borderId="15" xfId="1" applyNumberFormat="1" applyFont="1" applyFill="1" applyBorder="1" applyAlignment="1" applyProtection="1">
      <alignment horizontal="center" vertical="center"/>
      <protection locked="0"/>
    </xf>
    <xf numFmtId="170" fontId="26" fillId="4" borderId="15" xfId="1" applyNumberFormat="1" applyFont="1" applyFill="1" applyBorder="1" applyAlignment="1" applyProtection="1">
      <alignment horizontal="center" vertical="center"/>
      <protection locked="0"/>
    </xf>
    <xf numFmtId="171" fontId="26" fillId="4" borderId="15" xfId="1" applyNumberFormat="1" applyFont="1" applyFill="1" applyBorder="1" applyAlignment="1" applyProtection="1">
      <alignment horizontal="center" vertical="center"/>
      <protection locked="0"/>
    </xf>
    <xf numFmtId="171" fontId="26" fillId="6" borderId="15" xfId="1" applyNumberFormat="1" applyFont="1" applyFill="1" applyBorder="1" applyAlignment="1" applyProtection="1">
      <alignment horizontal="center" vertical="center"/>
      <protection locked="0"/>
    </xf>
    <xf numFmtId="0" fontId="9" fillId="0" borderId="0" xfId="0" applyFont="1" applyAlignment="1">
      <alignment vertical="center"/>
    </xf>
    <xf numFmtId="0" fontId="30" fillId="0" borderId="0" xfId="0" applyFont="1" applyAlignment="1">
      <alignment vertical="top" wrapText="1"/>
    </xf>
    <xf numFmtId="0" fontId="14" fillId="7" borderId="20" xfId="0" applyFont="1" applyFill="1" applyBorder="1" applyAlignment="1">
      <alignment horizontal="center"/>
    </xf>
    <xf numFmtId="0" fontId="72" fillId="0" borderId="0" xfId="0" applyFont="1"/>
    <xf numFmtId="0" fontId="9" fillId="2" borderId="0" xfId="0" applyFont="1" applyFill="1" applyAlignment="1">
      <alignment horizontal="center"/>
    </xf>
    <xf numFmtId="0" fontId="30" fillId="2" borderId="0" xfId="0" applyFont="1" applyFill="1"/>
    <xf numFmtId="0" fontId="1" fillId="2" borderId="0" xfId="0" applyFont="1" applyFill="1" applyAlignment="1">
      <alignment horizontal="right"/>
    </xf>
    <xf numFmtId="0" fontId="16" fillId="2" borderId="0" xfId="0" applyFont="1" applyFill="1" applyAlignment="1">
      <alignment horizontal="right"/>
    </xf>
    <xf numFmtId="0" fontId="63" fillId="2" borderId="0" xfId="0" applyFont="1" applyFill="1"/>
    <xf numFmtId="0" fontId="16" fillId="2" borderId="0" xfId="0" applyFont="1" applyFill="1"/>
    <xf numFmtId="0" fontId="26" fillId="6" borderId="15" xfId="1" applyNumberFormat="1" applyFont="1" applyFill="1" applyBorder="1" applyAlignment="1" applyProtection="1">
      <alignment horizontal="center" vertical="center"/>
    </xf>
    <xf numFmtId="0" fontId="45" fillId="2" borderId="0" xfId="0" applyFont="1" applyFill="1" applyAlignment="1">
      <alignment horizontal="right"/>
    </xf>
    <xf numFmtId="3" fontId="26" fillId="6" borderId="15" xfId="1" applyNumberFormat="1" applyFont="1" applyFill="1" applyBorder="1" applyAlignment="1" applyProtection="1">
      <alignment horizontal="center" vertical="center"/>
    </xf>
    <xf numFmtId="0" fontId="70" fillId="2" borderId="0" xfId="0" applyFont="1" applyFill="1" applyAlignment="1">
      <alignment horizontal="right"/>
    </xf>
    <xf numFmtId="0" fontId="31" fillId="2" borderId="0" xfId="0" applyFont="1" applyFill="1" applyAlignment="1">
      <alignment horizontal="right"/>
    </xf>
    <xf numFmtId="0" fontId="74" fillId="0" borderId="0" xfId="0" applyFont="1" applyAlignment="1">
      <alignment vertical="center"/>
    </xf>
    <xf numFmtId="0" fontId="71" fillId="0" borderId="0" xfId="0" applyFont="1" applyAlignment="1">
      <alignment horizontal="right" vertical="center"/>
    </xf>
    <xf numFmtId="0" fontId="74" fillId="2" borderId="0" xfId="0" applyFont="1" applyFill="1"/>
    <xf numFmtId="0" fontId="74" fillId="0" borderId="0" xfId="0" applyFont="1"/>
    <xf numFmtId="171" fontId="1" fillId="0" borderId="0" xfId="0" applyNumberFormat="1" applyFont="1"/>
    <xf numFmtId="0" fontId="28" fillId="5" borderId="0" xfId="0" applyFont="1" applyFill="1" applyAlignment="1">
      <alignment vertical="center"/>
    </xf>
    <xf numFmtId="0" fontId="28" fillId="5" borderId="0" xfId="0" applyFont="1" applyFill="1" applyAlignment="1">
      <alignment horizontal="center" vertical="center"/>
    </xf>
    <xf numFmtId="9" fontId="10" fillId="4" borderId="15" xfId="1" applyFont="1" applyFill="1" applyBorder="1" applyAlignment="1" applyProtection="1">
      <alignment horizontal="center" vertical="center"/>
      <protection locked="0"/>
    </xf>
    <xf numFmtId="0" fontId="11" fillId="4" borderId="15" xfId="0" applyFont="1" applyFill="1" applyBorder="1" applyAlignment="1" applyProtection="1">
      <alignment vertical="center"/>
      <protection locked="0"/>
    </xf>
    <xf numFmtId="0" fontId="8" fillId="4" borderId="15" xfId="0" applyFont="1" applyFill="1" applyBorder="1" applyAlignment="1" applyProtection="1">
      <alignment vertical="center"/>
      <protection locked="0"/>
    </xf>
    <xf numFmtId="1" fontId="26" fillId="4" borderId="15" xfId="1" applyNumberFormat="1" applyFont="1" applyFill="1" applyBorder="1" applyAlignment="1" applyProtection="1">
      <alignment horizontal="center" vertical="center"/>
      <protection locked="0"/>
    </xf>
    <xf numFmtId="171" fontId="26" fillId="6" borderId="24" xfId="1" applyNumberFormat="1" applyFont="1" applyFill="1" applyBorder="1" applyAlignment="1" applyProtection="1">
      <alignment horizontal="center" vertical="center"/>
      <protection locked="0"/>
    </xf>
    <xf numFmtId="171" fontId="1" fillId="0" borderId="0" xfId="0" applyNumberFormat="1" applyFont="1" applyAlignment="1">
      <alignment horizontal="center"/>
    </xf>
    <xf numFmtId="171" fontId="9" fillId="0" borderId="0" xfId="0" applyNumberFormat="1" applyFont="1"/>
    <xf numFmtId="171" fontId="45" fillId="0" borderId="0" xfId="0" applyNumberFormat="1" applyFont="1" applyAlignment="1">
      <alignment horizontal="right"/>
    </xf>
    <xf numFmtId="0" fontId="9" fillId="4" borderId="0" xfId="0" applyFont="1" applyFill="1" applyAlignment="1">
      <alignment vertical="center"/>
    </xf>
    <xf numFmtId="0" fontId="42" fillId="5" borderId="0" xfId="0" applyFont="1" applyFill="1"/>
    <xf numFmtId="0" fontId="49" fillId="0" borderId="0" xfId="0" applyFont="1"/>
    <xf numFmtId="0" fontId="14" fillId="7" borderId="24" xfId="0" applyFont="1" applyFill="1" applyBorder="1" applyAlignment="1">
      <alignment horizontal="center" vertical="center" wrapText="1"/>
    </xf>
    <xf numFmtId="0" fontId="14" fillId="7" borderId="15" xfId="0" applyFont="1" applyFill="1" applyBorder="1" applyAlignment="1">
      <alignment horizontal="center" vertical="top" wrapText="1"/>
    </xf>
    <xf numFmtId="0" fontId="14" fillId="7" borderId="23" xfId="0" applyFont="1" applyFill="1" applyBorder="1" applyAlignment="1">
      <alignment horizontal="center" vertical="top" wrapText="1"/>
    </xf>
    <xf numFmtId="166" fontId="26" fillId="6" borderId="24" xfId="1" applyNumberFormat="1" applyFont="1" applyFill="1" applyBorder="1" applyAlignment="1" applyProtection="1">
      <alignment horizontal="center" vertical="center"/>
    </xf>
    <xf numFmtId="0" fontId="14" fillId="7" borderId="37" xfId="0" applyFont="1" applyFill="1" applyBorder="1" applyAlignment="1">
      <alignment horizontal="center" vertical="center" wrapText="1"/>
    </xf>
    <xf numFmtId="9" fontId="26" fillId="6" borderId="37" xfId="1" applyFont="1" applyFill="1" applyBorder="1" applyAlignment="1" applyProtection="1">
      <alignment horizontal="center" vertical="center"/>
    </xf>
    <xf numFmtId="9" fontId="26" fillId="6" borderId="16" xfId="1" applyFont="1" applyFill="1" applyBorder="1" applyAlignment="1" applyProtection="1">
      <alignment horizontal="center" vertical="center"/>
    </xf>
    <xf numFmtId="9" fontId="26" fillId="6" borderId="24" xfId="1" applyFont="1" applyFill="1" applyBorder="1" applyAlignment="1" applyProtection="1">
      <alignment horizontal="center" vertical="center"/>
    </xf>
    <xf numFmtId="9" fontId="26" fillId="6" borderId="26" xfId="1" applyFont="1" applyFill="1" applyBorder="1" applyAlignment="1" applyProtection="1">
      <alignment horizontal="center" vertical="center"/>
    </xf>
    <xf numFmtId="0" fontId="0" fillId="0" borderId="16" xfId="0" applyBorder="1"/>
    <xf numFmtId="10" fontId="26" fillId="4" borderId="24" xfId="1" applyNumberFormat="1" applyFont="1" applyFill="1" applyBorder="1" applyAlignment="1" applyProtection="1">
      <alignment horizontal="center" vertical="center"/>
      <protection locked="0"/>
    </xf>
    <xf numFmtId="0" fontId="15" fillId="4" borderId="0" xfId="0" applyFont="1" applyFill="1" applyAlignment="1">
      <alignment vertical="center"/>
    </xf>
    <xf numFmtId="0" fontId="37" fillId="5" borderId="0" xfId="0" applyFont="1" applyFill="1"/>
    <xf numFmtId="0" fontId="3" fillId="0" borderId="0" xfId="0" applyFont="1"/>
    <xf numFmtId="9" fontId="3" fillId="0" borderId="0" xfId="1" applyFont="1" applyFill="1" applyAlignment="1" applyProtection="1">
      <alignment horizontal="center"/>
    </xf>
    <xf numFmtId="1" fontId="3" fillId="0" borderId="0" xfId="0" applyNumberFormat="1" applyFont="1"/>
    <xf numFmtId="164" fontId="3" fillId="0" borderId="0" xfId="0" applyNumberFormat="1" applyFont="1"/>
    <xf numFmtId="164" fontId="3" fillId="0" borderId="0" xfId="0" applyNumberFormat="1" applyFont="1" applyAlignment="1">
      <alignment horizontal="center"/>
    </xf>
    <xf numFmtId="0" fontId="15" fillId="0" borderId="0" xfId="0" applyFont="1"/>
    <xf numFmtId="0" fontId="46" fillId="0" borderId="0" xfId="0" applyFont="1" applyAlignment="1">
      <alignment horizontal="left"/>
    </xf>
    <xf numFmtId="0" fontId="75" fillId="0" borderId="0" xfId="0" applyFont="1"/>
    <xf numFmtId="0" fontId="76" fillId="0" borderId="0" xfId="0" applyFont="1"/>
    <xf numFmtId="0" fontId="15" fillId="0" borderId="0" xfId="0" applyFont="1" applyAlignment="1">
      <alignment vertical="center"/>
    </xf>
    <xf numFmtId="0" fontId="61" fillId="0" borderId="0" xfId="0" applyFont="1" applyAlignment="1">
      <alignment horizontal="left" vertical="center"/>
    </xf>
    <xf numFmtId="0" fontId="53" fillId="0" borderId="0" xfId="0" applyFont="1"/>
    <xf numFmtId="0" fontId="35" fillId="0" borderId="0" xfId="0" applyFont="1" applyAlignment="1">
      <alignment horizontal="center"/>
    </xf>
    <xf numFmtId="9" fontId="53" fillId="0" borderId="0" xfId="1" applyFont="1" applyFill="1" applyAlignment="1" applyProtection="1">
      <alignment horizontal="center"/>
    </xf>
    <xf numFmtId="1" fontId="53" fillId="0" borderId="0" xfId="0" applyNumberFormat="1" applyFont="1"/>
    <xf numFmtId="164" fontId="53" fillId="0" borderId="0" xfId="0" applyNumberFormat="1" applyFont="1"/>
    <xf numFmtId="164" fontId="53" fillId="0" borderId="0" xfId="0" applyNumberFormat="1" applyFont="1" applyAlignment="1">
      <alignment horizontal="center"/>
    </xf>
    <xf numFmtId="0" fontId="54" fillId="0" borderId="0" xfId="0" applyFont="1"/>
    <xf numFmtId="0" fontId="60" fillId="0" borderId="0" xfId="0" applyFont="1" applyAlignment="1">
      <alignment horizontal="left" vertical="center"/>
    </xf>
    <xf numFmtId="9" fontId="30" fillId="0" borderId="0" xfId="1" applyFont="1" applyFill="1" applyAlignment="1" applyProtection="1">
      <alignment horizontal="left"/>
    </xf>
    <xf numFmtId="0" fontId="3" fillId="0" borderId="0" xfId="0" applyFont="1" applyAlignment="1">
      <alignment horizontal="center" vertical="center"/>
    </xf>
    <xf numFmtId="1"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15" fillId="0" borderId="0" xfId="0" applyFont="1" applyAlignment="1">
      <alignment horizontal="center" vertical="center"/>
    </xf>
    <xf numFmtId="0" fontId="62" fillId="0" borderId="0" xfId="0" applyFont="1"/>
    <xf numFmtId="164" fontId="6" fillId="2" borderId="0" xfId="0" applyNumberFormat="1" applyFont="1" applyFill="1"/>
    <xf numFmtId="1" fontId="6" fillId="2" borderId="0" xfId="0" applyNumberFormat="1" applyFont="1" applyFill="1"/>
    <xf numFmtId="164" fontId="6" fillId="2" borderId="0" xfId="0" applyNumberFormat="1" applyFont="1" applyFill="1" applyAlignment="1">
      <alignment horizontal="center"/>
    </xf>
    <xf numFmtId="0" fontId="15" fillId="2" borderId="0" xfId="0" applyFont="1" applyFill="1"/>
    <xf numFmtId="0" fontId="6" fillId="2" borderId="0" xfId="0" applyFont="1" applyFill="1" applyAlignment="1">
      <alignment horizontal="center"/>
    </xf>
    <xf numFmtId="9" fontId="6" fillId="2" borderId="0" xfId="1" applyFont="1" applyFill="1" applyAlignment="1" applyProtection="1">
      <alignment horizontal="center"/>
    </xf>
    <xf numFmtId="0" fontId="8" fillId="6" borderId="15" xfId="0" applyFont="1" applyFill="1" applyBorder="1" applyAlignment="1" applyProtection="1">
      <alignment horizontal="left" vertical="center"/>
      <protection locked="0"/>
    </xf>
    <xf numFmtId="166" fontId="8" fillId="6" borderId="15" xfId="0" applyNumberFormat="1" applyFont="1" applyFill="1" applyBorder="1" applyAlignment="1" applyProtection="1">
      <alignment horizontal="center" vertical="center"/>
      <protection locked="0"/>
    </xf>
    <xf numFmtId="0" fontId="1" fillId="6" borderId="15" xfId="0" applyFont="1" applyFill="1" applyBorder="1" applyAlignment="1" applyProtection="1">
      <alignment horizontal="center" vertical="center"/>
      <protection locked="0"/>
    </xf>
    <xf numFmtId="3" fontId="8" fillId="6" borderId="15" xfId="0" applyNumberFormat="1" applyFont="1" applyFill="1" applyBorder="1" applyAlignment="1" applyProtection="1">
      <alignment horizontal="left" vertical="center"/>
      <protection locked="0"/>
    </xf>
    <xf numFmtId="0" fontId="8" fillId="6" borderId="15" xfId="0" applyFont="1" applyFill="1" applyBorder="1" applyAlignment="1" applyProtection="1">
      <alignment vertical="center"/>
      <protection locked="0"/>
    </xf>
    <xf numFmtId="0" fontId="1" fillId="0" borderId="16" xfId="0" applyFont="1" applyBorder="1"/>
    <xf numFmtId="0" fontId="27" fillId="0" borderId="16" xfId="0" applyFont="1" applyBorder="1" applyAlignment="1">
      <alignment vertical="center"/>
    </xf>
    <xf numFmtId="0" fontId="20" fillId="0" borderId="0" xfId="0" applyFont="1" applyAlignment="1">
      <alignment horizontal="right" vertical="center"/>
    </xf>
    <xf numFmtId="0" fontId="27" fillId="0" borderId="0" xfId="0" applyFont="1" applyAlignment="1" applyProtection="1">
      <alignment vertical="center"/>
      <protection locked="0"/>
    </xf>
    <xf numFmtId="0" fontId="27" fillId="0" borderId="16" xfId="0" applyFont="1" applyBorder="1" applyAlignment="1" applyProtection="1">
      <alignment vertical="center"/>
      <protection locked="0"/>
    </xf>
    <xf numFmtId="0" fontId="12" fillId="0" borderId="0" xfId="0" applyFont="1"/>
    <xf numFmtId="0" fontId="38" fillId="0" borderId="0" xfId="0" applyFont="1" applyAlignment="1">
      <alignment horizontal="right" vertical="center"/>
    </xf>
    <xf numFmtId="43" fontId="13" fillId="0" borderId="0" xfId="3" applyNumberFormat="1" applyFont="1" applyFill="1" applyBorder="1" applyAlignment="1" applyProtection="1">
      <alignment horizontal="center" vertical="center"/>
    </xf>
    <xf numFmtId="9" fontId="26" fillId="6" borderId="15" xfId="1" applyFont="1" applyFill="1" applyBorder="1" applyAlignment="1" applyProtection="1">
      <alignment horizontal="center" vertical="center"/>
    </xf>
    <xf numFmtId="0" fontId="38" fillId="0" borderId="0" xfId="0" applyFont="1" applyAlignment="1">
      <alignment horizontal="center" vertical="center"/>
    </xf>
    <xf numFmtId="0" fontId="39" fillId="0" borderId="20" xfId="0" applyFont="1" applyBorder="1" applyAlignment="1">
      <alignment horizontal="right"/>
    </xf>
    <xf numFmtId="0" fontId="1" fillId="0" borderId="42" xfId="0" applyFont="1" applyBorder="1"/>
    <xf numFmtId="0" fontId="39" fillId="0" borderId="44" xfId="0" applyFont="1" applyBorder="1" applyAlignment="1">
      <alignment horizontal="right"/>
    </xf>
    <xf numFmtId="0" fontId="39" fillId="0" borderId="28" xfId="0" applyFont="1" applyBorder="1" applyAlignment="1">
      <alignment horizontal="right"/>
    </xf>
    <xf numFmtId="0" fontId="41" fillId="0" borderId="0" xfId="0" applyFont="1"/>
    <xf numFmtId="0" fontId="0" fillId="0" borderId="0" xfId="0" applyAlignment="1">
      <alignment horizontal="center"/>
    </xf>
    <xf numFmtId="0" fontId="58" fillId="0" borderId="0" xfId="0" applyFont="1" applyAlignment="1">
      <alignment horizontal="right"/>
    </xf>
    <xf numFmtId="0" fontId="30" fillId="0" borderId="0" xfId="0" applyFont="1" applyAlignment="1">
      <alignment horizontal="left"/>
    </xf>
    <xf numFmtId="0" fontId="1" fillId="2" borderId="0" xfId="0" applyFont="1" applyFill="1" applyAlignment="1">
      <alignment horizontal="center"/>
    </xf>
    <xf numFmtId="0" fontId="55" fillId="2" borderId="0" xfId="0" applyFont="1" applyFill="1" applyAlignment="1">
      <alignment horizontal="left"/>
    </xf>
    <xf numFmtId="0" fontId="9" fillId="2" borderId="0" xfId="0" applyFont="1" applyFill="1"/>
    <xf numFmtId="0" fontId="43" fillId="2" borderId="0" xfId="0" applyFont="1" applyFill="1" applyAlignment="1">
      <alignment horizontal="left"/>
    </xf>
    <xf numFmtId="0" fontId="50" fillId="2" borderId="0" xfId="0" applyFont="1" applyFill="1" applyAlignment="1">
      <alignment horizontal="left"/>
    </xf>
    <xf numFmtId="0" fontId="82" fillId="2" borderId="0" xfId="0" applyFont="1" applyFill="1" applyAlignment="1">
      <alignment horizontal="left"/>
    </xf>
    <xf numFmtId="0" fontId="29" fillId="0" borderId="0" xfId="0" applyFont="1" applyAlignment="1">
      <alignment horizontal="left" vertical="center"/>
    </xf>
    <xf numFmtId="0" fontId="14" fillId="7" borderId="29" xfId="0" applyFont="1" applyFill="1" applyBorder="1" applyAlignment="1">
      <alignment horizontal="center" vertical="center" wrapText="1"/>
    </xf>
    <xf numFmtId="0" fontId="14" fillId="7" borderId="20" xfId="0" applyFont="1" applyFill="1" applyBorder="1" applyAlignment="1">
      <alignment horizontal="center" vertical="center" wrapText="1"/>
    </xf>
    <xf numFmtId="0" fontId="14" fillId="7" borderId="29" xfId="0" applyFont="1" applyFill="1" applyBorder="1" applyAlignment="1">
      <alignment vertical="center" wrapText="1"/>
    </xf>
    <xf numFmtId="0" fontId="14" fillId="7" borderId="30" xfId="0" applyFont="1" applyFill="1" applyBorder="1"/>
    <xf numFmtId="0" fontId="14" fillId="7" borderId="31" xfId="0" applyFont="1" applyFill="1" applyBorder="1"/>
    <xf numFmtId="0" fontId="14" fillId="7" borderId="34" xfId="0" applyFont="1" applyFill="1" applyBorder="1" applyAlignment="1">
      <alignment vertical="center" wrapText="1"/>
    </xf>
    <xf numFmtId="0" fontId="1" fillId="0" borderId="15" xfId="0" applyFont="1" applyBorder="1" applyAlignment="1">
      <alignment horizontal="center"/>
    </xf>
    <xf numFmtId="0" fontId="26" fillId="6" borderId="24" xfId="1" applyNumberFormat="1" applyFont="1" applyFill="1" applyBorder="1" applyAlignment="1" applyProtection="1">
      <alignment horizontal="center" vertical="center"/>
    </xf>
    <xf numFmtId="0" fontId="14" fillId="7" borderId="15" xfId="0" applyFont="1" applyFill="1" applyBorder="1" applyAlignment="1">
      <alignment horizontal="center" vertical="center" wrapText="1"/>
    </xf>
    <xf numFmtId="0" fontId="14" fillId="7" borderId="33" xfId="0" applyFont="1" applyFill="1" applyBorder="1" applyAlignment="1">
      <alignment vertical="center"/>
    </xf>
    <xf numFmtId="0" fontId="14" fillId="7" borderId="31" xfId="0" applyFont="1" applyFill="1" applyBorder="1" applyAlignment="1">
      <alignment vertical="center"/>
    </xf>
    <xf numFmtId="0" fontId="6" fillId="0" borderId="0" xfId="0" applyFont="1" applyAlignment="1">
      <alignment horizontal="center"/>
    </xf>
    <xf numFmtId="0" fontId="1" fillId="2" borderId="0" xfId="0" applyFont="1" applyFill="1" applyAlignment="1">
      <alignment horizontal="center" wrapText="1"/>
    </xf>
    <xf numFmtId="0" fontId="27" fillId="0" borderId="0" xfId="0" applyFont="1" applyAlignment="1">
      <alignment vertical="top" wrapText="1"/>
    </xf>
    <xf numFmtId="0" fontId="83" fillId="0" borderId="0" xfId="0" applyFont="1" applyAlignment="1">
      <alignment horizontal="center" vertical="center"/>
    </xf>
    <xf numFmtId="10" fontId="26" fillId="4" borderId="37" xfId="1" applyNumberFormat="1" applyFont="1" applyFill="1" applyBorder="1" applyAlignment="1" applyProtection="1">
      <alignment horizontal="center" vertical="center"/>
      <protection locked="0"/>
    </xf>
    <xf numFmtId="10" fontId="26" fillId="4" borderId="47" xfId="1" applyNumberFormat="1" applyFont="1" applyFill="1" applyBorder="1" applyAlignment="1" applyProtection="1">
      <alignment horizontal="center" vertical="center"/>
      <protection locked="0"/>
    </xf>
    <xf numFmtId="0" fontId="14" fillId="7" borderId="51" xfId="0" applyFont="1" applyFill="1" applyBorder="1" applyAlignment="1">
      <alignment horizontal="center" vertical="center" wrapText="1"/>
    </xf>
    <xf numFmtId="0" fontId="84" fillId="2" borderId="0" xfId="0" applyFont="1" applyFill="1"/>
    <xf numFmtId="3" fontId="1" fillId="0" borderId="3" xfId="0" applyNumberFormat="1" applyFont="1" applyBorder="1" applyAlignment="1">
      <alignment horizontal="center" vertical="center"/>
    </xf>
    <xf numFmtId="3" fontId="1" fillId="0" borderId="6" xfId="0" applyNumberFormat="1" applyFont="1" applyBorder="1" applyAlignment="1">
      <alignment horizontal="center" vertical="center"/>
    </xf>
    <xf numFmtId="3" fontId="1" fillId="0" borderId="11" xfId="0" applyNumberFormat="1" applyFont="1" applyBorder="1" applyAlignment="1">
      <alignment horizontal="center" vertical="center"/>
    </xf>
    <xf numFmtId="0" fontId="43" fillId="2" borderId="0" xfId="0" applyFont="1" applyFill="1" applyAlignment="1">
      <alignment wrapText="1"/>
    </xf>
    <xf numFmtId="172" fontId="26" fillId="6" borderId="15" xfId="1" applyNumberFormat="1" applyFont="1" applyFill="1" applyBorder="1" applyAlignment="1" applyProtection="1">
      <alignment horizontal="center" vertical="center"/>
      <protection locked="0"/>
    </xf>
    <xf numFmtId="172" fontId="26" fillId="6" borderId="15" xfId="1" applyNumberFormat="1" applyFont="1" applyFill="1" applyBorder="1" applyAlignment="1" applyProtection="1">
      <alignment horizontal="center" vertical="center"/>
    </xf>
    <xf numFmtId="172" fontId="1" fillId="0" borderId="0" xfId="0" applyNumberFormat="1" applyFont="1"/>
    <xf numFmtId="172" fontId="26" fillId="6" borderId="45" xfId="1" applyNumberFormat="1" applyFont="1" applyFill="1" applyBorder="1" applyAlignment="1" applyProtection="1">
      <alignment horizontal="center" vertical="center"/>
    </xf>
    <xf numFmtId="172" fontId="1" fillId="0" borderId="42" xfId="0" applyNumberFormat="1" applyFont="1" applyBorder="1"/>
    <xf numFmtId="172" fontId="26" fillId="6" borderId="43" xfId="1" applyNumberFormat="1" applyFont="1" applyFill="1" applyBorder="1" applyAlignment="1" applyProtection="1">
      <alignment horizontal="center" vertical="center"/>
    </xf>
    <xf numFmtId="172" fontId="6" fillId="0" borderId="0" xfId="0" applyNumberFormat="1" applyFont="1"/>
    <xf numFmtId="0" fontId="0" fillId="13" borderId="0" xfId="0" applyFill="1"/>
    <xf numFmtId="167" fontId="0" fillId="0" borderId="0" xfId="0" applyNumberFormat="1"/>
    <xf numFmtId="0" fontId="88" fillId="4" borderId="0" xfId="0" applyFont="1" applyFill="1" applyAlignment="1">
      <alignment horizontal="left" vertical="center"/>
    </xf>
    <xf numFmtId="0" fontId="89" fillId="4" borderId="0" xfId="0" applyFont="1" applyFill="1"/>
    <xf numFmtId="0" fontId="0" fillId="4" borderId="0" xfId="0" applyFill="1"/>
    <xf numFmtId="0" fontId="0" fillId="2" borderId="0" xfId="0" applyFill="1"/>
    <xf numFmtId="167" fontId="0" fillId="4" borderId="0" xfId="0" applyNumberFormat="1" applyFill="1"/>
    <xf numFmtId="167" fontId="0" fillId="2" borderId="0" xfId="0" applyNumberFormat="1" applyFill="1"/>
    <xf numFmtId="0" fontId="29" fillId="2" borderId="0" xfId="0" applyFont="1" applyFill="1" applyAlignment="1">
      <alignment horizontal="center"/>
    </xf>
    <xf numFmtId="0" fontId="87" fillId="4" borderId="53" xfId="0" applyFont="1" applyFill="1" applyBorder="1" applyAlignment="1" applyProtection="1">
      <alignment vertical="center"/>
      <protection locked="0"/>
    </xf>
    <xf numFmtId="0" fontId="21" fillId="4" borderId="53" xfId="0" applyFont="1" applyFill="1" applyBorder="1" applyAlignment="1" applyProtection="1">
      <alignment vertical="center"/>
      <protection locked="0"/>
    </xf>
    <xf numFmtId="0" fontId="1" fillId="4" borderId="53" xfId="0" applyFont="1" applyFill="1" applyBorder="1" applyAlignment="1" applyProtection="1">
      <alignment horizontal="center" vertical="center"/>
      <protection locked="0"/>
    </xf>
    <xf numFmtId="0" fontId="1" fillId="4" borderId="53" xfId="0" applyFont="1" applyFill="1" applyBorder="1" applyAlignment="1" applyProtection="1">
      <alignment vertical="center"/>
      <protection locked="0"/>
    </xf>
    <xf numFmtId="0" fontId="6" fillId="4" borderId="53" xfId="0" applyFont="1" applyFill="1" applyBorder="1" applyAlignment="1" applyProtection="1">
      <alignment vertical="center"/>
      <protection locked="0"/>
    </xf>
    <xf numFmtId="0" fontId="0" fillId="4" borderId="53" xfId="0" applyFill="1" applyBorder="1"/>
    <xf numFmtId="0" fontId="87" fillId="4" borderId="54" xfId="0" applyFont="1" applyFill="1" applyBorder="1" applyAlignment="1" applyProtection="1">
      <alignment vertical="center"/>
      <protection locked="0"/>
    </xf>
    <xf numFmtId="0" fontId="6" fillId="4" borderId="54" xfId="0" applyFont="1" applyFill="1" applyBorder="1" applyAlignment="1" applyProtection="1">
      <alignment vertical="center"/>
      <protection locked="0"/>
    </xf>
    <xf numFmtId="0" fontId="0" fillId="4" borderId="54" xfId="0" applyFill="1" applyBorder="1"/>
    <xf numFmtId="0" fontId="76" fillId="2" borderId="55" xfId="0" applyFont="1" applyFill="1" applyBorder="1" applyAlignment="1">
      <alignment horizontal="center"/>
    </xf>
    <xf numFmtId="0" fontId="0" fillId="2" borderId="56" xfId="0" applyFill="1" applyBorder="1"/>
    <xf numFmtId="0" fontId="76" fillId="2" borderId="58" xfId="0" applyFont="1" applyFill="1" applyBorder="1" applyAlignment="1">
      <alignment horizontal="center"/>
    </xf>
    <xf numFmtId="1" fontId="29" fillId="2" borderId="0" xfId="0" applyNumberFormat="1" applyFont="1" applyFill="1" applyAlignment="1">
      <alignment horizontal="center"/>
    </xf>
    <xf numFmtId="0" fontId="76" fillId="2" borderId="0" xfId="0" applyFont="1" applyFill="1" applyAlignment="1">
      <alignment horizontal="center" wrapText="1"/>
    </xf>
    <xf numFmtId="167" fontId="29" fillId="2" borderId="0" xfId="0" applyNumberFormat="1" applyFont="1" applyFill="1" applyAlignment="1">
      <alignment horizontal="center"/>
    </xf>
    <xf numFmtId="175" fontId="0" fillId="6" borderId="0" xfId="0" quotePrefix="1" applyNumberFormat="1" applyFill="1" applyAlignment="1">
      <alignment horizontal="center"/>
    </xf>
    <xf numFmtId="175" fontId="0" fillId="2" borderId="0" xfId="0" quotePrefix="1" applyNumberFormat="1" applyFill="1" applyAlignment="1">
      <alignment horizontal="center"/>
    </xf>
    <xf numFmtId="175" fontId="0" fillId="6" borderId="0" xfId="0" applyNumberFormat="1" applyFill="1" applyAlignment="1">
      <alignment horizontal="center"/>
    </xf>
    <xf numFmtId="0" fontId="29" fillId="2" borderId="58" xfId="0" applyFont="1" applyFill="1" applyBorder="1" applyAlignment="1">
      <alignment horizontal="center"/>
    </xf>
    <xf numFmtId="0" fontId="76" fillId="2" borderId="60" xfId="0" applyFont="1" applyFill="1" applyBorder="1" applyAlignment="1">
      <alignment horizontal="center"/>
    </xf>
    <xf numFmtId="0" fontId="89" fillId="2" borderId="0" xfId="0" applyFont="1" applyFill="1"/>
    <xf numFmtId="0" fontId="56" fillId="2" borderId="0" xfId="0" applyFont="1" applyFill="1" applyProtection="1">
      <protection locked="0"/>
    </xf>
    <xf numFmtId="0" fontId="6" fillId="2" borderId="0" xfId="0" applyFont="1" applyFill="1" applyProtection="1">
      <protection locked="0"/>
    </xf>
    <xf numFmtId="0" fontId="6" fillId="2" borderId="0" xfId="0" applyFont="1" applyFill="1" applyAlignment="1">
      <alignment vertical="center"/>
    </xf>
    <xf numFmtId="174" fontId="76" fillId="6" borderId="0" xfId="5" applyNumberFormat="1" applyFont="1" applyFill="1" applyAlignment="1" applyProtection="1">
      <alignment horizontal="center"/>
      <protection locked="0"/>
    </xf>
    <xf numFmtId="0" fontId="0" fillId="2" borderId="57" xfId="0" applyFill="1" applyBorder="1"/>
    <xf numFmtId="0" fontId="4" fillId="4" borderId="0" xfId="5" applyFont="1" applyFill="1" applyProtection="1">
      <protection locked="0"/>
    </xf>
    <xf numFmtId="0" fontId="85" fillId="4" borderId="0" xfId="5" applyFont="1" applyFill="1" applyProtection="1">
      <protection locked="0"/>
    </xf>
    <xf numFmtId="0" fontId="39" fillId="0" borderId="0" xfId="0" applyFont="1" applyAlignment="1">
      <alignment horizontal="right"/>
    </xf>
    <xf numFmtId="0" fontId="29" fillId="2" borderId="0" xfId="5" applyFont="1" applyFill="1" applyAlignment="1" applyProtection="1">
      <alignment horizontal="right"/>
      <protection locked="0"/>
    </xf>
    <xf numFmtId="2" fontId="91" fillId="0" borderId="15" xfId="0" applyNumberFormat="1" applyFont="1" applyBorder="1" applyAlignment="1">
      <alignment horizontal="center" vertical="center"/>
    </xf>
    <xf numFmtId="0" fontId="91" fillId="0" borderId="15" xfId="0" applyFont="1" applyBorder="1" applyAlignment="1">
      <alignment horizontal="center" vertical="center"/>
    </xf>
    <xf numFmtId="0" fontId="0" fillId="2" borderId="0" xfId="0" applyFill="1" applyAlignment="1">
      <alignment horizontal="center"/>
    </xf>
    <xf numFmtId="0" fontId="0" fillId="2" borderId="59" xfId="0" applyFill="1" applyBorder="1" applyAlignment="1">
      <alignment horizontal="center"/>
    </xf>
    <xf numFmtId="0" fontId="4" fillId="4" borderId="0" xfId="5" applyFont="1" applyFill="1" applyAlignment="1" applyProtection="1">
      <alignment horizontal="center"/>
      <protection locked="0"/>
    </xf>
    <xf numFmtId="175" fontId="0" fillId="0" borderId="0" xfId="0" applyNumberFormat="1" applyAlignment="1">
      <alignment horizontal="center"/>
    </xf>
    <xf numFmtId="175" fontId="0" fillId="2" borderId="0" xfId="0" applyNumberFormat="1" applyFill="1" applyAlignment="1">
      <alignment horizontal="center"/>
    </xf>
    <xf numFmtId="175" fontId="4" fillId="6" borderId="0" xfId="6" applyNumberFormat="1" applyFont="1" applyFill="1" applyBorder="1" applyAlignment="1" applyProtection="1">
      <alignment horizontal="center"/>
      <protection locked="0"/>
    </xf>
    <xf numFmtId="167" fontId="0" fillId="2" borderId="0" xfId="0" applyNumberFormat="1" applyFill="1" applyAlignment="1">
      <alignment horizontal="center"/>
    </xf>
    <xf numFmtId="175" fontId="4" fillId="6" borderId="0" xfId="5" applyNumberFormat="1" applyFont="1" applyFill="1" applyAlignment="1" applyProtection="1">
      <alignment horizontal="center"/>
      <protection locked="0"/>
    </xf>
    <xf numFmtId="167" fontId="0" fillId="2" borderId="54" xfId="0" applyNumberFormat="1" applyFill="1" applyBorder="1" applyAlignment="1">
      <alignment horizontal="center"/>
    </xf>
    <xf numFmtId="0" fontId="0" fillId="2" borderId="54" xfId="0" applyFill="1" applyBorder="1" applyAlignment="1">
      <alignment horizontal="center"/>
    </xf>
    <xf numFmtId="0" fontId="0" fillId="2" borderId="61" xfId="0" applyFill="1" applyBorder="1" applyAlignment="1">
      <alignment horizontal="center"/>
    </xf>
    <xf numFmtId="0" fontId="0" fillId="4" borderId="0" xfId="0" applyFill="1" applyAlignment="1">
      <alignment horizontal="center"/>
    </xf>
    <xf numFmtId="0" fontId="4" fillId="6" borderId="0" xfId="5" applyFont="1" applyFill="1" applyAlignment="1" applyProtection="1">
      <alignment horizontal="center"/>
      <protection locked="0"/>
    </xf>
    <xf numFmtId="0" fontId="65" fillId="0" borderId="0" xfId="0" applyFont="1" applyAlignment="1">
      <alignment vertical="center" wrapText="1"/>
    </xf>
    <xf numFmtId="0" fontId="7" fillId="2" borderId="0" xfId="0" applyFont="1" applyFill="1"/>
    <xf numFmtId="0" fontId="1" fillId="4" borderId="46" xfId="0" applyFont="1" applyFill="1" applyBorder="1" applyAlignment="1" applyProtection="1">
      <alignment horizontal="center" vertical="center"/>
      <protection locked="0"/>
    </xf>
    <xf numFmtId="0" fontId="1" fillId="4" borderId="46" xfId="0" applyFont="1" applyFill="1" applyBorder="1" applyAlignment="1" applyProtection="1">
      <alignment horizontal="center"/>
      <protection locked="0"/>
    </xf>
    <xf numFmtId="3" fontId="26" fillId="6" borderId="26" xfId="1" quotePrefix="1" applyNumberFormat="1" applyFont="1" applyFill="1" applyBorder="1" applyAlignment="1" applyProtection="1">
      <alignment horizontal="center" vertical="center"/>
      <protection locked="0"/>
    </xf>
    <xf numFmtId="3" fontId="36" fillId="6" borderId="15" xfId="1" applyNumberFormat="1" applyFont="1" applyFill="1" applyBorder="1" applyAlignment="1" applyProtection="1">
      <alignment horizontal="center" vertical="center"/>
      <protection locked="0"/>
    </xf>
    <xf numFmtId="2" fontId="8" fillId="4" borderId="15" xfId="0" applyNumberFormat="1" applyFont="1" applyFill="1" applyBorder="1" applyAlignment="1" applyProtection="1">
      <alignment horizontal="center" vertical="center"/>
      <protection locked="0"/>
    </xf>
    <xf numFmtId="10" fontId="26" fillId="4" borderId="15" xfId="1" applyNumberFormat="1" applyFont="1" applyFill="1" applyBorder="1" applyAlignment="1" applyProtection="1">
      <alignment horizontal="center" vertical="center"/>
      <protection locked="0"/>
    </xf>
    <xf numFmtId="3" fontId="1" fillId="0" borderId="10" xfId="0" applyNumberFormat="1" applyFont="1" applyBorder="1" applyAlignment="1">
      <alignment horizontal="center" vertical="center"/>
    </xf>
    <xf numFmtId="3" fontId="1" fillId="0" borderId="12" xfId="0" applyNumberFormat="1" applyFont="1" applyBorder="1" applyAlignment="1">
      <alignment horizontal="center" vertical="center"/>
    </xf>
    <xf numFmtId="5" fontId="1" fillId="0" borderId="11" xfId="0" applyNumberFormat="1" applyFont="1" applyBorder="1" applyAlignment="1">
      <alignment horizontal="center" vertical="center"/>
    </xf>
    <xf numFmtId="5" fontId="1" fillId="0" borderId="12" xfId="0" applyNumberFormat="1" applyFont="1" applyBorder="1" applyAlignment="1">
      <alignment horizontal="center" vertical="center"/>
    </xf>
    <xf numFmtId="172" fontId="26" fillId="0" borderId="0" xfId="1" applyNumberFormat="1" applyFont="1" applyFill="1" applyBorder="1" applyAlignment="1" applyProtection="1">
      <alignment horizontal="center" vertical="center"/>
    </xf>
    <xf numFmtId="0" fontId="11" fillId="4" borderId="15" xfId="0" applyFont="1" applyFill="1" applyBorder="1" applyAlignment="1" applyProtection="1">
      <alignment horizontal="center" vertical="center"/>
      <protection locked="0"/>
    </xf>
    <xf numFmtId="0" fontId="8" fillId="4" borderId="15" xfId="0" applyFont="1" applyFill="1" applyBorder="1" applyAlignment="1" applyProtection="1">
      <alignment horizontal="center" vertical="center"/>
      <protection locked="0"/>
    </xf>
    <xf numFmtId="0" fontId="8" fillId="6" borderId="15" xfId="0" applyFont="1" applyFill="1" applyBorder="1" applyAlignment="1">
      <alignment horizontal="left" vertical="center"/>
    </xf>
    <xf numFmtId="165" fontId="8" fillId="6" borderId="15" xfId="0" applyNumberFormat="1" applyFont="1" applyFill="1" applyBorder="1" applyAlignment="1">
      <alignment horizontal="center" vertical="center"/>
    </xf>
    <xf numFmtId="2" fontId="8" fillId="6" borderId="15" xfId="0" applyNumberFormat="1" applyFont="1" applyFill="1" applyBorder="1" applyAlignment="1">
      <alignment horizontal="center" vertical="center"/>
    </xf>
    <xf numFmtId="0" fontId="10" fillId="6" borderId="15" xfId="0" applyFont="1" applyFill="1" applyBorder="1" applyAlignment="1">
      <alignment horizontal="center" vertical="center"/>
    </xf>
    <xf numFmtId="166" fontId="10" fillId="6" borderId="15" xfId="0" applyNumberFormat="1" applyFont="1" applyFill="1" applyBorder="1" applyAlignment="1">
      <alignment horizontal="center" vertical="center"/>
    </xf>
    <xf numFmtId="165" fontId="10" fillId="6" borderId="15" xfId="0" applyNumberFormat="1" applyFont="1" applyFill="1" applyBorder="1" applyAlignment="1">
      <alignment horizontal="center" vertical="center"/>
    </xf>
    <xf numFmtId="175" fontId="8" fillId="6" borderId="15" xfId="0" applyNumberFormat="1" applyFont="1" applyFill="1" applyBorder="1" applyAlignment="1">
      <alignment horizontal="center" vertical="center"/>
    </xf>
    <xf numFmtId="0" fontId="8" fillId="6" borderId="15" xfId="0" applyFont="1" applyFill="1" applyBorder="1" applyAlignment="1">
      <alignment vertical="center"/>
    </xf>
    <xf numFmtId="0" fontId="90" fillId="4" borderId="0" xfId="0" applyFont="1" applyFill="1" applyAlignment="1" applyProtection="1">
      <alignment horizontal="center" vertical="center"/>
      <protection locked="0"/>
    </xf>
    <xf numFmtId="0" fontId="42" fillId="5" borderId="0" xfId="0" applyFont="1" applyFill="1" applyAlignment="1">
      <alignment vertical="center"/>
    </xf>
    <xf numFmtId="166" fontId="92" fillId="0" borderId="0" xfId="0" applyNumberFormat="1" applyFont="1" applyAlignment="1" applyProtection="1">
      <alignment horizontal="center" vertical="center"/>
      <protection locked="0"/>
    </xf>
    <xf numFmtId="0" fontId="9" fillId="0" borderId="0" xfId="0" applyFont="1" applyProtection="1">
      <protection locked="0"/>
    </xf>
    <xf numFmtId="0" fontId="23" fillId="0" borderId="0" xfId="0" applyFont="1" applyAlignment="1">
      <alignment horizontal="center"/>
    </xf>
    <xf numFmtId="0" fontId="65" fillId="0" borderId="0" xfId="0" applyFont="1" applyAlignment="1">
      <alignment horizontal="center" vertical="center" wrapText="1"/>
    </xf>
    <xf numFmtId="0" fontId="29" fillId="0" borderId="0" xfId="0" applyFont="1" applyAlignment="1">
      <alignment horizontal="right" vertical="top" wrapText="1"/>
    </xf>
    <xf numFmtId="0" fontId="27" fillId="0" borderId="35" xfId="0" applyFont="1" applyBorder="1" applyAlignment="1">
      <alignment horizontal="left" vertical="center" wrapText="1"/>
    </xf>
    <xf numFmtId="0" fontId="27" fillId="0" borderId="0" xfId="0" applyFont="1" applyAlignment="1">
      <alignment horizontal="left" vertical="center" wrapText="1"/>
    </xf>
    <xf numFmtId="0" fontId="27" fillId="0" borderId="0" xfId="0" applyFont="1" applyAlignment="1">
      <alignment horizontal="left" vertical="top" wrapText="1"/>
    </xf>
    <xf numFmtId="0" fontId="67" fillId="0" borderId="35" xfId="0" applyFont="1" applyBorder="1" applyAlignment="1">
      <alignment horizontal="left" vertical="top" wrapText="1"/>
    </xf>
    <xf numFmtId="0" fontId="66" fillId="0" borderId="0" xfId="0" applyFont="1" applyAlignment="1">
      <alignment horizontal="right" textRotation="90" wrapText="1"/>
    </xf>
    <xf numFmtId="0" fontId="66" fillId="0" borderId="0" xfId="0" applyFont="1" applyAlignment="1">
      <alignment horizontal="right" vertical="center" textRotation="90" wrapText="1"/>
    </xf>
    <xf numFmtId="3" fontId="26" fillId="4" borderId="15" xfId="1" applyNumberFormat="1" applyFont="1" applyFill="1" applyBorder="1" applyAlignment="1" applyProtection="1">
      <alignment horizontal="center" vertical="center"/>
      <protection locked="0"/>
    </xf>
    <xf numFmtId="0" fontId="14" fillId="7" borderId="25" xfId="0" applyFont="1" applyFill="1" applyBorder="1" applyAlignment="1">
      <alignment horizontal="center"/>
    </xf>
    <xf numFmtId="0" fontId="14" fillId="7" borderId="0" xfId="0" applyFont="1" applyFill="1" applyAlignment="1">
      <alignment horizontal="center"/>
    </xf>
    <xf numFmtId="0" fontId="23" fillId="0" borderId="0" xfId="0" applyFont="1" applyAlignment="1">
      <alignment horizontal="right" vertical="center" wrapText="1"/>
    </xf>
    <xf numFmtId="0" fontId="1" fillId="4" borderId="23" xfId="0" applyFont="1" applyFill="1" applyBorder="1" applyAlignment="1" applyProtection="1">
      <alignment horizontal="center"/>
      <protection locked="0"/>
    </xf>
    <xf numFmtId="0" fontId="1" fillId="4" borderId="24" xfId="0" applyFont="1" applyFill="1" applyBorder="1" applyAlignment="1" applyProtection="1">
      <alignment horizontal="center"/>
      <protection locked="0"/>
    </xf>
    <xf numFmtId="0" fontId="26" fillId="4" borderId="17" xfId="4" applyFont="1" applyBorder="1" applyAlignment="1" applyProtection="1">
      <alignment horizontal="center" vertical="center"/>
      <protection locked="0"/>
    </xf>
    <xf numFmtId="0" fontId="26" fillId="4" borderId="18" xfId="4" applyFont="1" applyBorder="1" applyAlignment="1" applyProtection="1">
      <alignment horizontal="center" vertical="center"/>
      <protection locked="0"/>
    </xf>
    <xf numFmtId="0" fontId="26" fillId="4" borderId="19" xfId="4" applyFont="1" applyBorder="1" applyAlignment="1" applyProtection="1">
      <alignment horizontal="center" vertical="center"/>
      <protection locked="0"/>
    </xf>
    <xf numFmtId="0" fontId="30" fillId="0" borderId="16" xfId="0" applyFont="1" applyBorder="1" applyAlignment="1">
      <alignment horizontal="center" vertical="top" wrapText="1"/>
    </xf>
    <xf numFmtId="0" fontId="30" fillId="0" borderId="0" xfId="0" applyFont="1" applyAlignment="1">
      <alignment horizontal="center" vertical="top" wrapText="1"/>
    </xf>
    <xf numFmtId="0" fontId="14" fillId="7" borderId="27" xfId="0" applyFont="1" applyFill="1" applyBorder="1" applyAlignment="1">
      <alignment horizontal="center" vertical="center"/>
    </xf>
    <xf numFmtId="0" fontId="14" fillId="7" borderId="32" xfId="0" applyFont="1" applyFill="1" applyBorder="1" applyAlignment="1">
      <alignment horizontal="center" vertical="center"/>
    </xf>
    <xf numFmtId="0" fontId="23" fillId="0" borderId="0" xfId="0" applyFont="1" applyAlignment="1">
      <alignment horizontal="right" wrapText="1"/>
    </xf>
    <xf numFmtId="0" fontId="14" fillId="5" borderId="0" xfId="0" applyFont="1" applyFill="1" applyAlignment="1" applyProtection="1">
      <alignment horizontal="center" vertical="center"/>
      <protection locked="0"/>
    </xf>
    <xf numFmtId="0" fontId="14" fillId="5" borderId="40" xfId="0" applyFont="1" applyFill="1" applyBorder="1" applyAlignment="1" applyProtection="1">
      <alignment horizontal="center" vertical="center"/>
      <protection locked="0"/>
    </xf>
    <xf numFmtId="0" fontId="14" fillId="7" borderId="0" xfId="0" applyFont="1" applyFill="1" applyAlignment="1" applyProtection="1">
      <alignment horizontal="center" vertical="center" wrapText="1"/>
      <protection locked="0"/>
    </xf>
    <xf numFmtId="0" fontId="14" fillId="7" borderId="29" xfId="0" applyFont="1" applyFill="1" applyBorder="1" applyAlignment="1" applyProtection="1">
      <alignment horizontal="center" vertical="center" wrapText="1"/>
      <protection locked="0"/>
    </xf>
    <xf numFmtId="0" fontId="14" fillId="7" borderId="40" xfId="0" applyFont="1" applyFill="1" applyBorder="1" applyAlignment="1" applyProtection="1">
      <alignment horizontal="center" vertical="center" wrapText="1"/>
      <protection locked="0"/>
    </xf>
    <xf numFmtId="0" fontId="14" fillId="7" borderId="41" xfId="0" applyFont="1" applyFill="1" applyBorder="1" applyAlignment="1" applyProtection="1">
      <alignment horizontal="center" vertical="center" wrapText="1"/>
      <protection locked="0"/>
    </xf>
    <xf numFmtId="0" fontId="26" fillId="6" borderId="15" xfId="4" applyFont="1" applyFill="1" applyAlignment="1" applyProtection="1">
      <alignment horizontal="center" vertical="center"/>
      <protection locked="0"/>
    </xf>
    <xf numFmtId="0" fontId="26" fillId="4" borderId="15" xfId="4" applyFont="1" applyAlignment="1" applyProtection="1">
      <alignment horizontal="center" vertical="center"/>
      <protection locked="0"/>
    </xf>
    <xf numFmtId="0" fontId="26" fillId="4" borderId="23" xfId="4" applyFont="1" applyBorder="1" applyAlignment="1" applyProtection="1">
      <alignment horizontal="center" vertical="center"/>
      <protection locked="0"/>
    </xf>
    <xf numFmtId="0" fontId="26" fillId="4" borderId="24" xfId="4" applyFont="1" applyBorder="1" applyAlignment="1" applyProtection="1">
      <alignment horizontal="center" vertical="center"/>
      <protection locked="0"/>
    </xf>
    <xf numFmtId="0" fontId="14" fillId="12" borderId="21" xfId="0" applyFont="1" applyFill="1" applyBorder="1" applyAlignment="1" applyProtection="1">
      <alignment horizontal="center"/>
      <protection locked="0"/>
    </xf>
    <xf numFmtId="0" fontId="14" fillId="12" borderId="22" xfId="0" applyFont="1" applyFill="1" applyBorder="1" applyAlignment="1" applyProtection="1">
      <alignment horizontal="center"/>
      <protection locked="0"/>
    </xf>
    <xf numFmtId="0" fontId="26" fillId="4" borderId="62" xfId="4" applyFont="1" applyBorder="1" applyAlignment="1" applyProtection="1">
      <alignment horizontal="center" vertical="center"/>
      <protection locked="0"/>
    </xf>
    <xf numFmtId="0" fontId="26" fillId="4" borderId="63" xfId="4" applyFont="1" applyBorder="1" applyAlignment="1" applyProtection="1">
      <alignment horizontal="center" vertical="center"/>
      <protection locked="0"/>
    </xf>
    <xf numFmtId="0" fontId="14" fillId="12" borderId="39" xfId="0" applyFont="1" applyFill="1" applyBorder="1" applyAlignment="1" applyProtection="1">
      <alignment horizontal="center" vertical="center" wrapText="1"/>
      <protection locked="0"/>
    </xf>
    <xf numFmtId="0" fontId="14" fillId="12" borderId="40" xfId="0" applyFont="1" applyFill="1" applyBorder="1" applyAlignment="1" applyProtection="1">
      <alignment horizontal="center" vertical="center" wrapText="1"/>
      <protection locked="0"/>
    </xf>
    <xf numFmtId="0" fontId="14" fillId="11" borderId="21" xfId="0" applyFont="1" applyFill="1" applyBorder="1" applyAlignment="1" applyProtection="1">
      <alignment horizontal="center"/>
      <protection locked="0"/>
    </xf>
    <xf numFmtId="0" fontId="14" fillId="11" borderId="22" xfId="0" applyFont="1" applyFill="1" applyBorder="1" applyAlignment="1" applyProtection="1">
      <alignment horizontal="center"/>
      <protection locked="0"/>
    </xf>
    <xf numFmtId="0" fontId="14" fillId="11" borderId="39" xfId="0" applyFont="1" applyFill="1" applyBorder="1" applyAlignment="1" applyProtection="1">
      <alignment horizontal="center" vertical="center" wrapText="1"/>
      <protection locked="0"/>
    </xf>
    <xf numFmtId="0" fontId="14" fillId="11" borderId="40" xfId="0" applyFont="1" applyFill="1" applyBorder="1" applyAlignment="1" applyProtection="1">
      <alignment horizontal="center" vertical="center" wrapText="1"/>
      <protection locked="0"/>
    </xf>
    <xf numFmtId="0" fontId="23" fillId="0" borderId="0" xfId="0" applyFont="1" applyAlignment="1">
      <alignment horizontal="left" vertical="top" wrapText="1"/>
    </xf>
    <xf numFmtId="0" fontId="14" fillId="7" borderId="29" xfId="0" applyFont="1" applyFill="1" applyBorder="1" applyAlignment="1">
      <alignment horizontal="center" vertical="center" wrapText="1"/>
    </xf>
    <xf numFmtId="0" fontId="14" fillId="7" borderId="34" xfId="0" applyFont="1" applyFill="1" applyBorder="1" applyAlignment="1">
      <alignment horizontal="center" vertical="center" wrapText="1"/>
    </xf>
    <xf numFmtId="0" fontId="1" fillId="0" borderId="23" xfId="0" applyFont="1" applyBorder="1" applyAlignment="1">
      <alignment horizontal="center"/>
    </xf>
    <xf numFmtId="0" fontId="1" fillId="0" borderId="24" xfId="0" applyFont="1" applyBorder="1" applyAlignment="1">
      <alignment horizontal="center"/>
    </xf>
    <xf numFmtId="0" fontId="29" fillId="0" borderId="3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0" xfId="0" applyFont="1" applyAlignment="1">
      <alignment horizontal="center" vertical="center" wrapText="1"/>
    </xf>
    <xf numFmtId="0" fontId="29" fillId="0" borderId="36" xfId="0" applyFont="1" applyBorder="1" applyAlignment="1">
      <alignment horizontal="center" vertical="center" wrapText="1"/>
    </xf>
    <xf numFmtId="0" fontId="14" fillId="7" borderId="35" xfId="0" applyFont="1" applyFill="1" applyBorder="1" applyAlignment="1">
      <alignment horizontal="center" vertical="center" wrapText="1"/>
    </xf>
    <xf numFmtId="0" fontId="14" fillId="7" borderId="36" xfId="0" applyFont="1" applyFill="1" applyBorder="1" applyAlignment="1">
      <alignment horizontal="center" vertical="center" wrapText="1"/>
    </xf>
    <xf numFmtId="2" fontId="26" fillId="4" borderId="23" xfId="1" applyNumberFormat="1" applyFont="1" applyFill="1" applyBorder="1" applyAlignment="1" applyProtection="1">
      <alignment horizontal="center" vertical="center"/>
      <protection locked="0"/>
    </xf>
    <xf numFmtId="2" fontId="26" fillId="4" borderId="24" xfId="1" applyNumberFormat="1" applyFont="1" applyFill="1" applyBorder="1" applyAlignment="1" applyProtection="1">
      <alignment horizontal="center" vertical="center"/>
      <protection locked="0"/>
    </xf>
    <xf numFmtId="0" fontId="14" fillId="7" borderId="21" xfId="0" applyFont="1" applyFill="1" applyBorder="1" applyAlignment="1">
      <alignment horizontal="center" vertical="center" wrapText="1"/>
    </xf>
    <xf numFmtId="0" fontId="14" fillId="7" borderId="22" xfId="0" applyFont="1" applyFill="1" applyBorder="1" applyAlignment="1">
      <alignment horizontal="center" vertical="center" wrapText="1"/>
    </xf>
    <xf numFmtId="0" fontId="23" fillId="0" borderId="0" xfId="0" applyFont="1" applyAlignment="1">
      <alignment horizontal="right" vertical="top" wrapText="1"/>
    </xf>
    <xf numFmtId="0" fontId="26" fillId="4" borderId="26" xfId="4" applyFont="1" applyBorder="1" applyAlignment="1" applyProtection="1">
      <alignment horizontal="center" vertical="center"/>
      <protection locked="0"/>
    </xf>
    <xf numFmtId="0" fontId="14" fillId="7" borderId="0" xfId="0" applyFont="1" applyFill="1" applyAlignment="1">
      <alignment horizontal="center" vertical="center" wrapText="1"/>
    </xf>
    <xf numFmtId="0" fontId="14" fillId="7" borderId="32" xfId="0" applyFont="1" applyFill="1" applyBorder="1" applyAlignment="1">
      <alignment horizontal="center" vertical="center" wrapText="1"/>
    </xf>
    <xf numFmtId="0" fontId="14" fillId="7" borderId="27" xfId="0" applyFont="1" applyFill="1" applyBorder="1" applyAlignment="1">
      <alignment horizontal="center" vertical="center" wrapText="1"/>
    </xf>
    <xf numFmtId="0" fontId="1" fillId="0" borderId="15" xfId="0" applyFont="1" applyBorder="1" applyAlignment="1">
      <alignment horizontal="center"/>
    </xf>
    <xf numFmtId="0" fontId="14" fillId="7" borderId="21" xfId="0" applyFont="1" applyFill="1" applyBorder="1" applyAlignment="1" applyProtection="1">
      <alignment horizontal="center" vertical="center" wrapText="1"/>
      <protection locked="0"/>
    </xf>
    <xf numFmtId="0" fontId="14" fillId="7" borderId="22" xfId="0" applyFont="1" applyFill="1" applyBorder="1" applyAlignment="1" applyProtection="1">
      <alignment horizontal="center" vertical="center" wrapText="1"/>
      <protection locked="0"/>
    </xf>
    <xf numFmtId="0" fontId="14" fillId="7" borderId="32" xfId="0" applyFont="1" applyFill="1" applyBorder="1" applyAlignment="1" applyProtection="1">
      <alignment horizontal="center" vertical="center" wrapText="1"/>
      <protection locked="0"/>
    </xf>
    <xf numFmtId="0" fontId="14" fillId="7" borderId="27" xfId="0" applyFont="1" applyFill="1" applyBorder="1" applyAlignment="1" applyProtection="1">
      <alignment horizontal="center" vertical="center" wrapText="1"/>
      <protection locked="0"/>
    </xf>
    <xf numFmtId="0" fontId="14" fillId="7" borderId="33"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0" xfId="0" applyFont="1" applyFill="1" applyBorder="1" applyAlignment="1">
      <alignment horizontal="center"/>
    </xf>
    <xf numFmtId="0" fontId="14" fillId="7" borderId="31" xfId="0" applyFont="1" applyFill="1" applyBorder="1" applyAlignment="1">
      <alignment horizontal="center"/>
    </xf>
    <xf numFmtId="0" fontId="29" fillId="0" borderId="0" xfId="0" applyFont="1" applyAlignment="1">
      <alignment horizontal="left" vertical="center" wrapText="1"/>
    </xf>
    <xf numFmtId="0" fontId="29" fillId="0" borderId="32" xfId="0" applyFont="1" applyBorder="1" applyAlignment="1">
      <alignment horizontal="left" vertical="center" wrapText="1"/>
    </xf>
    <xf numFmtId="0" fontId="43" fillId="2" borderId="52" xfId="0" applyFont="1" applyFill="1" applyBorder="1" applyAlignment="1">
      <alignment horizontal="left" vertical="top" wrapText="1"/>
    </xf>
    <xf numFmtId="0" fontId="43" fillId="2" borderId="0" xfId="0" applyFont="1" applyFill="1" applyAlignment="1">
      <alignment horizontal="left" vertical="top" wrapText="1"/>
    </xf>
    <xf numFmtId="0" fontId="14" fillId="7" borderId="48" xfId="0" applyFont="1" applyFill="1" applyBorder="1" applyAlignment="1">
      <alignment horizontal="center" vertical="center"/>
    </xf>
    <xf numFmtId="0" fontId="14" fillId="7" borderId="49"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48" xfId="0" applyFont="1" applyFill="1" applyBorder="1" applyAlignment="1">
      <alignment horizontal="center"/>
    </xf>
    <xf numFmtId="0" fontId="14" fillId="7" borderId="49" xfId="0" applyFont="1" applyFill="1" applyBorder="1" applyAlignment="1">
      <alignment horizontal="center"/>
    </xf>
    <xf numFmtId="0" fontId="14" fillId="7" borderId="50" xfId="0" applyFont="1" applyFill="1" applyBorder="1" applyAlignment="1">
      <alignment horizontal="center"/>
    </xf>
    <xf numFmtId="0" fontId="9" fillId="0" borderId="0" xfId="0" applyFont="1" applyAlignment="1">
      <alignment horizontal="center" wrapText="1"/>
    </xf>
    <xf numFmtId="0" fontId="1" fillId="0" borderId="0" xfId="0" applyFont="1" applyAlignment="1">
      <alignment horizontal="center"/>
    </xf>
    <xf numFmtId="0" fontId="14" fillId="7" borderId="0" xfId="0" applyFont="1" applyFill="1" applyAlignment="1">
      <alignment horizontal="right"/>
    </xf>
    <xf numFmtId="0" fontId="14" fillId="7" borderId="29" xfId="0" applyFont="1" applyFill="1" applyBorder="1" applyAlignment="1">
      <alignment horizontal="right"/>
    </xf>
    <xf numFmtId="0" fontId="9" fillId="0" borderId="0" xfId="0" applyFont="1" applyAlignment="1" applyProtection="1">
      <alignment horizontal="center" wrapText="1"/>
      <protection locked="0"/>
    </xf>
    <xf numFmtId="0" fontId="65" fillId="2" borderId="0" xfId="0" applyFont="1" applyFill="1" applyAlignment="1">
      <alignment horizontal="center" vertical="center" wrapText="1"/>
    </xf>
    <xf numFmtId="0" fontId="23" fillId="2" borderId="0" xfId="0" applyFont="1" applyFill="1" applyAlignment="1">
      <alignment horizontal="center"/>
    </xf>
    <xf numFmtId="167" fontId="29" fillId="2" borderId="56" xfId="0" applyNumberFormat="1" applyFont="1" applyFill="1" applyBorder="1" applyAlignment="1">
      <alignment horizontal="center"/>
    </xf>
    <xf numFmtId="0" fontId="29" fillId="2" borderId="56" xfId="0" applyFont="1" applyFill="1" applyBorder="1" applyAlignment="1">
      <alignment horizontal="center"/>
    </xf>
    <xf numFmtId="0" fontId="14" fillId="7" borderId="16" xfId="0" applyFont="1" applyFill="1" applyBorder="1" applyAlignment="1">
      <alignment horizontal="center" vertical="center" wrapText="1"/>
    </xf>
    <xf numFmtId="0" fontId="14" fillId="7" borderId="23" xfId="0" applyFont="1" applyFill="1" applyBorder="1" applyAlignment="1">
      <alignment horizontal="center" vertical="center" wrapText="1"/>
    </xf>
    <xf numFmtId="0" fontId="14" fillId="7" borderId="26" xfId="0" applyFont="1" applyFill="1" applyBorder="1" applyAlignment="1">
      <alignment horizontal="center" vertical="center" wrapText="1"/>
    </xf>
    <xf numFmtId="0" fontId="14" fillId="7" borderId="24" xfId="0" applyFont="1" applyFill="1" applyBorder="1" applyAlignment="1">
      <alignment horizontal="center" vertical="center" wrapText="1"/>
    </xf>
    <xf numFmtId="0" fontId="44" fillId="0" borderId="0" xfId="0" applyFont="1" applyAlignment="1">
      <alignment horizontal="center" vertical="center"/>
    </xf>
    <xf numFmtId="0" fontId="51" fillId="8" borderId="0" xfId="0" applyFont="1" applyFill="1" applyAlignment="1" applyProtection="1">
      <alignment horizontal="center" vertical="center"/>
      <protection locked="0"/>
    </xf>
    <xf numFmtId="0" fontId="14" fillId="5" borderId="2" xfId="0" applyFont="1" applyFill="1" applyBorder="1" applyAlignment="1">
      <alignment horizontal="center" vertical="center"/>
    </xf>
    <xf numFmtId="0" fontId="14" fillId="5" borderId="3" xfId="0" applyFont="1" applyFill="1" applyBorder="1" applyAlignment="1">
      <alignment horizontal="center" vertical="center"/>
    </xf>
    <xf numFmtId="0" fontId="14" fillId="5" borderId="4" xfId="0" applyFont="1" applyFill="1" applyBorder="1" applyAlignment="1">
      <alignment horizontal="center" vertical="center"/>
    </xf>
    <xf numFmtId="3" fontId="14" fillId="5" borderId="2" xfId="0" applyNumberFormat="1" applyFont="1" applyFill="1" applyBorder="1" applyAlignment="1">
      <alignment horizontal="center" vertical="center"/>
    </xf>
    <xf numFmtId="3" fontId="14" fillId="5" borderId="3" xfId="0" applyNumberFormat="1" applyFont="1" applyFill="1" applyBorder="1" applyAlignment="1">
      <alignment horizontal="center" vertical="center"/>
    </xf>
    <xf numFmtId="3" fontId="14" fillId="5" borderId="4" xfId="0" applyNumberFormat="1" applyFont="1" applyFill="1" applyBorder="1" applyAlignment="1">
      <alignment horizontal="center" vertical="center"/>
    </xf>
    <xf numFmtId="3" fontId="25" fillId="0" borderId="7" xfId="0" applyNumberFormat="1" applyFont="1" applyBorder="1" applyAlignment="1">
      <alignment horizontal="center" vertical="center" textRotation="180"/>
    </xf>
    <xf numFmtId="3" fontId="25" fillId="0" borderId="9" xfId="0" applyNumberFormat="1" applyFont="1" applyBorder="1" applyAlignment="1">
      <alignment horizontal="center" vertical="center" textRotation="180"/>
    </xf>
    <xf numFmtId="3" fontId="25" fillId="0" borderId="12" xfId="0" applyNumberFormat="1" applyFont="1" applyBorder="1" applyAlignment="1">
      <alignment horizontal="center" vertical="center" textRotation="180"/>
    </xf>
    <xf numFmtId="0" fontId="14" fillId="8" borderId="0" xfId="0" applyFont="1" applyFill="1" applyAlignment="1">
      <alignment horizontal="center"/>
    </xf>
  </cellXfs>
  <cellStyles count="7">
    <cellStyle name="Cálculo" xfId="3" builtinId="22"/>
    <cellStyle name="Entrada" xfId="4" builtinId="20" customBuiltin="1"/>
    <cellStyle name="Normal" xfId="0" builtinId="0"/>
    <cellStyle name="Normal 5" xfId="5" xr:uid="{46FD9549-BD3B-45D1-9D2E-5A3363463DD1}"/>
    <cellStyle name="Porcentagem" xfId="1" builtinId="5"/>
    <cellStyle name="Vírgula" xfId="2" builtinId="3"/>
    <cellStyle name="Vírgula 4" xfId="6" xr:uid="{2E58E311-254D-4A8A-9ED6-CCD312F23488}"/>
  </cellStyles>
  <dxfs count="103">
    <dxf>
      <font>
        <color theme="0"/>
      </font>
      <fill>
        <patternFill patternType="solid">
          <fgColor theme="0"/>
          <bgColor theme="0"/>
        </patternFill>
      </fill>
      <border>
        <left/>
        <right/>
        <top/>
        <bottom/>
        <vertical/>
        <horizontal/>
      </border>
    </dxf>
    <dxf>
      <fill>
        <patternFill>
          <bgColor theme="5"/>
        </patternFill>
      </fill>
    </dxf>
    <dxf>
      <fill>
        <patternFill>
          <bgColor theme="5"/>
        </patternFill>
      </fill>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u val="none"/>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u val="none"/>
        <color theme="0"/>
      </font>
      <fill>
        <patternFill>
          <fgColor theme="0"/>
          <bgColor theme="0"/>
        </patternFill>
      </fill>
      <border>
        <left/>
        <right/>
        <top/>
        <bottom/>
      </border>
    </dxf>
    <dxf>
      <fill>
        <patternFill>
          <bgColor theme="5"/>
        </patternFill>
      </fill>
    </dxf>
    <dxf>
      <fill>
        <patternFill>
          <bgColor theme="5"/>
        </patternFill>
      </fill>
    </dxf>
    <dxf>
      <fill>
        <patternFill>
          <bgColor theme="5"/>
        </patternFill>
      </fill>
    </dxf>
    <dxf>
      <fill>
        <patternFill>
          <bgColor theme="5"/>
        </patternFill>
      </fill>
    </dxf>
    <dxf>
      <font>
        <color theme="0"/>
      </font>
      <fill>
        <patternFill patternType="solid">
          <fgColor theme="0"/>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0006"/>
      </font>
    </dxf>
    <dxf>
      <font>
        <color rgb="FF9C0006"/>
      </font>
    </dxf>
    <dxf>
      <font>
        <color rgb="FF9C0006"/>
      </font>
    </dxf>
    <dxf>
      <font>
        <color rgb="FF9C0006"/>
      </font>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F8F1DF"/>
      <color rgb="FF726C5A"/>
      <color rgb="FF0EB1BA"/>
      <color rgb="FFDDCFAD"/>
      <color rgb="FF5D7646"/>
      <color rgb="FF686A1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the Current Scenario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share'!$B$26</c:f>
              <c:strCache>
                <c:ptCount val="1"/>
                <c:pt idx="0">
                  <c:v>Atorvastatin 10mg</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share'!$C$26:$G$26</c:f>
              <c:numCache>
                <c:formatCode>0.00%</c:formatCode>
                <c:ptCount val="5"/>
                <c:pt idx="0">
                  <c:v>1.9239918684646976E-2</c:v>
                </c:pt>
                <c:pt idx="1">
                  <c:v>1.9239918684646976E-2</c:v>
                </c:pt>
                <c:pt idx="2">
                  <c:v>1.9239918684646976E-2</c:v>
                </c:pt>
                <c:pt idx="3">
                  <c:v>1.9239918684646976E-2</c:v>
                </c:pt>
                <c:pt idx="4">
                  <c:v>1.9239918684646976E-2</c:v>
                </c:pt>
              </c:numCache>
            </c:numRef>
          </c:val>
          <c:extLst>
            <c:ext xmlns:c16="http://schemas.microsoft.com/office/drawing/2014/chart" uri="{C3380CC4-5D6E-409C-BE32-E72D297353CC}">
              <c16:uniqueId val="{00000000-B073-46E8-A659-581580C2DFAC}"/>
            </c:ext>
          </c:extLst>
        </c:ser>
        <c:ser>
          <c:idx val="1"/>
          <c:order val="1"/>
          <c:tx>
            <c:strRef>
              <c:f>'Mkt share'!$B$27</c:f>
              <c:strCache>
                <c:ptCount val="1"/>
                <c:pt idx="0">
                  <c:v>Atorvastatin 20mg</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share'!$C$27:$G$27</c:f>
              <c:numCache>
                <c:formatCode>0.00%</c:formatCode>
                <c:ptCount val="5"/>
                <c:pt idx="0">
                  <c:v>9.6501775051201194E-2</c:v>
                </c:pt>
                <c:pt idx="1">
                  <c:v>9.6501775051201194E-2</c:v>
                </c:pt>
                <c:pt idx="2">
                  <c:v>9.6501775051201194E-2</c:v>
                </c:pt>
                <c:pt idx="3">
                  <c:v>9.6501775051201194E-2</c:v>
                </c:pt>
                <c:pt idx="4">
                  <c:v>9.6501775051201194E-2</c:v>
                </c:pt>
              </c:numCache>
            </c:numRef>
          </c:val>
          <c:extLst>
            <c:ext xmlns:c16="http://schemas.microsoft.com/office/drawing/2014/chart" uri="{C3380CC4-5D6E-409C-BE32-E72D297353CC}">
              <c16:uniqueId val="{00000001-B073-46E8-A659-581580C2DFAC}"/>
            </c:ext>
          </c:extLst>
        </c:ser>
        <c:ser>
          <c:idx val="2"/>
          <c:order val="2"/>
          <c:tx>
            <c:strRef>
              <c:f>'Mkt share'!$B$28</c:f>
              <c:strCache>
                <c:ptCount val="1"/>
                <c:pt idx="0">
                  <c:v>Atorvastatin 40mg</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share'!$C$28:$G$28</c:f>
              <c:numCache>
                <c:formatCode>0.00%</c:formatCode>
                <c:ptCount val="5"/>
                <c:pt idx="0">
                  <c:v>0.10626468855397952</c:v>
                </c:pt>
                <c:pt idx="1">
                  <c:v>0.10626468855397952</c:v>
                </c:pt>
                <c:pt idx="2">
                  <c:v>0.10626468855397952</c:v>
                </c:pt>
                <c:pt idx="3">
                  <c:v>0.10626468855397952</c:v>
                </c:pt>
                <c:pt idx="4">
                  <c:v>0.10626468855397952</c:v>
                </c:pt>
              </c:numCache>
              <c:extLst xmlns:c15="http://schemas.microsoft.com/office/drawing/2012/chart"/>
            </c:numRef>
          </c:val>
          <c:extLst xmlns:c15="http://schemas.microsoft.com/office/drawing/2012/chart">
            <c:ext xmlns:c16="http://schemas.microsoft.com/office/drawing/2014/chart" uri="{C3380CC4-5D6E-409C-BE32-E72D297353CC}">
              <c16:uniqueId val="{00000002-B073-46E8-A659-581580C2DFAC}"/>
            </c:ext>
          </c:extLst>
        </c:ser>
        <c:ser>
          <c:idx val="3"/>
          <c:order val="3"/>
          <c:tx>
            <c:strRef>
              <c:f>'Mkt share'!$B$29</c:f>
              <c:strCache>
                <c:ptCount val="1"/>
                <c:pt idx="0">
                  <c:v>Atorvastatin 80mg</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share'!$C$29:$G$29</c:f>
              <c:numCache>
                <c:formatCode>0.00%</c:formatCode>
                <c:ptCount val="5"/>
                <c:pt idx="0">
                  <c:v>1.8986571033393667E-2</c:v>
                </c:pt>
                <c:pt idx="1">
                  <c:v>1.8986571033393667E-2</c:v>
                </c:pt>
                <c:pt idx="2">
                  <c:v>1.8986571033393667E-2</c:v>
                </c:pt>
                <c:pt idx="3">
                  <c:v>1.8986571033393667E-2</c:v>
                </c:pt>
                <c:pt idx="4">
                  <c:v>1.8986571033393667E-2</c:v>
                </c:pt>
              </c:numCache>
              <c:extLst xmlns:c15="http://schemas.microsoft.com/office/drawing/2012/chart"/>
            </c:numRef>
          </c:val>
          <c:extLst xmlns:c15="http://schemas.microsoft.com/office/drawing/2012/chart">
            <c:ext xmlns:c16="http://schemas.microsoft.com/office/drawing/2014/chart" uri="{C3380CC4-5D6E-409C-BE32-E72D297353CC}">
              <c16:uniqueId val="{00000003-B073-46E8-A659-581580C2DFAC}"/>
            </c:ext>
          </c:extLst>
        </c:ser>
        <c:ser>
          <c:idx val="4"/>
          <c:order val="4"/>
          <c:tx>
            <c:strRef>
              <c:f>'Mkt share'!$B$30</c:f>
              <c:strCache>
                <c:ptCount val="1"/>
                <c:pt idx="0">
                  <c:v>Pravastatin</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share'!$C$30:$G$30</c:f>
              <c:numCache>
                <c:formatCode>0.00%</c:formatCode>
                <c:ptCount val="5"/>
                <c:pt idx="0">
                  <c:v>1.8381789123068847E-4</c:v>
                </c:pt>
                <c:pt idx="1">
                  <c:v>1.8381789123068847E-4</c:v>
                </c:pt>
                <c:pt idx="2">
                  <c:v>1.8381789123068847E-4</c:v>
                </c:pt>
                <c:pt idx="3">
                  <c:v>1.8381789123068847E-4</c:v>
                </c:pt>
                <c:pt idx="4">
                  <c:v>1.8381789123068847E-4</c:v>
                </c:pt>
              </c:numCache>
              <c:extLst xmlns:c15="http://schemas.microsoft.com/office/drawing/2012/chart"/>
            </c:numRef>
          </c:val>
          <c:extLst xmlns:c15="http://schemas.microsoft.com/office/drawing/2012/chart">
            <c:ext xmlns:c16="http://schemas.microsoft.com/office/drawing/2014/chart" uri="{C3380CC4-5D6E-409C-BE32-E72D297353CC}">
              <c16:uniqueId val="{00000004-B073-46E8-A659-581580C2DFAC}"/>
            </c:ext>
          </c:extLst>
        </c:ser>
        <c:ser>
          <c:idx val="5"/>
          <c:order val="5"/>
          <c:tx>
            <c:strRef>
              <c:f>'Mkt share'!$B$31</c:f>
              <c:strCache>
                <c:ptCount val="1"/>
                <c:pt idx="0">
                  <c:v>Simvastatin 5mg</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share'!$C$31:$G$31</c:f>
              <c:numCache>
                <c:formatCode>0.00%</c:formatCode>
                <c:ptCount val="5"/>
                <c:pt idx="0">
                  <c:v>1.2549592091296458E-4</c:v>
                </c:pt>
                <c:pt idx="1">
                  <c:v>1.2549592091296458E-4</c:v>
                </c:pt>
                <c:pt idx="2">
                  <c:v>1.2549592091296458E-4</c:v>
                </c:pt>
                <c:pt idx="3">
                  <c:v>1.2549592091296458E-4</c:v>
                </c:pt>
                <c:pt idx="4">
                  <c:v>1.2549592091296458E-4</c:v>
                </c:pt>
              </c:numCache>
              <c:extLst xmlns:c15="http://schemas.microsoft.com/office/drawing/2012/chart"/>
            </c:numRef>
          </c:val>
          <c:extLst xmlns:c15="http://schemas.microsoft.com/office/drawing/2012/chart">
            <c:ext xmlns:c16="http://schemas.microsoft.com/office/drawing/2014/chart" uri="{C3380CC4-5D6E-409C-BE32-E72D297353CC}">
              <c16:uniqueId val="{00000005-B073-46E8-A659-581580C2DFAC}"/>
            </c:ext>
          </c:extLst>
        </c:ser>
        <c:ser>
          <c:idx val="6"/>
          <c:order val="6"/>
          <c:tx>
            <c:strRef>
              <c:f>'Mkt share'!$B$32</c:f>
              <c:strCache>
                <c:ptCount val="1"/>
                <c:pt idx="0">
                  <c:v>Simvastatin 10mg</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share'!$C$32:$G$32</c:f>
              <c:numCache>
                <c:formatCode>0.00%</c:formatCode>
                <c:ptCount val="5"/>
                <c:pt idx="0">
                  <c:v>2.7185437909540033E-2</c:v>
                </c:pt>
                <c:pt idx="1">
                  <c:v>2.7185437909540033E-2</c:v>
                </c:pt>
                <c:pt idx="2">
                  <c:v>2.7185437909540033E-2</c:v>
                </c:pt>
                <c:pt idx="3">
                  <c:v>2.7185437909540033E-2</c:v>
                </c:pt>
                <c:pt idx="4">
                  <c:v>2.7185437909540033E-2</c:v>
                </c:pt>
              </c:numCache>
              <c:extLst xmlns:c15="http://schemas.microsoft.com/office/drawing/2012/chart"/>
            </c:numRef>
          </c:val>
          <c:extLst xmlns:c15="http://schemas.microsoft.com/office/drawing/2012/chart">
            <c:ext xmlns:c16="http://schemas.microsoft.com/office/drawing/2014/chart" uri="{C3380CC4-5D6E-409C-BE32-E72D297353CC}">
              <c16:uniqueId val="{00000006-B073-46E8-A659-581580C2DFAC}"/>
            </c:ext>
          </c:extLst>
        </c:ser>
        <c:ser>
          <c:idx val="7"/>
          <c:order val="7"/>
          <c:tx>
            <c:strRef>
              <c:f>'Mkt share'!$B$33</c:f>
              <c:strCache>
                <c:ptCount val="1"/>
                <c:pt idx="0">
                  <c:v>Simvastatin 20mg</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share'!$C$33:$G$33</c:f>
              <c:numCache>
                <c:formatCode>0.00%</c:formatCode>
                <c:ptCount val="5"/>
                <c:pt idx="0">
                  <c:v>0.58243510619357652</c:v>
                </c:pt>
                <c:pt idx="1">
                  <c:v>0.58243510619357652</c:v>
                </c:pt>
                <c:pt idx="2">
                  <c:v>0.58243510619357652</c:v>
                </c:pt>
                <c:pt idx="3">
                  <c:v>0.58243510619357652</c:v>
                </c:pt>
                <c:pt idx="4">
                  <c:v>0.58243510619357652</c:v>
                </c:pt>
              </c:numCache>
              <c:extLst xmlns:c15="http://schemas.microsoft.com/office/drawing/2012/chart"/>
            </c:numRef>
          </c:val>
          <c:extLst xmlns:c15="http://schemas.microsoft.com/office/drawing/2012/chart">
            <c:ext xmlns:c16="http://schemas.microsoft.com/office/drawing/2014/chart" uri="{C3380CC4-5D6E-409C-BE32-E72D297353CC}">
              <c16:uniqueId val="{00000007-B073-46E8-A659-581580C2DFAC}"/>
            </c:ext>
          </c:extLst>
        </c:ser>
        <c:ser>
          <c:idx val="8"/>
          <c:order val="8"/>
          <c:tx>
            <c:strRef>
              <c:f>'Mkt share'!$B$34</c:f>
              <c:strCache>
                <c:ptCount val="1"/>
                <c:pt idx="0">
                  <c:v>Simvastatin 40mg</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share'!$C$34:$G$34</c:f>
              <c:numCache>
                <c:formatCode>0.00%</c:formatCode>
                <c:ptCount val="5"/>
                <c:pt idx="0">
                  <c:v>0.1490771887615184</c:v>
                </c:pt>
                <c:pt idx="1">
                  <c:v>0.1490771887615184</c:v>
                </c:pt>
                <c:pt idx="2">
                  <c:v>0.1490771887615184</c:v>
                </c:pt>
                <c:pt idx="3">
                  <c:v>0.1490771887615184</c:v>
                </c:pt>
                <c:pt idx="4">
                  <c:v>0.1490771887615184</c:v>
                </c:pt>
              </c:numCache>
              <c:extLst xmlns:c15="http://schemas.microsoft.com/office/drawing/2012/chart"/>
            </c:numRef>
          </c:val>
          <c:extLst xmlns:c15="http://schemas.microsoft.com/office/drawing/2012/chart">
            <c:ext xmlns:c16="http://schemas.microsoft.com/office/drawing/2014/chart" uri="{C3380CC4-5D6E-409C-BE32-E72D297353CC}">
              <c16:uniqueId val="{00000008-B073-46E8-A659-581580C2DFAC}"/>
            </c:ext>
          </c:extLst>
        </c:ser>
        <c:ser>
          <c:idx val="9"/>
          <c:order val="9"/>
          <c:tx>
            <c:strRef>
              <c:f>'Mkt share'!$B$35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share'!$C$35:$G$35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073-46E8-A659-581580C2DFAC}"/>
            </c:ext>
          </c:extLst>
        </c:ser>
        <c:ser>
          <c:idx val="10"/>
          <c:order val="10"/>
          <c:tx>
            <c:strRef>
              <c:f>'Mkt share'!$B$22</c:f>
              <c:strCache>
                <c:ptCount val="1"/>
                <c:pt idx="0">
                  <c:v>Rosuvastatin 5mg</c:v>
                </c:pt>
              </c:strCache>
              <c:extLst xmlns:c15="http://schemas.microsoft.com/office/drawing/2012/chart"/>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share'!$C$22:$G$22</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A-B073-46E8-A659-581580C2DFAC}"/>
            </c:ext>
          </c:extLst>
        </c:ser>
        <c:ser>
          <c:idx val="11"/>
          <c:order val="11"/>
          <c:tx>
            <c:strRef>
              <c:f>'Mkt share'!$B$23</c:f>
              <c:strCache>
                <c:ptCount val="1"/>
                <c:pt idx="0">
                  <c:v>Rosuvastatin 10mg</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share'!$C$23:$G$23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B-B073-46E8-A659-581580C2DFAC}"/>
            </c:ext>
          </c:extLst>
        </c:ser>
        <c:ser>
          <c:idx val="12"/>
          <c:order val="12"/>
          <c:tx>
            <c:strRef>
              <c:f>'Mkt share'!$B$24</c:f>
              <c:strCache>
                <c:ptCount val="1"/>
                <c:pt idx="0">
                  <c:v>Rosuvastatin 20mg</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share'!$C$24:$G$24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C-B073-46E8-A659-581580C2DFAC}"/>
            </c:ext>
          </c:extLst>
        </c:ser>
        <c:ser>
          <c:idx val="13"/>
          <c:order val="13"/>
          <c:tx>
            <c:strRef>
              <c:f>'Mkt share'!$B$25</c:f>
              <c:strCache>
                <c:ptCount val="1"/>
                <c:pt idx="0">
                  <c:v>Rosuvastatin 40mg</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share'!$C$25:$G$25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073-46E8-A659-581580C2DFA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share'!$B$46</c:f>
              <c:strCache>
                <c:ptCount val="1"/>
                <c:pt idx="0">
                  <c:v>Atorvastatin 10mg</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share'!$C$46:$G$46</c:f>
              <c:numCache>
                <c:formatCode>0.00%</c:formatCode>
                <c:ptCount val="5"/>
                <c:pt idx="0">
                  <c:v>1.731592681618228E-2</c:v>
                </c:pt>
                <c:pt idx="1">
                  <c:v>1.5391934947717581E-2</c:v>
                </c:pt>
                <c:pt idx="2">
                  <c:v>1.3467943079252883E-2</c:v>
                </c:pt>
                <c:pt idx="3">
                  <c:v>1.1543951210788186E-2</c:v>
                </c:pt>
                <c:pt idx="4">
                  <c:v>9.6199593423234881E-3</c:v>
                </c:pt>
              </c:numCache>
            </c:numRef>
          </c:val>
          <c:extLst>
            <c:ext xmlns:c16="http://schemas.microsoft.com/office/drawing/2014/chart" uri="{C3380CC4-5D6E-409C-BE32-E72D297353CC}">
              <c16:uniqueId val="{00000000-B2A2-45C5-B30F-59938CBB4F9C}"/>
            </c:ext>
          </c:extLst>
        </c:ser>
        <c:ser>
          <c:idx val="1"/>
          <c:order val="1"/>
          <c:tx>
            <c:strRef>
              <c:f>'Mkt share'!$B$47</c:f>
              <c:strCache>
                <c:ptCount val="1"/>
                <c:pt idx="0">
                  <c:v>Atorvastatin 20mg</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share'!$C$47:$G$47</c:f>
              <c:numCache>
                <c:formatCode>0.00%</c:formatCode>
                <c:ptCount val="5"/>
                <c:pt idx="0">
                  <c:v>8.6851597546081072E-2</c:v>
                </c:pt>
                <c:pt idx="1">
                  <c:v>7.7201420040960964E-2</c:v>
                </c:pt>
                <c:pt idx="2">
                  <c:v>6.7551242535840827E-2</c:v>
                </c:pt>
                <c:pt idx="3">
                  <c:v>5.7901065030720712E-2</c:v>
                </c:pt>
                <c:pt idx="4">
                  <c:v>4.8250887525600597E-2</c:v>
                </c:pt>
              </c:numCache>
            </c:numRef>
          </c:val>
          <c:extLst>
            <c:ext xmlns:c16="http://schemas.microsoft.com/office/drawing/2014/chart" uri="{C3380CC4-5D6E-409C-BE32-E72D297353CC}">
              <c16:uniqueId val="{00000001-B2A2-45C5-B30F-59938CBB4F9C}"/>
            </c:ext>
          </c:extLst>
        </c:ser>
        <c:ser>
          <c:idx val="2"/>
          <c:order val="2"/>
          <c:tx>
            <c:strRef>
              <c:f>'Mkt share'!$B$48</c:f>
              <c:strCache>
                <c:ptCount val="1"/>
                <c:pt idx="0">
                  <c:v>Atorvastatin 40mg</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share'!$C$48:$G$48</c:f>
              <c:numCache>
                <c:formatCode>0.00%</c:formatCode>
                <c:ptCount val="5"/>
                <c:pt idx="0">
                  <c:v>9.5638219698581578E-2</c:v>
                </c:pt>
                <c:pt idx="1">
                  <c:v>8.5011750843183631E-2</c:v>
                </c:pt>
                <c:pt idx="2">
                  <c:v>7.4385281987785656E-2</c:v>
                </c:pt>
                <c:pt idx="3">
                  <c:v>6.3758813132387709E-2</c:v>
                </c:pt>
                <c:pt idx="4">
                  <c:v>5.3132344276989762E-2</c:v>
                </c:pt>
              </c:numCache>
              <c:extLst xmlns:c15="http://schemas.microsoft.com/office/drawing/2012/chart"/>
            </c:numRef>
          </c:val>
          <c:extLst xmlns:c15="http://schemas.microsoft.com/office/drawing/2012/chart">
            <c:ext xmlns:c16="http://schemas.microsoft.com/office/drawing/2014/chart" uri="{C3380CC4-5D6E-409C-BE32-E72D297353CC}">
              <c16:uniqueId val="{00000002-B2A2-45C5-B30F-59938CBB4F9C}"/>
            </c:ext>
          </c:extLst>
        </c:ser>
        <c:ser>
          <c:idx val="3"/>
          <c:order val="3"/>
          <c:tx>
            <c:strRef>
              <c:f>'Mkt share'!$B$49</c:f>
              <c:strCache>
                <c:ptCount val="1"/>
                <c:pt idx="0">
                  <c:v>Atorvastatin 80mg</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share'!$C$49:$G$49</c:f>
              <c:numCache>
                <c:formatCode>0.00%</c:formatCode>
                <c:ptCount val="5"/>
                <c:pt idx="0">
                  <c:v>1.7087913930054301E-2</c:v>
                </c:pt>
                <c:pt idx="1">
                  <c:v>1.5189256826714934E-2</c:v>
                </c:pt>
                <c:pt idx="2">
                  <c:v>1.3290599723375566E-2</c:v>
                </c:pt>
                <c:pt idx="3">
                  <c:v>1.13919426200362E-2</c:v>
                </c:pt>
                <c:pt idx="4">
                  <c:v>9.4932855166968335E-3</c:v>
                </c:pt>
              </c:numCache>
              <c:extLst xmlns:c15="http://schemas.microsoft.com/office/drawing/2012/chart"/>
            </c:numRef>
          </c:val>
          <c:extLst xmlns:c15="http://schemas.microsoft.com/office/drawing/2012/chart">
            <c:ext xmlns:c16="http://schemas.microsoft.com/office/drawing/2014/chart" uri="{C3380CC4-5D6E-409C-BE32-E72D297353CC}">
              <c16:uniqueId val="{00000003-B2A2-45C5-B30F-59938CBB4F9C}"/>
            </c:ext>
          </c:extLst>
        </c:ser>
        <c:ser>
          <c:idx val="4"/>
          <c:order val="4"/>
          <c:tx>
            <c:strRef>
              <c:f>'Mkt share'!$B$50</c:f>
              <c:strCache>
                <c:ptCount val="1"/>
                <c:pt idx="0">
                  <c:v>Pravastatin</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share'!$C$50:$G$50</c:f>
              <c:numCache>
                <c:formatCode>0.00%</c:formatCode>
                <c:ptCount val="5"/>
                <c:pt idx="0">
                  <c:v>1.6543610210761962E-4</c:v>
                </c:pt>
                <c:pt idx="1">
                  <c:v>1.6543610210761962E-4</c:v>
                </c:pt>
                <c:pt idx="2">
                  <c:v>1.6543610210761962E-4</c:v>
                </c:pt>
                <c:pt idx="3">
                  <c:v>1.6543610210761962E-4</c:v>
                </c:pt>
                <c:pt idx="4">
                  <c:v>1.6543610210761962E-4</c:v>
                </c:pt>
              </c:numCache>
              <c:extLst xmlns:c15="http://schemas.microsoft.com/office/drawing/2012/chart"/>
            </c:numRef>
          </c:val>
          <c:extLst xmlns:c15="http://schemas.microsoft.com/office/drawing/2012/chart">
            <c:ext xmlns:c16="http://schemas.microsoft.com/office/drawing/2014/chart" uri="{C3380CC4-5D6E-409C-BE32-E72D297353CC}">
              <c16:uniqueId val="{00000004-B2A2-45C5-B30F-59938CBB4F9C}"/>
            </c:ext>
          </c:extLst>
        </c:ser>
        <c:ser>
          <c:idx val="5"/>
          <c:order val="5"/>
          <c:tx>
            <c:strRef>
              <c:f>'Mkt share'!$B$51</c:f>
              <c:strCache>
                <c:ptCount val="1"/>
                <c:pt idx="0">
                  <c:v>Simvastatin 5mg</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share'!$C$51:$G$51</c:f>
              <c:numCache>
                <c:formatCode>0.00%</c:formatCode>
                <c:ptCount val="5"/>
                <c:pt idx="0">
                  <c:v>1.1294632882166812E-4</c:v>
                </c:pt>
                <c:pt idx="1">
                  <c:v>1.0039673673037167E-4</c:v>
                </c:pt>
                <c:pt idx="2">
                  <c:v>8.78471446390752E-5</c:v>
                </c:pt>
                <c:pt idx="3">
                  <c:v>7.5297552547778752E-5</c:v>
                </c:pt>
                <c:pt idx="4">
                  <c:v>6.2747960456482291E-5</c:v>
                </c:pt>
              </c:numCache>
              <c:extLst xmlns:c15="http://schemas.microsoft.com/office/drawing/2012/chart"/>
            </c:numRef>
          </c:val>
          <c:extLst xmlns:c15="http://schemas.microsoft.com/office/drawing/2012/chart">
            <c:ext xmlns:c16="http://schemas.microsoft.com/office/drawing/2014/chart" uri="{C3380CC4-5D6E-409C-BE32-E72D297353CC}">
              <c16:uniqueId val="{00000005-B2A2-45C5-B30F-59938CBB4F9C}"/>
            </c:ext>
          </c:extLst>
        </c:ser>
        <c:ser>
          <c:idx val="6"/>
          <c:order val="6"/>
          <c:tx>
            <c:strRef>
              <c:f>'Mkt share'!$B$52</c:f>
              <c:strCache>
                <c:ptCount val="1"/>
                <c:pt idx="0">
                  <c:v>Simvastatin 10mg</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share'!$C$52:$G$52</c:f>
              <c:numCache>
                <c:formatCode>0.00%</c:formatCode>
                <c:ptCount val="5"/>
                <c:pt idx="0">
                  <c:v>2.4466894118586029E-2</c:v>
                </c:pt>
                <c:pt idx="1">
                  <c:v>2.1748350327632029E-2</c:v>
                </c:pt>
                <c:pt idx="2">
                  <c:v>1.9029806536678021E-2</c:v>
                </c:pt>
                <c:pt idx="3">
                  <c:v>1.6311262745724021E-2</c:v>
                </c:pt>
                <c:pt idx="4">
                  <c:v>1.3592718954770017E-2</c:v>
                </c:pt>
              </c:numCache>
              <c:extLst xmlns:c15="http://schemas.microsoft.com/office/drawing/2012/chart"/>
            </c:numRef>
          </c:val>
          <c:extLst xmlns:c15="http://schemas.microsoft.com/office/drawing/2012/chart">
            <c:ext xmlns:c16="http://schemas.microsoft.com/office/drawing/2014/chart" uri="{C3380CC4-5D6E-409C-BE32-E72D297353CC}">
              <c16:uniqueId val="{00000006-B2A2-45C5-B30F-59938CBB4F9C}"/>
            </c:ext>
          </c:extLst>
        </c:ser>
        <c:ser>
          <c:idx val="7"/>
          <c:order val="7"/>
          <c:tx>
            <c:strRef>
              <c:f>'Mkt share'!$B$53</c:f>
              <c:strCache>
                <c:ptCount val="1"/>
                <c:pt idx="0">
                  <c:v>Simvastatin 20mg</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share'!$C$53:$G$53</c:f>
              <c:numCache>
                <c:formatCode>0.00%</c:formatCode>
                <c:ptCount val="5"/>
                <c:pt idx="0">
                  <c:v>0.5241915955742189</c:v>
                </c:pt>
                <c:pt idx="1">
                  <c:v>0.46594808495486123</c:v>
                </c:pt>
                <c:pt idx="2">
                  <c:v>0.40770457433550356</c:v>
                </c:pt>
                <c:pt idx="3">
                  <c:v>0.34946106371614588</c:v>
                </c:pt>
                <c:pt idx="4">
                  <c:v>0.29121755309678826</c:v>
                </c:pt>
              </c:numCache>
              <c:extLst xmlns:c15="http://schemas.microsoft.com/office/drawing/2012/chart"/>
            </c:numRef>
          </c:val>
          <c:extLst xmlns:c15="http://schemas.microsoft.com/office/drawing/2012/chart">
            <c:ext xmlns:c16="http://schemas.microsoft.com/office/drawing/2014/chart" uri="{C3380CC4-5D6E-409C-BE32-E72D297353CC}">
              <c16:uniqueId val="{00000007-B2A2-45C5-B30F-59938CBB4F9C}"/>
            </c:ext>
          </c:extLst>
        </c:ser>
        <c:ser>
          <c:idx val="8"/>
          <c:order val="8"/>
          <c:tx>
            <c:strRef>
              <c:f>'Mkt share'!$B$54</c:f>
              <c:strCache>
                <c:ptCount val="1"/>
                <c:pt idx="0">
                  <c:v>Simvastatin 40mg</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share'!$C$54:$G$54</c:f>
              <c:numCache>
                <c:formatCode>0.00%</c:formatCode>
                <c:ptCount val="5"/>
                <c:pt idx="0">
                  <c:v>0.13416946988536649</c:v>
                </c:pt>
                <c:pt idx="1">
                  <c:v>0.1192433692200916</c:v>
                </c:pt>
                <c:pt idx="2">
                  <c:v>0.10431726855481682</c:v>
                </c:pt>
                <c:pt idx="3">
                  <c:v>8.9391167889541823E-2</c:v>
                </c:pt>
                <c:pt idx="4">
                  <c:v>7.4465067224267045E-2</c:v>
                </c:pt>
              </c:numCache>
              <c:extLst xmlns:c15="http://schemas.microsoft.com/office/drawing/2012/chart"/>
            </c:numRef>
          </c:val>
          <c:extLst xmlns:c15="http://schemas.microsoft.com/office/drawing/2012/chart">
            <c:ext xmlns:c16="http://schemas.microsoft.com/office/drawing/2014/chart" uri="{C3380CC4-5D6E-409C-BE32-E72D297353CC}">
              <c16:uniqueId val="{00000008-B2A2-45C5-B30F-59938CBB4F9C}"/>
            </c:ext>
          </c:extLst>
        </c:ser>
        <c:ser>
          <c:idx val="9"/>
          <c:order val="9"/>
          <c:tx>
            <c:strRef>
              <c:f>'Mkt share'!$B$55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share'!$C$55:$G$55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2A2-45C5-B30F-59938CBB4F9C}"/>
            </c:ext>
          </c:extLst>
        </c:ser>
        <c:ser>
          <c:idx val="10"/>
          <c:order val="10"/>
          <c:tx>
            <c:strRef>
              <c:f>'Mkt share'!$B$42</c:f>
              <c:strCache>
                <c:ptCount val="1"/>
                <c:pt idx="0">
                  <c:v>Rosuvastatin 5mg</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share'!$C$42:$G$42</c:f>
              <c:numCache>
                <c:formatCode>0.00%</c:formatCode>
                <c:ptCount val="5"/>
                <c:pt idx="0">
                  <c:v>1.6307180081065433E-2</c:v>
                </c:pt>
                <c:pt idx="1">
                  <c:v>3.2614360162130866E-2</c:v>
                </c:pt>
                <c:pt idx="2">
                  <c:v>4.8921540243196289E-2</c:v>
                </c:pt>
                <c:pt idx="3">
                  <c:v>6.5228720324261732E-2</c:v>
                </c:pt>
                <c:pt idx="4">
                  <c:v>8.1535900405327155E-2</c:v>
                </c:pt>
              </c:numCache>
            </c:numRef>
          </c:val>
          <c:extLst>
            <c:ext xmlns:c16="http://schemas.microsoft.com/office/drawing/2014/chart" uri="{C3380CC4-5D6E-409C-BE32-E72D297353CC}">
              <c16:uniqueId val="{0000000A-B2A2-45C5-B30F-59938CBB4F9C}"/>
            </c:ext>
          </c:extLst>
        </c:ser>
        <c:ser>
          <c:idx val="11"/>
          <c:order val="11"/>
          <c:tx>
            <c:strRef>
              <c:f>'Mkt share'!$B$43</c:f>
              <c:strCache>
                <c:ptCount val="1"/>
                <c:pt idx="0">
                  <c:v>Rosuvastatin 10mg</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share'!$C$43:$G$43</c:f>
              <c:numCache>
                <c:formatCode>0.00%</c:formatCode>
                <c:ptCount val="5"/>
                <c:pt idx="0">
                  <c:v>5.4089461493920091E-2</c:v>
                </c:pt>
                <c:pt idx="1">
                  <c:v>0.10817892298784018</c:v>
                </c:pt>
                <c:pt idx="2">
                  <c:v>0.16226838448176026</c:v>
                </c:pt>
                <c:pt idx="3">
                  <c:v>0.21635784597568036</c:v>
                </c:pt>
                <c:pt idx="4">
                  <c:v>0.27044730746960044</c:v>
                </c:pt>
              </c:numCache>
              <c:extLst xmlns:c15="http://schemas.microsoft.com/office/drawing/2012/chart"/>
            </c:numRef>
          </c:val>
          <c:extLst xmlns:c15="http://schemas.microsoft.com/office/drawing/2012/chart">
            <c:ext xmlns:c16="http://schemas.microsoft.com/office/drawing/2014/chart" uri="{C3380CC4-5D6E-409C-BE32-E72D297353CC}">
              <c16:uniqueId val="{0000000B-B2A2-45C5-B30F-59938CBB4F9C}"/>
            </c:ext>
          </c:extLst>
        </c:ser>
        <c:ser>
          <c:idx val="12"/>
          <c:order val="12"/>
          <c:tx>
            <c:strRef>
              <c:f>'Mkt share'!$B$44</c:f>
              <c:strCache>
                <c:ptCount val="1"/>
                <c:pt idx="0">
                  <c:v>Rosuvastatin 20mg</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share'!$C$44:$G$44</c:f>
              <c:numCache>
                <c:formatCode>0.00%</c:formatCode>
                <c:ptCount val="5"/>
                <c:pt idx="0">
                  <c:v>2.5861320208453966E-2</c:v>
                </c:pt>
                <c:pt idx="1">
                  <c:v>5.1722640416907932E-2</c:v>
                </c:pt>
                <c:pt idx="2">
                  <c:v>7.7583960625361895E-2</c:v>
                </c:pt>
                <c:pt idx="3">
                  <c:v>0.10344528083381586</c:v>
                </c:pt>
                <c:pt idx="4">
                  <c:v>0.12930660104226982</c:v>
                </c:pt>
              </c:numCache>
              <c:extLst xmlns:c15="http://schemas.microsoft.com/office/drawing/2012/chart"/>
            </c:numRef>
          </c:val>
          <c:extLst xmlns:c15="http://schemas.microsoft.com/office/drawing/2012/chart">
            <c:ext xmlns:c16="http://schemas.microsoft.com/office/drawing/2014/chart" uri="{C3380CC4-5D6E-409C-BE32-E72D297353CC}">
              <c16:uniqueId val="{0000000C-B2A2-45C5-B30F-59938CBB4F9C}"/>
            </c:ext>
          </c:extLst>
        </c:ser>
        <c:ser>
          <c:idx val="13"/>
          <c:order val="13"/>
          <c:tx>
            <c:strRef>
              <c:f>'Mkt share'!$B$45</c:f>
              <c:strCache>
                <c:ptCount val="1"/>
                <c:pt idx="0">
                  <c:v>Rosuvastatin 40mg</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share'!$C$45:$G$45</c:f>
              <c:numCache>
                <c:formatCode>0.00%</c:formatCode>
                <c:ptCount val="5"/>
                <c:pt idx="0">
                  <c:v>3.7420382165605096E-3</c:v>
                </c:pt>
                <c:pt idx="1">
                  <c:v>7.4840764331210192E-3</c:v>
                </c:pt>
                <c:pt idx="2">
                  <c:v>1.1226114649681528E-2</c:v>
                </c:pt>
                <c:pt idx="3">
                  <c:v>1.4968152866242038E-2</c:v>
                </c:pt>
                <c:pt idx="4">
                  <c:v>1.8710191082802547E-2</c:v>
                </c:pt>
              </c:numCache>
              <c:extLst xmlns:c15="http://schemas.microsoft.com/office/drawing/2012/chart"/>
            </c:numRef>
          </c:val>
          <c:extLst xmlns:c15="http://schemas.microsoft.com/office/drawing/2012/chart">
            <c:ext xmlns:c16="http://schemas.microsoft.com/office/drawing/2014/chart" uri="{C3380CC4-5D6E-409C-BE32-E72D297353CC}">
              <c16:uniqueId val="{0000000D-B2A2-45C5-B30F-59938CBB4F9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share'!$B$66</c:f>
              <c:strCache>
                <c:ptCount val="1"/>
                <c:pt idx="0">
                  <c:v>Atorvastatin 10mg</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share'!$C$66:$G$66</c:f>
              <c:numCache>
                <c:formatCode>0.00%</c:formatCode>
                <c:ptCount val="5"/>
                <c:pt idx="0">
                  <c:v>1.731592681618228E-2</c:v>
                </c:pt>
                <c:pt idx="1">
                  <c:v>1.5391934947717581E-2</c:v>
                </c:pt>
                <c:pt idx="2">
                  <c:v>1.3467943079252883E-2</c:v>
                </c:pt>
                <c:pt idx="3">
                  <c:v>1.1543951210788186E-2</c:v>
                </c:pt>
                <c:pt idx="4">
                  <c:v>9.6199593423234881E-3</c:v>
                </c:pt>
              </c:numCache>
            </c:numRef>
          </c:val>
          <c:extLst>
            <c:ext xmlns:c16="http://schemas.microsoft.com/office/drawing/2014/chart" uri="{C3380CC4-5D6E-409C-BE32-E72D297353CC}">
              <c16:uniqueId val="{00000000-63CB-4CAC-9071-3ADDB7F8A0D1}"/>
            </c:ext>
          </c:extLst>
        </c:ser>
        <c:ser>
          <c:idx val="1"/>
          <c:order val="1"/>
          <c:tx>
            <c:strRef>
              <c:f>'Mkt share'!$B$67</c:f>
              <c:strCache>
                <c:ptCount val="1"/>
                <c:pt idx="0">
                  <c:v>Atorvastatin 20mg</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share'!$C$67:$G$67</c:f>
              <c:numCache>
                <c:formatCode>0.00%</c:formatCode>
                <c:ptCount val="5"/>
                <c:pt idx="0">
                  <c:v>8.6851597546081072E-2</c:v>
                </c:pt>
                <c:pt idx="1">
                  <c:v>7.7201420040960964E-2</c:v>
                </c:pt>
                <c:pt idx="2">
                  <c:v>6.7551242535840827E-2</c:v>
                </c:pt>
                <c:pt idx="3">
                  <c:v>5.7901065030720712E-2</c:v>
                </c:pt>
                <c:pt idx="4">
                  <c:v>4.8250887525600597E-2</c:v>
                </c:pt>
              </c:numCache>
            </c:numRef>
          </c:val>
          <c:extLst>
            <c:ext xmlns:c16="http://schemas.microsoft.com/office/drawing/2014/chart" uri="{C3380CC4-5D6E-409C-BE32-E72D297353CC}">
              <c16:uniqueId val="{00000001-63CB-4CAC-9071-3ADDB7F8A0D1}"/>
            </c:ext>
          </c:extLst>
        </c:ser>
        <c:ser>
          <c:idx val="2"/>
          <c:order val="2"/>
          <c:tx>
            <c:strRef>
              <c:f>'Mkt share'!$B$68</c:f>
              <c:strCache>
                <c:ptCount val="1"/>
                <c:pt idx="0">
                  <c:v>Atorvastatin 40mg</c:v>
                </c:pt>
              </c:strCache>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share'!$C$68:$G$68</c:f>
              <c:numCache>
                <c:formatCode>0.00%</c:formatCode>
                <c:ptCount val="5"/>
                <c:pt idx="0">
                  <c:v>9.5638219698581578E-2</c:v>
                </c:pt>
                <c:pt idx="1">
                  <c:v>8.5011750843183631E-2</c:v>
                </c:pt>
                <c:pt idx="2">
                  <c:v>7.4385281987785656E-2</c:v>
                </c:pt>
                <c:pt idx="3">
                  <c:v>6.3758813132387709E-2</c:v>
                </c:pt>
                <c:pt idx="4">
                  <c:v>5.3132344276989762E-2</c:v>
                </c:pt>
              </c:numCache>
            </c:numRef>
          </c:val>
          <c:extLst>
            <c:ext xmlns:c16="http://schemas.microsoft.com/office/drawing/2014/chart" uri="{C3380CC4-5D6E-409C-BE32-E72D297353CC}">
              <c16:uniqueId val="{00000002-63CB-4CAC-9071-3ADDB7F8A0D1}"/>
            </c:ext>
          </c:extLst>
        </c:ser>
        <c:ser>
          <c:idx val="3"/>
          <c:order val="3"/>
          <c:tx>
            <c:strRef>
              <c:f>'Mkt share'!$B$69</c:f>
              <c:strCache>
                <c:ptCount val="1"/>
                <c:pt idx="0">
                  <c:v>Atorvastatin 80mg</c:v>
                </c:pt>
              </c:strCache>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share'!$C$69:$G$69</c:f>
              <c:numCache>
                <c:formatCode>0.00%</c:formatCode>
                <c:ptCount val="5"/>
                <c:pt idx="0">
                  <c:v>1.7087913930054301E-2</c:v>
                </c:pt>
                <c:pt idx="1">
                  <c:v>1.5189256826714934E-2</c:v>
                </c:pt>
                <c:pt idx="2">
                  <c:v>1.3290599723375566E-2</c:v>
                </c:pt>
                <c:pt idx="3">
                  <c:v>1.13919426200362E-2</c:v>
                </c:pt>
                <c:pt idx="4">
                  <c:v>9.4932855166968335E-3</c:v>
                </c:pt>
              </c:numCache>
            </c:numRef>
          </c:val>
          <c:extLst>
            <c:ext xmlns:c16="http://schemas.microsoft.com/office/drawing/2014/chart" uri="{C3380CC4-5D6E-409C-BE32-E72D297353CC}">
              <c16:uniqueId val="{00000003-63CB-4CAC-9071-3ADDB7F8A0D1}"/>
            </c:ext>
          </c:extLst>
        </c:ser>
        <c:ser>
          <c:idx val="4"/>
          <c:order val="4"/>
          <c:tx>
            <c:strRef>
              <c:f>'Mkt share'!$B$70</c:f>
              <c:strCache>
                <c:ptCount val="1"/>
                <c:pt idx="0">
                  <c:v>Pravastatin</c:v>
                </c:pt>
              </c:strCache>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share'!$C$70:$G$70</c:f>
              <c:numCache>
                <c:formatCode>0.00%</c:formatCode>
                <c:ptCount val="5"/>
                <c:pt idx="0">
                  <c:v>1.6543610210761962E-4</c:v>
                </c:pt>
                <c:pt idx="1">
                  <c:v>1.6543610210761962E-4</c:v>
                </c:pt>
                <c:pt idx="2">
                  <c:v>1.6543610210761962E-4</c:v>
                </c:pt>
                <c:pt idx="3">
                  <c:v>1.6543610210761962E-4</c:v>
                </c:pt>
                <c:pt idx="4">
                  <c:v>1.6543610210761962E-4</c:v>
                </c:pt>
              </c:numCache>
            </c:numRef>
          </c:val>
          <c:extLst>
            <c:ext xmlns:c16="http://schemas.microsoft.com/office/drawing/2014/chart" uri="{C3380CC4-5D6E-409C-BE32-E72D297353CC}">
              <c16:uniqueId val="{00000004-63CB-4CAC-9071-3ADDB7F8A0D1}"/>
            </c:ext>
          </c:extLst>
        </c:ser>
        <c:ser>
          <c:idx val="5"/>
          <c:order val="5"/>
          <c:tx>
            <c:strRef>
              <c:f>'Mkt share'!$B$71</c:f>
              <c:strCache>
                <c:ptCount val="1"/>
                <c:pt idx="0">
                  <c:v>Simvastatin 5mg</c:v>
                </c:pt>
              </c:strCache>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share'!$C$71:$G$71</c:f>
              <c:numCache>
                <c:formatCode>0.00%</c:formatCode>
                <c:ptCount val="5"/>
                <c:pt idx="0">
                  <c:v>1.1294632882166812E-4</c:v>
                </c:pt>
                <c:pt idx="1">
                  <c:v>1.0039673673037167E-4</c:v>
                </c:pt>
                <c:pt idx="2">
                  <c:v>8.78471446390752E-5</c:v>
                </c:pt>
                <c:pt idx="3">
                  <c:v>7.5297552547778752E-5</c:v>
                </c:pt>
                <c:pt idx="4">
                  <c:v>6.2747960456482291E-5</c:v>
                </c:pt>
              </c:numCache>
            </c:numRef>
          </c:val>
          <c:extLst>
            <c:ext xmlns:c16="http://schemas.microsoft.com/office/drawing/2014/chart" uri="{C3380CC4-5D6E-409C-BE32-E72D297353CC}">
              <c16:uniqueId val="{00000005-63CB-4CAC-9071-3ADDB7F8A0D1}"/>
            </c:ext>
          </c:extLst>
        </c:ser>
        <c:ser>
          <c:idx val="6"/>
          <c:order val="6"/>
          <c:tx>
            <c:strRef>
              <c:f>'Mkt share'!$B$72</c:f>
              <c:strCache>
                <c:ptCount val="1"/>
                <c:pt idx="0">
                  <c:v>Simvastatin 10mg</c:v>
                </c:pt>
              </c:strCache>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share'!$C$72:$G$72</c:f>
              <c:numCache>
                <c:formatCode>0.00%</c:formatCode>
                <c:ptCount val="5"/>
                <c:pt idx="0">
                  <c:v>2.4466894118586029E-2</c:v>
                </c:pt>
                <c:pt idx="1">
                  <c:v>2.1748350327632029E-2</c:v>
                </c:pt>
                <c:pt idx="2">
                  <c:v>1.9029806536678021E-2</c:v>
                </c:pt>
                <c:pt idx="3">
                  <c:v>1.6311262745724021E-2</c:v>
                </c:pt>
                <c:pt idx="4">
                  <c:v>1.3592718954770017E-2</c:v>
                </c:pt>
              </c:numCache>
            </c:numRef>
          </c:val>
          <c:extLst>
            <c:ext xmlns:c16="http://schemas.microsoft.com/office/drawing/2014/chart" uri="{C3380CC4-5D6E-409C-BE32-E72D297353CC}">
              <c16:uniqueId val="{00000006-63CB-4CAC-9071-3ADDB7F8A0D1}"/>
            </c:ext>
          </c:extLst>
        </c:ser>
        <c:ser>
          <c:idx val="7"/>
          <c:order val="7"/>
          <c:tx>
            <c:strRef>
              <c:f>'Mkt share'!$B$73</c:f>
              <c:strCache>
                <c:ptCount val="1"/>
                <c:pt idx="0">
                  <c:v>Simvastatin 20mg</c:v>
                </c:pt>
              </c:strCache>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share'!$C$73:$G$73</c:f>
              <c:numCache>
                <c:formatCode>0.00%</c:formatCode>
                <c:ptCount val="5"/>
                <c:pt idx="0">
                  <c:v>0.5241915955742189</c:v>
                </c:pt>
                <c:pt idx="1">
                  <c:v>0.46594808495486123</c:v>
                </c:pt>
                <c:pt idx="2">
                  <c:v>0.40770457433550356</c:v>
                </c:pt>
                <c:pt idx="3">
                  <c:v>0.34946106371614588</c:v>
                </c:pt>
                <c:pt idx="4">
                  <c:v>0.29121755309678826</c:v>
                </c:pt>
              </c:numCache>
            </c:numRef>
          </c:val>
          <c:extLst>
            <c:ext xmlns:c16="http://schemas.microsoft.com/office/drawing/2014/chart" uri="{C3380CC4-5D6E-409C-BE32-E72D297353CC}">
              <c16:uniqueId val="{00000007-63CB-4CAC-9071-3ADDB7F8A0D1}"/>
            </c:ext>
          </c:extLst>
        </c:ser>
        <c:ser>
          <c:idx val="8"/>
          <c:order val="8"/>
          <c:tx>
            <c:strRef>
              <c:f>'Mkt share'!$B$74</c:f>
              <c:strCache>
                <c:ptCount val="1"/>
                <c:pt idx="0">
                  <c:v>Simvastatin 40mg</c:v>
                </c:pt>
              </c:strCache>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share'!$C$74:$G$74</c:f>
              <c:numCache>
                <c:formatCode>0.00%</c:formatCode>
                <c:ptCount val="5"/>
                <c:pt idx="0">
                  <c:v>0.13416946988536649</c:v>
                </c:pt>
                <c:pt idx="1">
                  <c:v>0.1192433692200916</c:v>
                </c:pt>
                <c:pt idx="2">
                  <c:v>0.10431726855481682</c:v>
                </c:pt>
                <c:pt idx="3">
                  <c:v>8.9391167889541823E-2</c:v>
                </c:pt>
                <c:pt idx="4">
                  <c:v>7.4465067224267045E-2</c:v>
                </c:pt>
              </c:numCache>
            </c:numRef>
          </c:val>
          <c:extLst>
            <c:ext xmlns:c16="http://schemas.microsoft.com/office/drawing/2014/chart" uri="{C3380CC4-5D6E-409C-BE32-E72D297353CC}">
              <c16:uniqueId val="{00000008-63CB-4CAC-9071-3ADDB7F8A0D1}"/>
            </c:ext>
          </c:extLst>
        </c:ser>
        <c:ser>
          <c:idx val="9"/>
          <c:order val="9"/>
          <c:tx>
            <c:strRef>
              <c:f>'Mkt share'!$B$75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share'!$C$75:$G$75</c:f>
              <c:numCache>
                <c:formatCode>0%</c:formatCode>
                <c:ptCount val="5"/>
              </c:numCache>
            </c:numRef>
          </c:val>
          <c:extLst>
            <c:ext xmlns:c16="http://schemas.microsoft.com/office/drawing/2014/chart" uri="{C3380CC4-5D6E-409C-BE32-E72D297353CC}">
              <c16:uniqueId val="{00000009-63CB-4CAC-9071-3ADDB7F8A0D1}"/>
            </c:ext>
          </c:extLst>
        </c:ser>
        <c:ser>
          <c:idx val="10"/>
          <c:order val="10"/>
          <c:tx>
            <c:strRef>
              <c:f>'Mkt share'!$B$62</c:f>
              <c:strCache>
                <c:ptCount val="1"/>
                <c:pt idx="0">
                  <c:v>Rosuvastatin 5mg</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share'!$C$62:$G$62</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A-63CB-4CAC-9071-3ADDB7F8A0D1}"/>
            </c:ext>
          </c:extLst>
        </c:ser>
        <c:ser>
          <c:idx val="11"/>
          <c:order val="11"/>
          <c:tx>
            <c:strRef>
              <c:f>'Mkt share'!$B$63</c:f>
              <c:strCache>
                <c:ptCount val="1"/>
                <c:pt idx="0">
                  <c:v>Rosuvastatin 10mg</c:v>
                </c:pt>
              </c:strCache>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share'!$C$63:$G$63</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B-63CB-4CAC-9071-3ADDB7F8A0D1}"/>
            </c:ext>
          </c:extLst>
        </c:ser>
        <c:ser>
          <c:idx val="12"/>
          <c:order val="12"/>
          <c:tx>
            <c:strRef>
              <c:f>'Mkt share'!$B$64</c:f>
              <c:strCache>
                <c:ptCount val="1"/>
                <c:pt idx="0">
                  <c:v>Rosuvastatin 20mg</c:v>
                </c:pt>
              </c:strCache>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share'!$C$64:$G$64</c:f>
              <c:numCache>
                <c:formatCode>0.00%</c:formatCode>
                <c:ptCount val="5"/>
                <c:pt idx="0">
                  <c:v>8.7359413202934E-2</c:v>
                </c:pt>
                <c:pt idx="1">
                  <c:v>0.174718826405868</c:v>
                </c:pt>
                <c:pt idx="2">
                  <c:v>0.26207823960880194</c:v>
                </c:pt>
                <c:pt idx="3">
                  <c:v>0.349437652811736</c:v>
                </c:pt>
                <c:pt idx="4">
                  <c:v>0.43679706601466994</c:v>
                </c:pt>
              </c:numCache>
            </c:numRef>
          </c:val>
          <c:extLst>
            <c:ext xmlns:c16="http://schemas.microsoft.com/office/drawing/2014/chart" uri="{C3380CC4-5D6E-409C-BE32-E72D297353CC}">
              <c16:uniqueId val="{0000000C-63CB-4CAC-9071-3ADDB7F8A0D1}"/>
            </c:ext>
          </c:extLst>
        </c:ser>
        <c:ser>
          <c:idx val="13"/>
          <c:order val="13"/>
          <c:tx>
            <c:strRef>
              <c:f>'Mkt share'!$B$65</c:f>
              <c:strCache>
                <c:ptCount val="1"/>
                <c:pt idx="0">
                  <c:v>Rosuvastatin 40mg</c:v>
                </c:pt>
              </c:strCache>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share'!$C$65:$G$65</c:f>
              <c:numCache>
                <c:formatCode>0.00%</c:formatCode>
                <c:ptCount val="5"/>
                <c:pt idx="0">
                  <c:v>1.2640586797066014E-2</c:v>
                </c:pt>
                <c:pt idx="1">
                  <c:v>2.5281173594132029E-2</c:v>
                </c:pt>
                <c:pt idx="2">
                  <c:v>3.7921760391198038E-2</c:v>
                </c:pt>
                <c:pt idx="3">
                  <c:v>5.0562347188264058E-2</c:v>
                </c:pt>
                <c:pt idx="4">
                  <c:v>6.320293398533007E-2</c:v>
                </c:pt>
              </c:numCache>
            </c:numRef>
          </c:val>
          <c:extLst>
            <c:ext xmlns:c16="http://schemas.microsoft.com/office/drawing/2014/chart" uri="{C3380CC4-5D6E-409C-BE32-E72D297353CC}">
              <c16:uniqueId val="{0000000D-63CB-4CAC-9071-3ADDB7F8A0D1}"/>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share'!$B$86</c:f>
              <c:strCache>
                <c:ptCount val="1"/>
                <c:pt idx="0">
                  <c:v>Atorvastatin 10mg</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share'!$C$86:$G$86</c:f>
              <c:numCache>
                <c:formatCode>0.00%</c:formatCode>
                <c:ptCount val="5"/>
                <c:pt idx="0">
                  <c:v>1.731592681618228E-2</c:v>
                </c:pt>
                <c:pt idx="1">
                  <c:v>1.5391934947717581E-2</c:v>
                </c:pt>
                <c:pt idx="2">
                  <c:v>1.3467943079252883E-2</c:v>
                </c:pt>
                <c:pt idx="3">
                  <c:v>1.1543951210788186E-2</c:v>
                </c:pt>
                <c:pt idx="4">
                  <c:v>9.6199593423234881E-3</c:v>
                </c:pt>
              </c:numCache>
            </c:numRef>
          </c:val>
          <c:extLst>
            <c:ext xmlns:c16="http://schemas.microsoft.com/office/drawing/2014/chart" uri="{C3380CC4-5D6E-409C-BE32-E72D297353CC}">
              <c16:uniqueId val="{00000000-E4D7-4BF3-8AB4-FC739D798478}"/>
            </c:ext>
          </c:extLst>
        </c:ser>
        <c:ser>
          <c:idx val="1"/>
          <c:order val="1"/>
          <c:tx>
            <c:strRef>
              <c:f>'Mkt share'!$B$87</c:f>
              <c:strCache>
                <c:ptCount val="1"/>
                <c:pt idx="0">
                  <c:v>Atorvastatin 20mg</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share'!$C$87:$G$87</c:f>
              <c:numCache>
                <c:formatCode>0.00%</c:formatCode>
                <c:ptCount val="5"/>
                <c:pt idx="0">
                  <c:v>8.6851597546081072E-2</c:v>
                </c:pt>
                <c:pt idx="1">
                  <c:v>7.7201420040960964E-2</c:v>
                </c:pt>
                <c:pt idx="2">
                  <c:v>6.7551242535840827E-2</c:v>
                </c:pt>
                <c:pt idx="3">
                  <c:v>5.7901065030720712E-2</c:v>
                </c:pt>
                <c:pt idx="4">
                  <c:v>4.8250887525600597E-2</c:v>
                </c:pt>
              </c:numCache>
            </c:numRef>
          </c:val>
          <c:extLst>
            <c:ext xmlns:c16="http://schemas.microsoft.com/office/drawing/2014/chart" uri="{C3380CC4-5D6E-409C-BE32-E72D297353CC}">
              <c16:uniqueId val="{00000001-E4D7-4BF3-8AB4-FC739D798478}"/>
            </c:ext>
          </c:extLst>
        </c:ser>
        <c:ser>
          <c:idx val="2"/>
          <c:order val="2"/>
          <c:tx>
            <c:strRef>
              <c:f>'Mkt share'!$B$88</c:f>
              <c:strCache>
                <c:ptCount val="1"/>
                <c:pt idx="0">
                  <c:v>Atorvastatin 40mg</c:v>
                </c:pt>
              </c:strCache>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share'!$C$88:$G$88</c:f>
              <c:numCache>
                <c:formatCode>0.00%</c:formatCode>
                <c:ptCount val="5"/>
                <c:pt idx="0">
                  <c:v>9.5638219698581578E-2</c:v>
                </c:pt>
                <c:pt idx="1">
                  <c:v>8.5011750843183631E-2</c:v>
                </c:pt>
                <c:pt idx="2">
                  <c:v>7.4385281987785656E-2</c:v>
                </c:pt>
                <c:pt idx="3">
                  <c:v>6.3758813132387709E-2</c:v>
                </c:pt>
                <c:pt idx="4">
                  <c:v>5.3132344276989762E-2</c:v>
                </c:pt>
              </c:numCache>
            </c:numRef>
          </c:val>
          <c:extLst>
            <c:ext xmlns:c16="http://schemas.microsoft.com/office/drawing/2014/chart" uri="{C3380CC4-5D6E-409C-BE32-E72D297353CC}">
              <c16:uniqueId val="{00000002-E4D7-4BF3-8AB4-FC739D798478}"/>
            </c:ext>
          </c:extLst>
        </c:ser>
        <c:ser>
          <c:idx val="3"/>
          <c:order val="3"/>
          <c:tx>
            <c:strRef>
              <c:f>'Mkt share'!$B$89</c:f>
              <c:strCache>
                <c:ptCount val="1"/>
                <c:pt idx="0">
                  <c:v>Atorvastatin 80mg</c:v>
                </c:pt>
              </c:strCache>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share'!$C$89:$G$89</c:f>
              <c:numCache>
                <c:formatCode>0.00%</c:formatCode>
                <c:ptCount val="5"/>
                <c:pt idx="0">
                  <c:v>1.7087913930054301E-2</c:v>
                </c:pt>
                <c:pt idx="1">
                  <c:v>1.5189256826714934E-2</c:v>
                </c:pt>
                <c:pt idx="2">
                  <c:v>1.3290599723375566E-2</c:v>
                </c:pt>
                <c:pt idx="3">
                  <c:v>1.13919426200362E-2</c:v>
                </c:pt>
                <c:pt idx="4">
                  <c:v>9.4932855166968335E-3</c:v>
                </c:pt>
              </c:numCache>
            </c:numRef>
          </c:val>
          <c:extLst>
            <c:ext xmlns:c16="http://schemas.microsoft.com/office/drawing/2014/chart" uri="{C3380CC4-5D6E-409C-BE32-E72D297353CC}">
              <c16:uniqueId val="{00000003-E4D7-4BF3-8AB4-FC739D798478}"/>
            </c:ext>
          </c:extLst>
        </c:ser>
        <c:ser>
          <c:idx val="4"/>
          <c:order val="4"/>
          <c:tx>
            <c:strRef>
              <c:f>'Mkt share'!$B$90</c:f>
              <c:strCache>
                <c:ptCount val="1"/>
                <c:pt idx="0">
                  <c:v>Pravastatin</c:v>
                </c:pt>
              </c:strCache>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share'!$C$90:$G$90</c:f>
              <c:numCache>
                <c:formatCode>0.00%</c:formatCode>
                <c:ptCount val="5"/>
                <c:pt idx="0">
                  <c:v>1.6543610210761962E-4</c:v>
                </c:pt>
                <c:pt idx="1">
                  <c:v>1.6543610210761962E-4</c:v>
                </c:pt>
                <c:pt idx="2">
                  <c:v>1.6543610210761962E-4</c:v>
                </c:pt>
                <c:pt idx="3">
                  <c:v>1.6543610210761962E-4</c:v>
                </c:pt>
                <c:pt idx="4">
                  <c:v>1.6543610210761962E-4</c:v>
                </c:pt>
              </c:numCache>
            </c:numRef>
          </c:val>
          <c:extLst>
            <c:ext xmlns:c16="http://schemas.microsoft.com/office/drawing/2014/chart" uri="{C3380CC4-5D6E-409C-BE32-E72D297353CC}">
              <c16:uniqueId val="{00000004-E4D7-4BF3-8AB4-FC739D798478}"/>
            </c:ext>
          </c:extLst>
        </c:ser>
        <c:ser>
          <c:idx val="5"/>
          <c:order val="5"/>
          <c:tx>
            <c:strRef>
              <c:f>'Mkt share'!$B$91</c:f>
              <c:strCache>
                <c:ptCount val="1"/>
                <c:pt idx="0">
                  <c:v>Simvastatin 5mg</c:v>
                </c:pt>
              </c:strCache>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share'!$C$91:$G$91</c:f>
              <c:numCache>
                <c:formatCode>0.00%</c:formatCode>
                <c:ptCount val="5"/>
                <c:pt idx="0">
                  <c:v>1.1294632882166812E-4</c:v>
                </c:pt>
                <c:pt idx="1">
                  <c:v>1.0039673673037167E-4</c:v>
                </c:pt>
                <c:pt idx="2">
                  <c:v>8.78471446390752E-5</c:v>
                </c:pt>
                <c:pt idx="3">
                  <c:v>7.5297552547778752E-5</c:v>
                </c:pt>
                <c:pt idx="4">
                  <c:v>6.2747960456482291E-5</c:v>
                </c:pt>
              </c:numCache>
            </c:numRef>
          </c:val>
          <c:extLst>
            <c:ext xmlns:c16="http://schemas.microsoft.com/office/drawing/2014/chart" uri="{C3380CC4-5D6E-409C-BE32-E72D297353CC}">
              <c16:uniqueId val="{00000005-E4D7-4BF3-8AB4-FC739D798478}"/>
            </c:ext>
          </c:extLst>
        </c:ser>
        <c:ser>
          <c:idx val="6"/>
          <c:order val="6"/>
          <c:tx>
            <c:strRef>
              <c:f>'Mkt share'!$B$92</c:f>
              <c:strCache>
                <c:ptCount val="1"/>
                <c:pt idx="0">
                  <c:v>Simvastatin 10mg</c:v>
                </c:pt>
              </c:strCache>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share'!$C$92:$G$92</c:f>
              <c:numCache>
                <c:formatCode>0.00%</c:formatCode>
                <c:ptCount val="5"/>
                <c:pt idx="0">
                  <c:v>2.4466894118586029E-2</c:v>
                </c:pt>
                <c:pt idx="1">
                  <c:v>2.1748350327632029E-2</c:v>
                </c:pt>
                <c:pt idx="2">
                  <c:v>1.9029806536678021E-2</c:v>
                </c:pt>
                <c:pt idx="3">
                  <c:v>1.6311262745724021E-2</c:v>
                </c:pt>
                <c:pt idx="4">
                  <c:v>1.3592718954770017E-2</c:v>
                </c:pt>
              </c:numCache>
            </c:numRef>
          </c:val>
          <c:extLst>
            <c:ext xmlns:c16="http://schemas.microsoft.com/office/drawing/2014/chart" uri="{C3380CC4-5D6E-409C-BE32-E72D297353CC}">
              <c16:uniqueId val="{00000006-E4D7-4BF3-8AB4-FC739D798478}"/>
            </c:ext>
          </c:extLst>
        </c:ser>
        <c:ser>
          <c:idx val="7"/>
          <c:order val="7"/>
          <c:tx>
            <c:strRef>
              <c:f>'Mkt share'!$B$93</c:f>
              <c:strCache>
                <c:ptCount val="1"/>
                <c:pt idx="0">
                  <c:v>Simvastatin 20mg</c:v>
                </c:pt>
              </c:strCache>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share'!$C$93:$G$93</c:f>
              <c:numCache>
                <c:formatCode>0.00%</c:formatCode>
                <c:ptCount val="5"/>
                <c:pt idx="0">
                  <c:v>0.5241915955742189</c:v>
                </c:pt>
                <c:pt idx="1">
                  <c:v>0.46594808495486123</c:v>
                </c:pt>
                <c:pt idx="2">
                  <c:v>0.40770457433550356</c:v>
                </c:pt>
                <c:pt idx="3">
                  <c:v>0.34946106371614588</c:v>
                </c:pt>
                <c:pt idx="4">
                  <c:v>0.29121755309678826</c:v>
                </c:pt>
              </c:numCache>
            </c:numRef>
          </c:val>
          <c:extLst>
            <c:ext xmlns:c16="http://schemas.microsoft.com/office/drawing/2014/chart" uri="{C3380CC4-5D6E-409C-BE32-E72D297353CC}">
              <c16:uniqueId val="{00000007-E4D7-4BF3-8AB4-FC739D798478}"/>
            </c:ext>
          </c:extLst>
        </c:ser>
        <c:ser>
          <c:idx val="8"/>
          <c:order val="8"/>
          <c:tx>
            <c:strRef>
              <c:f>'Mkt share'!$B$94</c:f>
              <c:strCache>
                <c:ptCount val="1"/>
                <c:pt idx="0">
                  <c:v>Simvastatin 40mg</c:v>
                </c:pt>
              </c:strCache>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share'!$C$94:$G$94</c:f>
              <c:numCache>
                <c:formatCode>0.00%</c:formatCode>
                <c:ptCount val="5"/>
                <c:pt idx="0">
                  <c:v>0.13416946988536649</c:v>
                </c:pt>
                <c:pt idx="1">
                  <c:v>0.1192433692200916</c:v>
                </c:pt>
                <c:pt idx="2">
                  <c:v>0.10431726855481693</c:v>
                </c:pt>
                <c:pt idx="3">
                  <c:v>8.9391167889541823E-2</c:v>
                </c:pt>
                <c:pt idx="4">
                  <c:v>7.4465067224267045E-2</c:v>
                </c:pt>
              </c:numCache>
            </c:numRef>
          </c:val>
          <c:extLst>
            <c:ext xmlns:c16="http://schemas.microsoft.com/office/drawing/2014/chart" uri="{C3380CC4-5D6E-409C-BE32-E72D297353CC}">
              <c16:uniqueId val="{00000008-E4D7-4BF3-8AB4-FC739D798478}"/>
            </c:ext>
          </c:extLst>
        </c:ser>
        <c:ser>
          <c:idx val="9"/>
          <c:order val="9"/>
          <c:tx>
            <c:strRef>
              <c:f>'Mkt share'!$B$95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share'!$C$95:$G$95</c:f>
              <c:numCache>
                <c:formatCode>0%</c:formatCode>
                <c:ptCount val="5"/>
              </c:numCache>
            </c:numRef>
          </c:val>
          <c:extLst>
            <c:ext xmlns:c16="http://schemas.microsoft.com/office/drawing/2014/chart" uri="{C3380CC4-5D6E-409C-BE32-E72D297353CC}">
              <c16:uniqueId val="{00000009-E4D7-4BF3-8AB4-FC739D798478}"/>
            </c:ext>
          </c:extLst>
        </c:ser>
        <c:ser>
          <c:idx val="10"/>
          <c:order val="10"/>
          <c:tx>
            <c:strRef>
              <c:f>'Mkt share'!$B$82</c:f>
              <c:strCache>
                <c:ptCount val="1"/>
                <c:pt idx="0">
                  <c:v>Rosuvastatin 5mg</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share'!$C$82:$G$82</c:f>
              <c:numCache>
                <c:formatCode>0%</c:formatCode>
                <c:ptCount val="5"/>
                <c:pt idx="0">
                  <c:v>2.3164713140037017E-2</c:v>
                </c:pt>
                <c:pt idx="1">
                  <c:v>4.6329426280074033E-2</c:v>
                </c:pt>
                <c:pt idx="2">
                  <c:v>6.949413942011104E-2</c:v>
                </c:pt>
                <c:pt idx="3">
                  <c:v>9.2658852560148067E-2</c:v>
                </c:pt>
                <c:pt idx="4">
                  <c:v>0.11582356570018508</c:v>
                </c:pt>
              </c:numCache>
            </c:numRef>
          </c:val>
          <c:extLst>
            <c:ext xmlns:c16="http://schemas.microsoft.com/office/drawing/2014/chart" uri="{C3380CC4-5D6E-409C-BE32-E72D297353CC}">
              <c16:uniqueId val="{0000000A-E4D7-4BF3-8AB4-FC739D798478}"/>
            </c:ext>
          </c:extLst>
        </c:ser>
        <c:ser>
          <c:idx val="11"/>
          <c:order val="11"/>
          <c:tx>
            <c:strRef>
              <c:f>'Mkt share'!$B$83</c:f>
              <c:strCache>
                <c:ptCount val="1"/>
                <c:pt idx="0">
                  <c:v>Rosuvastatin 10mg</c:v>
                </c:pt>
              </c:strCache>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share'!$C$83:$G$83</c:f>
              <c:numCache>
                <c:formatCode>0%</c:formatCode>
                <c:ptCount val="5"/>
                <c:pt idx="0">
                  <c:v>7.6835286859962992E-2</c:v>
                </c:pt>
                <c:pt idx="1">
                  <c:v>0.15367057371992598</c:v>
                </c:pt>
                <c:pt idx="2">
                  <c:v>0.23050586057988892</c:v>
                </c:pt>
                <c:pt idx="3">
                  <c:v>0.30734114743985197</c:v>
                </c:pt>
                <c:pt idx="4">
                  <c:v>0.38417643429981491</c:v>
                </c:pt>
              </c:numCache>
            </c:numRef>
          </c:val>
          <c:extLst>
            <c:ext xmlns:c16="http://schemas.microsoft.com/office/drawing/2014/chart" uri="{C3380CC4-5D6E-409C-BE32-E72D297353CC}">
              <c16:uniqueId val="{0000000B-E4D7-4BF3-8AB4-FC739D798478}"/>
            </c:ext>
          </c:extLst>
        </c:ser>
        <c:ser>
          <c:idx val="12"/>
          <c:order val="12"/>
          <c:tx>
            <c:strRef>
              <c:f>'Mkt share'!$B$84</c:f>
              <c:strCache>
                <c:ptCount val="1"/>
                <c:pt idx="0">
                  <c:v>Rosuvastatin 20mg</c:v>
                </c:pt>
              </c:strCache>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share'!$C$84:$G$84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C-E4D7-4BF3-8AB4-FC739D798478}"/>
            </c:ext>
          </c:extLst>
        </c:ser>
        <c:ser>
          <c:idx val="13"/>
          <c:order val="13"/>
          <c:tx>
            <c:strRef>
              <c:f>'Mkt share'!$B$85</c:f>
              <c:strCache>
                <c:ptCount val="1"/>
                <c:pt idx="0">
                  <c:v>Rosuvastatin 40mg</c:v>
                </c:pt>
              </c:strCache>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share'!$C$85:$G$85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D-E4D7-4BF3-8AB4-FC739D798478}"/>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Observed demand</c:v>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1"/>
            <c:dispEq val="1"/>
            <c:trendlineLbl>
              <c:layout>
                <c:manualLayout>
                  <c:x val="-4.2528298800402674E-2"/>
                  <c:y val="0.32071991226797847"/>
                </c:manualLayout>
              </c:layout>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y = 69,5x - 139593</a:t>
                    </a:r>
                    <a:br>
                      <a:rPr lang="en-US"/>
                    </a:br>
                    <a:r>
                      <a:rPr lang="en-US"/>
                      <a:t>R² = 0,9022</a:t>
                    </a:r>
                  </a:p>
                </c:rich>
              </c:tx>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rendlineLbl>
          </c:trendline>
          <c:xVal>
            <c:strRef>
              <c:f>Population!$D$45:$H$45</c:f>
              <c:strCache>
                <c:ptCount val="1"/>
                <c:pt idx="0">
                  <c:v>0</c:v>
                </c:pt>
              </c:strCache>
            </c:strRef>
          </c:xVal>
          <c:yVal>
            <c:numRef>
              <c:f>Population!$D$53:$H$53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6BFE-4C32-983D-C734D2B2B20D}"/>
            </c:ext>
          </c:extLst>
        </c:ser>
        <c:ser>
          <c:idx val="1"/>
          <c:order val="1"/>
          <c:tx>
            <c:v>Linear projection</c:v>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solidFill>
                <a:prstDash val="sysDot"/>
              </a:ln>
              <a:effectLst/>
            </c:spPr>
            <c:trendlineType val="linear"/>
            <c:dispRSqr val="0"/>
            <c:dispEq val="0"/>
          </c:trendline>
          <c:xVal>
            <c:numRef>
              <c:f>Population!$D$59:$H$59</c:f>
              <c:numCache>
                <c:formatCode>General</c:formatCode>
                <c:ptCount val="5"/>
                <c:pt idx="0">
                  <c:v>2026</c:v>
                </c:pt>
                <c:pt idx="1">
                  <c:v>2027</c:v>
                </c:pt>
                <c:pt idx="2">
                  <c:v>2028</c:v>
                </c:pt>
                <c:pt idx="3">
                  <c:v>2029</c:v>
                </c:pt>
                <c:pt idx="4">
                  <c:v>2030</c:v>
                </c:pt>
              </c:numCache>
            </c:numRef>
          </c:xVal>
          <c:yVal>
            <c:numRef>
              <c:f>Population!$D$60:$H$60</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3-6BFE-4C32-983D-C734D2B2B20D}"/>
            </c:ext>
          </c:extLst>
        </c:ser>
        <c:ser>
          <c:idx val="2"/>
          <c:order val="2"/>
          <c:tx>
            <c:v>Mean projection adjusted</c:v>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Population!$D$62:$H$62</c:f>
              <c:numCache>
                <c:formatCode>General</c:formatCode>
                <c:ptCount val="5"/>
                <c:pt idx="0">
                  <c:v>2026</c:v>
                </c:pt>
                <c:pt idx="1">
                  <c:v>2027</c:v>
                </c:pt>
                <c:pt idx="2">
                  <c:v>2028</c:v>
                </c:pt>
                <c:pt idx="3">
                  <c:v>2029</c:v>
                </c:pt>
                <c:pt idx="4">
                  <c:v>2030</c:v>
                </c:pt>
              </c:numCache>
            </c:numRef>
          </c:xVal>
          <c:yVal>
            <c:numRef>
              <c:f>Population!$D$64:$H$64</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00D3-49D4-B830-22624C79BDD3}"/>
            </c:ext>
          </c:extLst>
        </c:ser>
        <c:dLbls>
          <c:dLblPos val="t"/>
          <c:showLegendKey val="0"/>
          <c:showVal val="1"/>
          <c:showCatName val="0"/>
          <c:showSerName val="0"/>
          <c:showPercent val="0"/>
          <c:showBubbleSize val="0"/>
        </c:dLbls>
        <c:axId val="1928177360"/>
        <c:axId val="1928179024"/>
      </c:scatterChart>
      <c:valAx>
        <c:axId val="192817736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Ano</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9024"/>
        <c:crosses val="autoZero"/>
        <c:crossBetween val="midCat"/>
      </c:valAx>
      <c:valAx>
        <c:axId val="192817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N pacientes</a:t>
                </a:r>
              </a:p>
            </c:rich>
          </c:tx>
          <c:layout>
            <c:manualLayout>
              <c:xMode val="edge"/>
              <c:yMode val="edge"/>
              <c:x val="1.1855043620959717E-2"/>
              <c:y val="0.3643770049963263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7360"/>
        <c:crosses val="autoZero"/>
        <c:crossBetween val="midCat"/>
      </c:valAx>
      <c:spPr>
        <a:noFill/>
        <a:ln>
          <a:noFill/>
        </a:ln>
        <a:effectLst/>
      </c:spPr>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Results!$C$22</c:f>
              <c:strCache>
                <c:ptCount val="1"/>
                <c:pt idx="0">
                  <c:v>Reference scenario:</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Results!$D$22:$H$22</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0FBB-4103-88E2-36586A3E1CEE}"/>
            </c:ext>
          </c:extLst>
        </c:ser>
        <c:ser>
          <c:idx val="1"/>
          <c:order val="1"/>
          <c:tx>
            <c:strRef>
              <c:f>Results!$C$23</c:f>
              <c:strCache>
                <c:ptCount val="1"/>
                <c:pt idx="0">
                  <c:v>Alternative scenario 1:</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Results!$D$23:$H$23</c:f>
              <c:numCache>
                <c:formatCode>_-[$$-409]* #,##0_ ;_-[$$-409]* \-#,##0\ ;_-[$$-409]* "-"??_ ;_-@_ </c:formatCode>
                <c:ptCount val="5"/>
                <c:pt idx="0">
                  <c:v>163299085.03097004</c:v>
                </c:pt>
                <c:pt idx="1">
                  <c:v>198305833.35655677</c:v>
                </c:pt>
                <c:pt idx="2">
                  <c:v>233781293.28925839</c:v>
                </c:pt>
                <c:pt idx="3">
                  <c:v>269786506.86716211</c:v>
                </c:pt>
                <c:pt idx="4">
                  <c:v>306330608.80690241</c:v>
                </c:pt>
              </c:numCache>
            </c:numRef>
          </c:val>
          <c:extLst>
            <c:ext xmlns:c16="http://schemas.microsoft.com/office/drawing/2014/chart" uri="{C3380CC4-5D6E-409C-BE32-E72D297353CC}">
              <c16:uniqueId val="{00000001-0FBB-4103-88E2-36586A3E1CEE}"/>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Results!$C$22</c:f>
              <c:strCache>
                <c:ptCount val="1"/>
                <c:pt idx="0">
                  <c:v>Reference scenario:</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Results!$D$22:$H$22</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3A11-4BD6-9635-A8EBE6582FE0}"/>
            </c:ext>
          </c:extLst>
        </c:ser>
        <c:ser>
          <c:idx val="1"/>
          <c:order val="1"/>
          <c:tx>
            <c:strRef>
              <c:f>Results!$C$24</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Results!$D$24:$H$24</c:f>
              <c:numCache>
                <c:formatCode>_-[$$-409]* #,##0_ ;_-[$$-409]* \-#,##0\ ;_-[$$-409]* "-"??_ ;_-@_ </c:formatCode>
                <c:ptCount val="5"/>
                <c:pt idx="0">
                  <c:v>33281107.137153476</c:v>
                </c:pt>
                <c:pt idx="1">
                  <c:v>67221447.94657585</c:v>
                </c:pt>
                <c:pt idx="2">
                  <c:v>101675184.39541961</c:v>
                </c:pt>
                <c:pt idx="3">
                  <c:v>136656246.59379646</c:v>
                </c:pt>
                <c:pt idx="4">
                  <c:v>172170587.93233237</c:v>
                </c:pt>
              </c:numCache>
            </c:numRef>
          </c:val>
          <c:extLst>
            <c:ext xmlns:c16="http://schemas.microsoft.com/office/drawing/2014/chart" uri="{C3380CC4-5D6E-409C-BE32-E72D297353CC}">
              <c16:uniqueId val="{00000001-3A11-4BD6-9635-A8EBE6582FE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Results!$C$31</c:f>
              <c:strCache>
                <c:ptCount val="1"/>
                <c:pt idx="0">
                  <c:v>Reference scenario:</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Results!$D$31:$H$31</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7267-49E6-A717-062DFCB8311C}"/>
            </c:ext>
          </c:extLst>
        </c:ser>
        <c:ser>
          <c:idx val="1"/>
          <c:order val="1"/>
          <c:tx>
            <c:strRef>
              <c:f>Results!$C$32</c:f>
              <c:strCache>
                <c:ptCount val="1"/>
                <c:pt idx="0">
                  <c:v>Alternative scenario 1:</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Results!$D$32:$H$32</c:f>
              <c:numCache>
                <c:formatCode>_-[$$-409]* #,##0_ ;_-[$$-409]* \-#,##0\ ;_-[$$-409]* "-"??_ ;_-@_ </c:formatCode>
                <c:ptCount val="5"/>
                <c:pt idx="0">
                  <c:v>163299085.03097004</c:v>
                </c:pt>
                <c:pt idx="1">
                  <c:v>198305833.35655677</c:v>
                </c:pt>
                <c:pt idx="2">
                  <c:v>233781293.28925839</c:v>
                </c:pt>
                <c:pt idx="3">
                  <c:v>269786506.86716211</c:v>
                </c:pt>
                <c:pt idx="4">
                  <c:v>306330608.80690241</c:v>
                </c:pt>
              </c:numCache>
            </c:numRef>
          </c:val>
          <c:extLst>
            <c:ext xmlns:c16="http://schemas.microsoft.com/office/drawing/2014/chart" uri="{C3380CC4-5D6E-409C-BE32-E72D297353CC}">
              <c16:uniqueId val="{00000001-7267-49E6-A717-062DFCB8311C}"/>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Results!$C$31</c:f>
              <c:strCache>
                <c:ptCount val="1"/>
                <c:pt idx="0">
                  <c:v>Reference scenario:</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Results!$D$31:$H$31</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7C8C-486E-BD95-9A48DF038C59}"/>
            </c:ext>
          </c:extLst>
        </c:ser>
        <c:ser>
          <c:idx val="1"/>
          <c:order val="1"/>
          <c:tx>
            <c:strRef>
              <c:f>Results!$C$33</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Results!$D$33:$H$33</c:f>
              <c:numCache>
                <c:formatCode>_-[$$-409]* #,##0_ ;_-[$$-409]* \-#,##0\ ;_-[$$-409]* "-"??_ ;_-@_ </c:formatCode>
                <c:ptCount val="5"/>
                <c:pt idx="0">
                  <c:v>33281107.137153476</c:v>
                </c:pt>
                <c:pt idx="1">
                  <c:v>67221447.94657585</c:v>
                </c:pt>
                <c:pt idx="2">
                  <c:v>101675184.39541961</c:v>
                </c:pt>
                <c:pt idx="3">
                  <c:v>136656246.59379646</c:v>
                </c:pt>
                <c:pt idx="4">
                  <c:v>172170587.93233237</c:v>
                </c:pt>
              </c:numCache>
            </c:numRef>
          </c:val>
          <c:extLst>
            <c:ext xmlns:c16="http://schemas.microsoft.com/office/drawing/2014/chart" uri="{C3380CC4-5D6E-409C-BE32-E72D297353CC}">
              <c16:uniqueId val="{00000001-7C8C-486E-BD95-9A48DF038C59}"/>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Results!$C$48</c:f>
              <c:strCache>
                <c:ptCount val="1"/>
                <c:pt idx="0">
                  <c:v>Rosuvastatin 20mg</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Results!$D$48:$H$48</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72A1-4148-B260-0F923B113940}"/>
            </c:ext>
          </c:extLst>
        </c:ser>
        <c:ser>
          <c:idx val="1"/>
          <c:order val="1"/>
          <c:tx>
            <c:strRef>
              <c:f>Results!$C$49</c:f>
              <c:strCache>
                <c:ptCount val="1"/>
                <c:pt idx="0">
                  <c:v>Alternative scenario 2:</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Results!$D$49:$H$49</c:f>
              <c:numCache>
                <c:formatCode>_-[$$-409]* #,##0_ ;_-[$$-409]* \-#,##0\ ;_-[$$-409]* "-"??_ ;_-@_ </c:formatCode>
                <c:ptCount val="5"/>
                <c:pt idx="0">
                  <c:v>179810170.11415708</c:v>
                </c:pt>
                <c:pt idx="1">
                  <c:v>231598851.37825006</c:v>
                </c:pt>
                <c:pt idx="2">
                  <c:v>284110068.7237519</c:v>
                </c:pt>
                <c:pt idx="3">
                  <c:v>337411771.93059969</c:v>
                </c:pt>
                <c:pt idx="4">
                  <c:v>391516040.67199552</c:v>
                </c:pt>
              </c:numCache>
            </c:numRef>
          </c:val>
          <c:extLst>
            <c:ext xmlns:c16="http://schemas.microsoft.com/office/drawing/2014/chart" uri="{C3380CC4-5D6E-409C-BE32-E72D297353CC}">
              <c16:uniqueId val="{00000001-72A1-4148-B260-0F923B113940}"/>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Results!$C$48</c:f>
              <c:strCache>
                <c:ptCount val="1"/>
                <c:pt idx="0">
                  <c:v>Rosuvastatin 20mg</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Results!$D$48:$H$48</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534A-4A84-8B19-8FCB193368F3}"/>
            </c:ext>
          </c:extLst>
        </c:ser>
        <c:ser>
          <c:idx val="1"/>
          <c:order val="1"/>
          <c:tx>
            <c:strRef>
              <c:f>Results!$C$50</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Results!$D$50:$H$50</c:f>
              <c:numCache>
                <c:formatCode>_-[$$-409]* #,##0_ ;_-[$$-409]* \-#,##0\ ;_-[$$-409]* "-"??_ ;_-@_ </c:formatCode>
                <c:ptCount val="5"/>
                <c:pt idx="0">
                  <c:v>49792192.22034052</c:v>
                </c:pt>
                <c:pt idx="1">
                  <c:v>100514465.96826914</c:v>
                </c:pt>
                <c:pt idx="2">
                  <c:v>152003959.82991314</c:v>
                </c:pt>
                <c:pt idx="3">
                  <c:v>204281511.65723404</c:v>
                </c:pt>
                <c:pt idx="4">
                  <c:v>257356019.79742548</c:v>
                </c:pt>
              </c:numCache>
            </c:numRef>
          </c:val>
          <c:extLst>
            <c:ext xmlns:c16="http://schemas.microsoft.com/office/drawing/2014/chart" uri="{C3380CC4-5D6E-409C-BE32-E72D297353CC}">
              <c16:uniqueId val="{00000001-534A-4A84-8B19-8FCB193368F3}"/>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Results!$C$57</c:f>
              <c:strCache>
                <c:ptCount val="1"/>
                <c:pt idx="0">
                  <c:v>Rosuvastatin 20mg</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Results!$D$57:$H$57</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ECB1-4FA9-9A97-05A3659426B6}"/>
            </c:ext>
          </c:extLst>
        </c:ser>
        <c:ser>
          <c:idx val="1"/>
          <c:order val="1"/>
          <c:tx>
            <c:strRef>
              <c:f>Results!$C$58</c:f>
              <c:strCache>
                <c:ptCount val="1"/>
                <c:pt idx="0">
                  <c:v>Alternative scenario 2:</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Results!$D$58:$H$58</c:f>
              <c:numCache>
                <c:formatCode>_-[$$-409]* #,##0_ ;_-[$$-409]* \-#,##0\ ;_-[$$-409]* "-"??_ ;_-@_ </c:formatCode>
                <c:ptCount val="5"/>
                <c:pt idx="0">
                  <c:v>179810170.11415708</c:v>
                </c:pt>
                <c:pt idx="1">
                  <c:v>231598851.37825006</c:v>
                </c:pt>
                <c:pt idx="2">
                  <c:v>284110068.7237519</c:v>
                </c:pt>
                <c:pt idx="3">
                  <c:v>337411771.93059969</c:v>
                </c:pt>
                <c:pt idx="4">
                  <c:v>391516040.67199552</c:v>
                </c:pt>
              </c:numCache>
            </c:numRef>
          </c:val>
          <c:extLst>
            <c:ext xmlns:c16="http://schemas.microsoft.com/office/drawing/2014/chart" uri="{C3380CC4-5D6E-409C-BE32-E72D297353CC}">
              <c16:uniqueId val="{00000001-ECB1-4FA9-9A97-05A3659426B6}"/>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Results!$C$57</c:f>
              <c:strCache>
                <c:ptCount val="1"/>
                <c:pt idx="0">
                  <c:v>Rosuvastatin 20mg</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Results!$D$57:$H$57</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D817-4E2E-A5B1-5E088628247E}"/>
            </c:ext>
          </c:extLst>
        </c:ser>
        <c:ser>
          <c:idx val="1"/>
          <c:order val="1"/>
          <c:tx>
            <c:strRef>
              <c:f>Results!$C$59</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Results!$D$59:$H$59</c:f>
              <c:numCache>
                <c:formatCode>_-[$$-409]* #,##0_ ;_-[$$-409]* \-#,##0\ ;_-[$$-409]* "-"??_ ;_-@_ </c:formatCode>
                <c:ptCount val="5"/>
                <c:pt idx="0">
                  <c:v>49792192.22034052</c:v>
                </c:pt>
                <c:pt idx="1">
                  <c:v>100514465.96826914</c:v>
                </c:pt>
                <c:pt idx="2">
                  <c:v>152003959.82991314</c:v>
                </c:pt>
                <c:pt idx="3">
                  <c:v>204281511.65723404</c:v>
                </c:pt>
                <c:pt idx="4">
                  <c:v>257356019.79742548</c:v>
                </c:pt>
              </c:numCache>
            </c:numRef>
          </c:val>
          <c:extLst>
            <c:ext xmlns:c16="http://schemas.microsoft.com/office/drawing/2014/chart" uri="{C3380CC4-5D6E-409C-BE32-E72D297353CC}">
              <c16:uniqueId val="{00000001-D817-4E2E-A5B1-5E088628247E}"/>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Results!$C$73</c:f>
              <c:strCache>
                <c:ptCount val="1"/>
                <c:pt idx="0">
                  <c:v>Atorvastatin 80mg</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Results!$D$73:$H$73</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3DC5-43F7-9D12-A0ACE979D0FF}"/>
            </c:ext>
          </c:extLst>
        </c:ser>
        <c:ser>
          <c:idx val="1"/>
          <c:order val="1"/>
          <c:tx>
            <c:strRef>
              <c:f>Results!$C$74</c:f>
              <c:strCache>
                <c:ptCount val="1"/>
                <c:pt idx="0">
                  <c:v>Alternative scenario 3:</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Results!$D$74:$H$74</c:f>
              <c:numCache>
                <c:formatCode>_-[$$-409]* #,##0_ ;_-[$$-409]* \-#,##0\ ;_-[$$-409]* "-"??_ ;_-@_ </c:formatCode>
                <c:ptCount val="5"/>
                <c:pt idx="0">
                  <c:v>156355805.36921442</c:v>
                </c:pt>
                <c:pt idx="1">
                  <c:v>184305376.4669078</c:v>
                </c:pt>
                <c:pt idx="2">
                  <c:v>212616920.31711382</c:v>
                </c:pt>
                <c:pt idx="3">
                  <c:v>241348574.09835076</c:v>
                </c:pt>
                <c:pt idx="4">
                  <c:v>270508234.10731053</c:v>
                </c:pt>
              </c:numCache>
            </c:numRef>
          </c:val>
          <c:extLst>
            <c:ext xmlns:c16="http://schemas.microsoft.com/office/drawing/2014/chart" uri="{C3380CC4-5D6E-409C-BE32-E72D297353CC}">
              <c16:uniqueId val="{00000001-3DC5-43F7-9D12-A0ACE979D0FF}"/>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Results!$C$73</c:f>
              <c:strCache>
                <c:ptCount val="1"/>
                <c:pt idx="0">
                  <c:v>Atorvastatin 80mg</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Results!$D$73:$H$73</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66F2-4FDA-893E-6DA2B75AB790}"/>
            </c:ext>
          </c:extLst>
        </c:ser>
        <c:ser>
          <c:idx val="1"/>
          <c:order val="1"/>
          <c:tx>
            <c:strRef>
              <c:f>Results!$C$75</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Results!$D$75:$H$75</c:f>
              <c:numCache>
                <c:formatCode>_-[$$-409]* #,##0_ ;_-[$$-409]* \-#,##0\ ;_-[$$-409]* "-"??_ ;_-@_ </c:formatCode>
                <c:ptCount val="5"/>
                <c:pt idx="0">
                  <c:v>26337827.475397855</c:v>
                </c:pt>
                <c:pt idx="1">
                  <c:v>53220991.056926876</c:v>
                </c:pt>
                <c:pt idx="2">
                  <c:v>80510811.423275039</c:v>
                </c:pt>
                <c:pt idx="3">
                  <c:v>108218313.82498512</c:v>
                </c:pt>
                <c:pt idx="4">
                  <c:v>136348213.23274049</c:v>
                </c:pt>
              </c:numCache>
            </c:numRef>
          </c:val>
          <c:extLst>
            <c:ext xmlns:c16="http://schemas.microsoft.com/office/drawing/2014/chart" uri="{C3380CC4-5D6E-409C-BE32-E72D297353CC}">
              <c16:uniqueId val="{00000001-66F2-4FDA-893E-6DA2B75AB79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Results!$C$82</c:f>
              <c:strCache>
                <c:ptCount val="1"/>
                <c:pt idx="0">
                  <c:v>Atorvastatin 80mg</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Results!$D$82:$H$82</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585F-4E35-A576-AE15D18DCB8A}"/>
            </c:ext>
          </c:extLst>
        </c:ser>
        <c:ser>
          <c:idx val="1"/>
          <c:order val="1"/>
          <c:tx>
            <c:strRef>
              <c:f>Results!$C$83</c:f>
              <c:strCache>
                <c:ptCount val="1"/>
                <c:pt idx="0">
                  <c:v>Alternative scenario 3:</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Results!$D$83:$H$83</c:f>
              <c:numCache>
                <c:formatCode>_-[$$-409]* #,##0_ ;_-[$$-409]* \-#,##0\ ;_-[$$-409]* "-"??_ ;_-@_ </c:formatCode>
                <c:ptCount val="5"/>
                <c:pt idx="0">
                  <c:v>156355805.36921442</c:v>
                </c:pt>
                <c:pt idx="1">
                  <c:v>184305376.4669078</c:v>
                </c:pt>
                <c:pt idx="2">
                  <c:v>212616920.31711382</c:v>
                </c:pt>
                <c:pt idx="3">
                  <c:v>241348574.09835076</c:v>
                </c:pt>
                <c:pt idx="4">
                  <c:v>270508234.10731053</c:v>
                </c:pt>
              </c:numCache>
            </c:numRef>
          </c:val>
          <c:extLst>
            <c:ext xmlns:c16="http://schemas.microsoft.com/office/drawing/2014/chart" uri="{C3380CC4-5D6E-409C-BE32-E72D297353CC}">
              <c16:uniqueId val="{00000001-585F-4E35-A576-AE15D18DCB8A}"/>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Results!$C$82</c:f>
              <c:strCache>
                <c:ptCount val="1"/>
                <c:pt idx="0">
                  <c:v>Atorvastatin 80mg</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Results!$D$82:$H$82</c:f>
              <c:numCache>
                <c:formatCode>_-[$$-409]* #,##0_ ;_-[$$-409]* \-#,##0\ ;_-[$$-409]* "-"??_ ;_-@_ </c:formatCode>
                <c:ptCount val="5"/>
                <c:pt idx="0">
                  <c:v>130017977.89381656</c:v>
                </c:pt>
                <c:pt idx="1">
                  <c:v>131084385.40998092</c:v>
                </c:pt>
                <c:pt idx="2">
                  <c:v>132106108.89383878</c:v>
                </c:pt>
                <c:pt idx="3">
                  <c:v>133130260.27336565</c:v>
                </c:pt>
                <c:pt idx="4">
                  <c:v>134160020.87457004</c:v>
                </c:pt>
              </c:numCache>
            </c:numRef>
          </c:val>
          <c:extLst>
            <c:ext xmlns:c16="http://schemas.microsoft.com/office/drawing/2014/chart" uri="{C3380CC4-5D6E-409C-BE32-E72D297353CC}">
              <c16:uniqueId val="{00000000-B373-489F-95B4-A51104BE228F}"/>
            </c:ext>
          </c:extLst>
        </c:ser>
        <c:ser>
          <c:idx val="1"/>
          <c:order val="1"/>
          <c:tx>
            <c:strRef>
              <c:f>Results!$C$84</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Results!$D$84:$H$84</c:f>
              <c:numCache>
                <c:formatCode>_-[$$-409]* #,##0_ ;_-[$$-409]* \-#,##0\ ;_-[$$-409]* "-"??_ ;_-@_ </c:formatCode>
                <c:ptCount val="5"/>
                <c:pt idx="0">
                  <c:v>26337827.475397855</c:v>
                </c:pt>
                <c:pt idx="1">
                  <c:v>53220991.056926876</c:v>
                </c:pt>
                <c:pt idx="2">
                  <c:v>80510811.423275039</c:v>
                </c:pt>
                <c:pt idx="3">
                  <c:v>108218313.82498512</c:v>
                </c:pt>
                <c:pt idx="4">
                  <c:v>136348213.23274049</c:v>
                </c:pt>
              </c:numCache>
            </c:numRef>
          </c:val>
          <c:extLst>
            <c:ext xmlns:c16="http://schemas.microsoft.com/office/drawing/2014/chart" uri="{C3380CC4-5D6E-409C-BE32-E72D297353CC}">
              <c16:uniqueId val="{00000001-B373-489F-95B4-A51104BE228F}"/>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DSA!$H$109:$H$123</c:f>
              <c:strCache>
                <c:ptCount val="15"/>
                <c:pt idx="0">
                  <c:v>Treatment costs Simvastatin 5mg</c:v>
                </c:pt>
                <c:pt idx="1">
                  <c:v>Treatment costs Pravastatin</c:v>
                </c:pt>
                <c:pt idx="2">
                  <c:v>Treatment costs Atorvastatin 10mg</c:v>
                </c:pt>
                <c:pt idx="3">
                  <c:v>Treatment costs Simvastatin 10mg</c:v>
                </c:pt>
                <c:pt idx="4">
                  <c:v>Treatment costs Atorvastatin 20mg</c:v>
                </c:pt>
                <c:pt idx="5">
                  <c:v>Treatment costs Atorvastatin 80mg</c:v>
                </c:pt>
                <c:pt idx="6">
                  <c:v>Treatment costs Simvastatin 20mg</c:v>
                </c:pt>
                <c:pt idx="7">
                  <c:v>Treatment costs Simvastatin 40mg</c:v>
                </c:pt>
                <c:pt idx="8">
                  <c:v>Treatment costs Atorvastatin 40mg</c:v>
                </c:pt>
                <c:pt idx="9">
                  <c:v>Treatment costs Rosuvastatin 20mg</c:v>
                </c:pt>
                <c:pt idx="10">
                  <c:v>Treatment costs Rosuvastatin 5mg</c:v>
                </c:pt>
                <c:pt idx="11">
                  <c:v>Treatment costs Rosuvastatin 40mg</c:v>
                </c:pt>
                <c:pt idx="12">
                  <c:v>Treatment costs Rosuvastatin 10mg</c:v>
                </c:pt>
                <c:pt idx="13">
                  <c:v>proportion of adults treated</c:v>
                </c:pt>
                <c:pt idx="14">
                  <c:v>adults at high cardiovascular risk</c:v>
                </c:pt>
              </c:strCache>
            </c:strRef>
          </c:cat>
          <c:val>
            <c:numRef>
              <c:f>DSA!$I$109:$I$123</c:f>
              <c:numCache>
                <c:formatCode>_-[$$-409]* #,##0_ ;_-[$$-409]* \-#,##0\ ;_-[$$-409]* "-"??_ ;_-@_ </c:formatCode>
                <c:ptCount val="15"/>
                <c:pt idx="0">
                  <c:v>511017676.97457206</c:v>
                </c:pt>
                <c:pt idx="1">
                  <c:v>511122277.60364795</c:v>
                </c:pt>
                <c:pt idx="2">
                  <c:v>511450980.83652556</c:v>
                </c:pt>
                <c:pt idx="3">
                  <c:v>511950713.54403013</c:v>
                </c:pt>
                <c:pt idx="4">
                  <c:v>514363142.11955792</c:v>
                </c:pt>
                <c:pt idx="5">
                  <c:v>514528803.04187679</c:v>
                </c:pt>
                <c:pt idx="6">
                  <c:v>515058692.12955326</c:v>
                </c:pt>
                <c:pt idx="7">
                  <c:v>519658966.39572775</c:v>
                </c:pt>
                <c:pt idx="8">
                  <c:v>529496316.4867996</c:v>
                </c:pt>
                <c:pt idx="9">
                  <c:v>484002892.82400811</c:v>
                </c:pt>
                <c:pt idx="10">
                  <c:v>482627492.32722914</c:v>
                </c:pt>
                <c:pt idx="11">
                  <c:v>481050567.94813836</c:v>
                </c:pt>
                <c:pt idx="12">
                  <c:v>454530025.03588831</c:v>
                </c:pt>
                <c:pt idx="13">
                  <c:v>448309489.68613583</c:v>
                </c:pt>
                <c:pt idx="14">
                  <c:v>445044042.93931472</c:v>
                </c:pt>
              </c:numCache>
            </c:numRef>
          </c:val>
          <c:extLst>
            <c:ext xmlns:c16="http://schemas.microsoft.com/office/drawing/2014/chart" uri="{C3380CC4-5D6E-409C-BE32-E72D297353CC}">
              <c16:uniqueId val="{00000000-6F69-4E23-A2D7-088A9738F2A7}"/>
            </c:ext>
          </c:extLst>
        </c:ser>
        <c:ser>
          <c:idx val="0"/>
          <c:order val="1"/>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DSA!$H$109:$H$123</c:f>
              <c:strCache>
                <c:ptCount val="15"/>
                <c:pt idx="0">
                  <c:v>Treatment costs Simvastatin 5mg</c:v>
                </c:pt>
                <c:pt idx="1">
                  <c:v>Treatment costs Pravastatin</c:v>
                </c:pt>
                <c:pt idx="2">
                  <c:v>Treatment costs Atorvastatin 10mg</c:v>
                </c:pt>
                <c:pt idx="3">
                  <c:v>Treatment costs Simvastatin 10mg</c:v>
                </c:pt>
                <c:pt idx="4">
                  <c:v>Treatment costs Atorvastatin 20mg</c:v>
                </c:pt>
                <c:pt idx="5">
                  <c:v>Treatment costs Atorvastatin 80mg</c:v>
                </c:pt>
                <c:pt idx="6">
                  <c:v>Treatment costs Simvastatin 20mg</c:v>
                </c:pt>
                <c:pt idx="7">
                  <c:v>Treatment costs Simvastatin 40mg</c:v>
                </c:pt>
                <c:pt idx="8">
                  <c:v>Treatment costs Atorvastatin 40mg</c:v>
                </c:pt>
                <c:pt idx="9">
                  <c:v>Treatment costs Rosuvastatin 20mg</c:v>
                </c:pt>
                <c:pt idx="10">
                  <c:v>Treatment costs Rosuvastatin 5mg</c:v>
                </c:pt>
                <c:pt idx="11">
                  <c:v>Treatment costs Rosuvastatin 40mg</c:v>
                </c:pt>
                <c:pt idx="12">
                  <c:v>Treatment costs Rosuvastatin 10mg</c:v>
                </c:pt>
                <c:pt idx="13">
                  <c:v>proportion of adults treated</c:v>
                </c:pt>
                <c:pt idx="14">
                  <c:v>adults at high cardiovascular risk</c:v>
                </c:pt>
              </c:strCache>
            </c:strRef>
          </c:cat>
          <c:val>
            <c:numRef>
              <c:f>DSA!$J$109:$J$123</c:f>
              <c:numCache>
                <c:formatCode>_-[$$-409]* #,##0_ ;_-[$$-409]* \-#,##0\ ;_-[$$-409]* "-"??_ ;_-@_ </c:formatCode>
                <c:ptCount val="15"/>
                <c:pt idx="0">
                  <c:v>510991471.03598326</c:v>
                </c:pt>
                <c:pt idx="1">
                  <c:v>510886870.40690756</c:v>
                </c:pt>
                <c:pt idx="2">
                  <c:v>510558167.17402995</c:v>
                </c:pt>
                <c:pt idx="3">
                  <c:v>510058434.46652532</c:v>
                </c:pt>
                <c:pt idx="4">
                  <c:v>507646005.89099753</c:v>
                </c:pt>
                <c:pt idx="5">
                  <c:v>507480344.96867871</c:v>
                </c:pt>
                <c:pt idx="6">
                  <c:v>506950455.88100213</c:v>
                </c:pt>
                <c:pt idx="7">
                  <c:v>502350181.61482763</c:v>
                </c:pt>
                <c:pt idx="8">
                  <c:v>492512831.52375567</c:v>
                </c:pt>
                <c:pt idx="9">
                  <c:v>538006255.1865474</c:v>
                </c:pt>
                <c:pt idx="10">
                  <c:v>539381655.68332636</c:v>
                </c:pt>
                <c:pt idx="11">
                  <c:v>540958580.06241715</c:v>
                </c:pt>
                <c:pt idx="12">
                  <c:v>567479122.97466731</c:v>
                </c:pt>
                <c:pt idx="13">
                  <c:v>570632114.34178996</c:v>
                </c:pt>
                <c:pt idx="14">
                  <c:v>584167691.79683483</c:v>
                </c:pt>
              </c:numCache>
            </c:numRef>
          </c:val>
          <c:extLst>
            <c:ext xmlns:c16="http://schemas.microsoft.com/office/drawing/2014/chart" uri="{C3380CC4-5D6E-409C-BE32-E72D297353CC}">
              <c16:uniqueId val="{00000001-6F69-4E23-A2D7-088A9738F2A7}"/>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511004574.00527775"/>
        <c:auto val="1"/>
        <c:lblAlgn val="ctr"/>
        <c:lblOffset val="100"/>
        <c:noMultiLvlLbl val="0"/>
      </c:catAx>
      <c:valAx>
        <c:axId val="100990272"/>
        <c:scaling>
          <c:orientation val="minMax"/>
          <c:max val="701001230.15620172"/>
          <c:min val="356035234.35145181"/>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DSA!$B$109:$B$123</c:f>
              <c:strCache>
                <c:ptCount val="15"/>
                <c:pt idx="0">
                  <c:v>Treatment costs Simvastatin 5mg</c:v>
                </c:pt>
                <c:pt idx="1">
                  <c:v>Treatment costs Pravastatin</c:v>
                </c:pt>
                <c:pt idx="2">
                  <c:v>Treatment costs Atorvastatin 10mg</c:v>
                </c:pt>
                <c:pt idx="3">
                  <c:v>Treatment costs Simvastatin 10mg</c:v>
                </c:pt>
                <c:pt idx="4">
                  <c:v>Treatment costs Atorvastatin 20mg</c:v>
                </c:pt>
                <c:pt idx="5">
                  <c:v>Treatment costs Atorvastatin 80mg</c:v>
                </c:pt>
                <c:pt idx="6">
                  <c:v>Treatment costs Simvastatin 20mg</c:v>
                </c:pt>
                <c:pt idx="7">
                  <c:v>Treatment costs Simvastatin 40mg</c:v>
                </c:pt>
                <c:pt idx="8">
                  <c:v>Treatment costs Atorvastatin 40mg</c:v>
                </c:pt>
                <c:pt idx="9">
                  <c:v>Treatment costs Rosuvastatin 20mg</c:v>
                </c:pt>
                <c:pt idx="10">
                  <c:v>Treatment costs Rosuvastatin 5mg</c:v>
                </c:pt>
                <c:pt idx="11">
                  <c:v>Treatment costs Rosuvastatin 40mg</c:v>
                </c:pt>
                <c:pt idx="12">
                  <c:v>Treatment costs Rosuvastatin 10mg</c:v>
                </c:pt>
                <c:pt idx="13">
                  <c:v>proportion of adults treated</c:v>
                </c:pt>
                <c:pt idx="14">
                  <c:v>adults at high cardiovascular risk</c:v>
                </c:pt>
              </c:strCache>
            </c:strRef>
          </c:cat>
          <c:val>
            <c:numRef>
              <c:f>DSA!$C$109:$C$123</c:f>
              <c:numCache>
                <c:formatCode>_-[$$-409]* #,##0_ ;_-[$$-409]* \-#,##0\ ;_-[$$-409]* "-"??_ ;_-@_ </c:formatCode>
                <c:ptCount val="15"/>
                <c:pt idx="0">
                  <c:v>511017676.97457206</c:v>
                </c:pt>
                <c:pt idx="1">
                  <c:v>511122277.60364795</c:v>
                </c:pt>
                <c:pt idx="2">
                  <c:v>511450980.83652556</c:v>
                </c:pt>
                <c:pt idx="3">
                  <c:v>511950713.54403013</c:v>
                </c:pt>
                <c:pt idx="4">
                  <c:v>514363142.11955792</c:v>
                </c:pt>
                <c:pt idx="5">
                  <c:v>514528803.04187679</c:v>
                </c:pt>
                <c:pt idx="6">
                  <c:v>515058692.12955326</c:v>
                </c:pt>
                <c:pt idx="7">
                  <c:v>519658966.39572775</c:v>
                </c:pt>
                <c:pt idx="8">
                  <c:v>529496316.4867996</c:v>
                </c:pt>
                <c:pt idx="9">
                  <c:v>484002892.82400811</c:v>
                </c:pt>
                <c:pt idx="10">
                  <c:v>482627492.32722914</c:v>
                </c:pt>
                <c:pt idx="11">
                  <c:v>481050567.94813836</c:v>
                </c:pt>
                <c:pt idx="12">
                  <c:v>454530025.03588831</c:v>
                </c:pt>
                <c:pt idx="13">
                  <c:v>448309489.68613583</c:v>
                </c:pt>
                <c:pt idx="14">
                  <c:v>445044042.93931472</c:v>
                </c:pt>
              </c:numCache>
            </c:numRef>
          </c:val>
          <c:extLst>
            <c:ext xmlns:c16="http://schemas.microsoft.com/office/drawing/2014/chart" uri="{C3380CC4-5D6E-409C-BE32-E72D297353CC}">
              <c16:uniqueId val="{00000000-9C8D-4F3F-A7D6-1570694874F6}"/>
            </c:ext>
          </c:extLst>
        </c:ser>
        <c:ser>
          <c:idx val="0"/>
          <c:order val="1"/>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DSA!$B$109:$B$123</c:f>
              <c:strCache>
                <c:ptCount val="15"/>
                <c:pt idx="0">
                  <c:v>Treatment costs Simvastatin 5mg</c:v>
                </c:pt>
                <c:pt idx="1">
                  <c:v>Treatment costs Pravastatin</c:v>
                </c:pt>
                <c:pt idx="2">
                  <c:v>Treatment costs Atorvastatin 10mg</c:v>
                </c:pt>
                <c:pt idx="3">
                  <c:v>Treatment costs Simvastatin 10mg</c:v>
                </c:pt>
                <c:pt idx="4">
                  <c:v>Treatment costs Atorvastatin 20mg</c:v>
                </c:pt>
                <c:pt idx="5">
                  <c:v>Treatment costs Atorvastatin 80mg</c:v>
                </c:pt>
                <c:pt idx="6">
                  <c:v>Treatment costs Simvastatin 20mg</c:v>
                </c:pt>
                <c:pt idx="7">
                  <c:v>Treatment costs Simvastatin 40mg</c:v>
                </c:pt>
                <c:pt idx="8">
                  <c:v>Treatment costs Atorvastatin 40mg</c:v>
                </c:pt>
                <c:pt idx="9">
                  <c:v>Treatment costs Rosuvastatin 20mg</c:v>
                </c:pt>
                <c:pt idx="10">
                  <c:v>Treatment costs Rosuvastatin 5mg</c:v>
                </c:pt>
                <c:pt idx="11">
                  <c:v>Treatment costs Rosuvastatin 40mg</c:v>
                </c:pt>
                <c:pt idx="12">
                  <c:v>Treatment costs Rosuvastatin 10mg</c:v>
                </c:pt>
                <c:pt idx="13">
                  <c:v>proportion of adults treated</c:v>
                </c:pt>
                <c:pt idx="14">
                  <c:v>adults at high cardiovascular risk</c:v>
                </c:pt>
              </c:strCache>
            </c:strRef>
          </c:cat>
          <c:val>
            <c:numRef>
              <c:f>DSA!$D$109:$D$123</c:f>
              <c:numCache>
                <c:formatCode>_-[$$-409]* #,##0_ ;_-[$$-409]* \-#,##0\ ;_-[$$-409]* "-"??_ ;_-@_ </c:formatCode>
                <c:ptCount val="15"/>
                <c:pt idx="0">
                  <c:v>510991471.03598326</c:v>
                </c:pt>
                <c:pt idx="1">
                  <c:v>510886870.40690756</c:v>
                </c:pt>
                <c:pt idx="2">
                  <c:v>510558167.17402995</c:v>
                </c:pt>
                <c:pt idx="3">
                  <c:v>510058434.46652532</c:v>
                </c:pt>
                <c:pt idx="4">
                  <c:v>507646005.89099753</c:v>
                </c:pt>
                <c:pt idx="5">
                  <c:v>507480344.96867871</c:v>
                </c:pt>
                <c:pt idx="6">
                  <c:v>506950455.88100213</c:v>
                </c:pt>
                <c:pt idx="7">
                  <c:v>502350181.61482763</c:v>
                </c:pt>
                <c:pt idx="8">
                  <c:v>492512831.52375567</c:v>
                </c:pt>
                <c:pt idx="9">
                  <c:v>538006255.1865474</c:v>
                </c:pt>
                <c:pt idx="10">
                  <c:v>539381655.68332636</c:v>
                </c:pt>
                <c:pt idx="11">
                  <c:v>540958580.06241715</c:v>
                </c:pt>
                <c:pt idx="12">
                  <c:v>567479122.97466731</c:v>
                </c:pt>
                <c:pt idx="13">
                  <c:v>570632114.34178996</c:v>
                </c:pt>
                <c:pt idx="14">
                  <c:v>584167691.79683483</c:v>
                </c:pt>
              </c:numCache>
            </c:numRef>
          </c:val>
          <c:extLst>
            <c:ext xmlns:c16="http://schemas.microsoft.com/office/drawing/2014/chart" uri="{C3380CC4-5D6E-409C-BE32-E72D297353CC}">
              <c16:uniqueId val="{00000001-9C8D-4F3F-A7D6-1570694874F6}"/>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511004574.00527775"/>
        <c:auto val="1"/>
        <c:lblAlgn val="ctr"/>
        <c:lblOffset val="100"/>
        <c:noMultiLvlLbl val="0"/>
      </c:catAx>
      <c:valAx>
        <c:axId val="100990272"/>
        <c:scaling>
          <c:orientation val="minMax"/>
          <c:max val="701001230.15620172"/>
          <c:min val="356035234.35145181"/>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11001081959797257"/>
          <c:h val="3.8656136111562801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Treatment Time Curves - Extrapolation from the median time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Rosuvastatin 5mg</c:v>
                </c:pt>
              </c:strCache>
            </c:strRef>
          </c:tx>
          <c:spPr>
            <a:ln w="28575" cap="rnd">
              <a:solidFill>
                <a:schemeClr val="accent1"/>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Data!$AK$10:$AK$58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2488-4F1D-966E-29BA501416B6}"/>
            </c:ext>
          </c:extLst>
        </c:ser>
        <c:ser>
          <c:idx val="1"/>
          <c:order val="1"/>
          <c:tx>
            <c:strRef>
              <c:f>Data!$AL$8</c:f>
              <c:strCache>
                <c:ptCount val="1"/>
                <c:pt idx="0">
                  <c:v>Rosuvastatin 10mg</c:v>
                </c:pt>
              </c:strCache>
            </c:strRef>
          </c:tx>
          <c:spPr>
            <a:ln w="28575" cap="rnd">
              <a:solidFill>
                <a:schemeClr val="accent2"/>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Data!$AL$10:$AL$58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2488-4F1D-966E-29BA501416B6}"/>
            </c:ext>
          </c:extLst>
        </c:ser>
        <c:ser>
          <c:idx val="2"/>
          <c:order val="2"/>
          <c:tx>
            <c:strRef>
              <c:f>Data!$AM$8</c:f>
              <c:strCache>
                <c:ptCount val="1"/>
                <c:pt idx="0">
                  <c:v>Rosuvastatin 20mg</c:v>
                </c:pt>
              </c:strCache>
            </c:strRef>
          </c:tx>
          <c:spPr>
            <a:ln w="28575" cap="rnd">
              <a:solidFill>
                <a:schemeClr val="accent3"/>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Data!$AM$10:$AM$58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2488-4F1D-966E-29BA501416B6}"/>
            </c:ext>
          </c:extLst>
        </c:ser>
        <c:ser>
          <c:idx val="3"/>
          <c:order val="3"/>
          <c:tx>
            <c:strRef>
              <c:f>Data!$AN$8</c:f>
              <c:strCache>
                <c:ptCount val="1"/>
                <c:pt idx="0">
                  <c:v>Rosuvastatin 40mg</c:v>
                </c:pt>
              </c:strCache>
            </c:strRef>
          </c:tx>
          <c:spPr>
            <a:ln w="28575" cap="rnd">
              <a:solidFill>
                <a:schemeClr val="accent4"/>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Data!$AN$10:$AN$58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2488-4F1D-966E-29BA501416B6}"/>
            </c:ext>
          </c:extLst>
        </c:ser>
        <c:ser>
          <c:idx val="4"/>
          <c:order val="4"/>
          <c:tx>
            <c:strRef>
              <c:f>Data!$AO$8</c:f>
              <c:strCache>
                <c:ptCount val="1"/>
                <c:pt idx="0">
                  <c:v>Atorvastatin 10mg</c:v>
                </c:pt>
              </c:strCache>
            </c:strRef>
          </c:tx>
          <c:spPr>
            <a:ln w="28575" cap="rnd">
              <a:solidFill>
                <a:schemeClr val="accent5"/>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Data!$AO$10:$AO$58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2488-4F1D-966E-29BA501416B6}"/>
            </c:ext>
          </c:extLst>
        </c:ser>
        <c:ser>
          <c:idx val="5"/>
          <c:order val="5"/>
          <c:tx>
            <c:strRef>
              <c:f>Data!$AP$8</c:f>
              <c:strCache>
                <c:ptCount val="1"/>
                <c:pt idx="0">
                  <c:v>Atorvastatin 20mg</c:v>
                </c:pt>
              </c:strCache>
            </c:strRef>
          </c:tx>
          <c:spPr>
            <a:ln w="28575" cap="rnd">
              <a:solidFill>
                <a:schemeClr val="accent6"/>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Data!$AP$10:$AP$58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2488-4F1D-966E-29BA501416B6}"/>
            </c:ext>
          </c:extLst>
        </c:ser>
        <c:ser>
          <c:idx val="6"/>
          <c:order val="6"/>
          <c:tx>
            <c:strRef>
              <c:f>Data!$AQ$8</c:f>
              <c:strCache>
                <c:ptCount val="1"/>
                <c:pt idx="0">
                  <c:v>Atorvastatin 40mg</c:v>
                </c:pt>
              </c:strCache>
            </c:strRef>
          </c:tx>
          <c:spPr>
            <a:ln w="28575" cap="rnd">
              <a:solidFill>
                <a:schemeClr val="accent1">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Data!$AQ$10:$AQ$58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2488-4F1D-966E-29BA501416B6}"/>
            </c:ext>
          </c:extLst>
        </c:ser>
        <c:ser>
          <c:idx val="7"/>
          <c:order val="7"/>
          <c:tx>
            <c:strRef>
              <c:f>Data!$AR$8</c:f>
              <c:strCache>
                <c:ptCount val="1"/>
                <c:pt idx="0">
                  <c:v>Atorvastatin 80mg</c:v>
                </c:pt>
              </c:strCache>
            </c:strRef>
          </c:tx>
          <c:spPr>
            <a:ln w="28575" cap="rnd">
              <a:solidFill>
                <a:schemeClr val="accent2">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Data!$AR$10:$AR$58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2488-4F1D-966E-29BA501416B6}"/>
            </c:ext>
          </c:extLst>
        </c:ser>
        <c:ser>
          <c:idx val="8"/>
          <c:order val="8"/>
          <c:tx>
            <c:strRef>
              <c:f>Data!$AS$8</c:f>
              <c:strCache>
                <c:ptCount val="1"/>
                <c:pt idx="0">
                  <c:v>Pravastatin</c:v>
                </c:pt>
              </c:strCache>
            </c:strRef>
          </c:tx>
          <c:spPr>
            <a:ln w="28575" cap="rnd">
              <a:solidFill>
                <a:schemeClr val="accent3">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Data!$AS$10:$AS$58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2488-4F1D-966E-29BA501416B6}"/>
            </c:ext>
          </c:extLst>
        </c:ser>
        <c:ser>
          <c:idx val="9"/>
          <c:order val="9"/>
          <c:tx>
            <c:strRef>
              <c:f>Data!$AT$8</c:f>
              <c:strCache>
                <c:ptCount val="1"/>
                <c:pt idx="0">
                  <c:v>Simvastatin 5mg</c:v>
                </c:pt>
              </c:strCache>
            </c:strRef>
          </c:tx>
          <c:spPr>
            <a:ln w="28575" cap="rnd">
              <a:solidFill>
                <a:schemeClr val="accent4">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Data!$AT$10:$AT$58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2488-4F1D-966E-29BA501416B6}"/>
            </c:ext>
          </c:extLst>
        </c:ser>
        <c:ser>
          <c:idx val="10"/>
          <c:order val="10"/>
          <c:tx>
            <c:strRef>
              <c:f>Data!$AU$8</c:f>
              <c:strCache>
                <c:ptCount val="1"/>
                <c:pt idx="0">
                  <c:v>Simvastatin 10mg</c:v>
                </c:pt>
              </c:strCache>
            </c:strRef>
          </c:tx>
          <c:spPr>
            <a:ln w="28575" cap="rnd">
              <a:solidFill>
                <a:schemeClr val="accent5">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Data!$AU$10:$AU$58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2488-4F1D-966E-29BA501416B6}"/>
            </c:ext>
          </c:extLst>
        </c:ser>
        <c:ser>
          <c:idx val="11"/>
          <c:order val="11"/>
          <c:tx>
            <c:strRef>
              <c:f>Data!$AV$8</c:f>
              <c:strCache>
                <c:ptCount val="1"/>
                <c:pt idx="0">
                  <c:v>Simvastatin 20mg</c:v>
                </c:pt>
              </c:strCache>
            </c:strRef>
          </c:tx>
          <c:spPr>
            <a:ln w="28575" cap="rnd">
              <a:solidFill>
                <a:schemeClr val="accent6">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Data!$AV$10:$AV$58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2488-4F1D-966E-29BA501416B6}"/>
            </c:ext>
          </c:extLst>
        </c:ser>
        <c:ser>
          <c:idx val="12"/>
          <c:order val="12"/>
          <c:tx>
            <c:strRef>
              <c:f>Data!$AW$8</c:f>
              <c:strCache>
                <c:ptCount val="1"/>
                <c:pt idx="0">
                  <c:v>Simvastatin 40mg</c:v>
                </c:pt>
              </c:strCache>
            </c:strRef>
          </c:tx>
          <c:spPr>
            <a:ln w="28575" cap="rnd">
              <a:solidFill>
                <a:schemeClr val="accent1">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Data!$AW$10:$AW$58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2488-4F1D-966E-29BA501416B6}"/>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Data!$AX$10:$AX$58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2488-4F1D-966E-29BA501416B6}"/>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Overall Survival Curves - Extrapolation from Median Survival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Rosuvastatin 5mg</c:v>
                </c:pt>
              </c:strCache>
            </c:strRef>
          </c:tx>
          <c:spPr>
            <a:ln w="28575" cap="rnd">
              <a:solidFill>
                <a:schemeClr val="accent1"/>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Data!$AK$110:$AK$158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A598-4193-BA3D-4C7BDA1C2625}"/>
            </c:ext>
          </c:extLst>
        </c:ser>
        <c:ser>
          <c:idx val="1"/>
          <c:order val="1"/>
          <c:tx>
            <c:strRef>
              <c:f>Data!$AL$8</c:f>
              <c:strCache>
                <c:ptCount val="1"/>
                <c:pt idx="0">
                  <c:v>Rosuvastatin 10mg</c:v>
                </c:pt>
              </c:strCache>
            </c:strRef>
          </c:tx>
          <c:spPr>
            <a:ln w="28575" cap="rnd">
              <a:solidFill>
                <a:schemeClr val="accent2"/>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Data!$AL$110:$AL$158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A598-4193-BA3D-4C7BDA1C2625}"/>
            </c:ext>
          </c:extLst>
        </c:ser>
        <c:ser>
          <c:idx val="2"/>
          <c:order val="2"/>
          <c:tx>
            <c:strRef>
              <c:f>Data!$AM$8</c:f>
              <c:strCache>
                <c:ptCount val="1"/>
                <c:pt idx="0">
                  <c:v>Rosuvastatin 20mg</c:v>
                </c:pt>
              </c:strCache>
            </c:strRef>
          </c:tx>
          <c:spPr>
            <a:ln w="28575" cap="rnd">
              <a:solidFill>
                <a:schemeClr val="accent3"/>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Data!$AM$110:$AM$158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A598-4193-BA3D-4C7BDA1C2625}"/>
            </c:ext>
          </c:extLst>
        </c:ser>
        <c:ser>
          <c:idx val="3"/>
          <c:order val="3"/>
          <c:tx>
            <c:strRef>
              <c:f>Data!$AN$8</c:f>
              <c:strCache>
                <c:ptCount val="1"/>
                <c:pt idx="0">
                  <c:v>Rosuvastatin 40mg</c:v>
                </c:pt>
              </c:strCache>
            </c:strRef>
          </c:tx>
          <c:spPr>
            <a:ln w="28575" cap="rnd">
              <a:solidFill>
                <a:schemeClr val="accent4"/>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Data!$AN$110:$AN$158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A598-4193-BA3D-4C7BDA1C2625}"/>
            </c:ext>
          </c:extLst>
        </c:ser>
        <c:ser>
          <c:idx val="4"/>
          <c:order val="4"/>
          <c:tx>
            <c:strRef>
              <c:f>Data!$AO$8</c:f>
              <c:strCache>
                <c:ptCount val="1"/>
                <c:pt idx="0">
                  <c:v>Atorvastatin 10mg</c:v>
                </c:pt>
              </c:strCache>
            </c:strRef>
          </c:tx>
          <c:spPr>
            <a:ln w="28575" cap="rnd">
              <a:solidFill>
                <a:schemeClr val="accent5"/>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Data!$AO$110:$AO$158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A598-4193-BA3D-4C7BDA1C2625}"/>
            </c:ext>
          </c:extLst>
        </c:ser>
        <c:ser>
          <c:idx val="5"/>
          <c:order val="5"/>
          <c:tx>
            <c:strRef>
              <c:f>Data!$AP$8</c:f>
              <c:strCache>
                <c:ptCount val="1"/>
                <c:pt idx="0">
                  <c:v>Atorvastatin 20mg</c:v>
                </c:pt>
              </c:strCache>
            </c:strRef>
          </c:tx>
          <c:spPr>
            <a:ln w="28575" cap="rnd">
              <a:solidFill>
                <a:schemeClr val="accent6"/>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Data!$AP$110:$AP$158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A598-4193-BA3D-4C7BDA1C2625}"/>
            </c:ext>
          </c:extLst>
        </c:ser>
        <c:ser>
          <c:idx val="6"/>
          <c:order val="6"/>
          <c:tx>
            <c:strRef>
              <c:f>Data!$AQ$8</c:f>
              <c:strCache>
                <c:ptCount val="1"/>
                <c:pt idx="0">
                  <c:v>Atorvastatin 40mg</c:v>
                </c:pt>
              </c:strCache>
            </c:strRef>
          </c:tx>
          <c:spPr>
            <a:ln w="28575" cap="rnd">
              <a:solidFill>
                <a:schemeClr val="accent1">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Data!$AQ$110:$AQ$158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A598-4193-BA3D-4C7BDA1C2625}"/>
            </c:ext>
          </c:extLst>
        </c:ser>
        <c:ser>
          <c:idx val="7"/>
          <c:order val="7"/>
          <c:tx>
            <c:strRef>
              <c:f>Data!$AR$8</c:f>
              <c:strCache>
                <c:ptCount val="1"/>
                <c:pt idx="0">
                  <c:v>Atorvastatin 80mg</c:v>
                </c:pt>
              </c:strCache>
            </c:strRef>
          </c:tx>
          <c:spPr>
            <a:ln w="28575" cap="rnd">
              <a:solidFill>
                <a:schemeClr val="accent2">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Data!$AR$110:$AR$158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A598-4193-BA3D-4C7BDA1C2625}"/>
            </c:ext>
          </c:extLst>
        </c:ser>
        <c:ser>
          <c:idx val="8"/>
          <c:order val="8"/>
          <c:tx>
            <c:strRef>
              <c:f>Data!$AS$8</c:f>
              <c:strCache>
                <c:ptCount val="1"/>
                <c:pt idx="0">
                  <c:v>Pravastatin</c:v>
                </c:pt>
              </c:strCache>
            </c:strRef>
          </c:tx>
          <c:spPr>
            <a:ln w="28575" cap="rnd">
              <a:solidFill>
                <a:schemeClr val="accent3">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Data!$AS$110:$AS$158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A598-4193-BA3D-4C7BDA1C2625}"/>
            </c:ext>
          </c:extLst>
        </c:ser>
        <c:ser>
          <c:idx val="9"/>
          <c:order val="9"/>
          <c:tx>
            <c:strRef>
              <c:f>Data!$AT$8</c:f>
              <c:strCache>
                <c:ptCount val="1"/>
                <c:pt idx="0">
                  <c:v>Simvastatin 5mg</c:v>
                </c:pt>
              </c:strCache>
            </c:strRef>
          </c:tx>
          <c:spPr>
            <a:ln w="28575" cap="rnd">
              <a:solidFill>
                <a:schemeClr val="accent4">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Data!$AT$110:$AT$158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A598-4193-BA3D-4C7BDA1C2625}"/>
            </c:ext>
          </c:extLst>
        </c:ser>
        <c:ser>
          <c:idx val="10"/>
          <c:order val="10"/>
          <c:tx>
            <c:strRef>
              <c:f>Data!$AU$8</c:f>
              <c:strCache>
                <c:ptCount val="1"/>
                <c:pt idx="0">
                  <c:v>Simvastatin 10mg</c:v>
                </c:pt>
              </c:strCache>
            </c:strRef>
          </c:tx>
          <c:spPr>
            <a:ln w="28575" cap="rnd">
              <a:solidFill>
                <a:schemeClr val="accent5">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Data!$AU$110:$AU$158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A598-4193-BA3D-4C7BDA1C2625}"/>
            </c:ext>
          </c:extLst>
        </c:ser>
        <c:ser>
          <c:idx val="11"/>
          <c:order val="11"/>
          <c:tx>
            <c:strRef>
              <c:f>Data!$AV$8</c:f>
              <c:strCache>
                <c:ptCount val="1"/>
                <c:pt idx="0">
                  <c:v>Simvastatin 20mg</c:v>
                </c:pt>
              </c:strCache>
            </c:strRef>
          </c:tx>
          <c:spPr>
            <a:ln w="28575" cap="rnd">
              <a:solidFill>
                <a:schemeClr val="accent6">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Data!$AV$110:$AV$158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A598-4193-BA3D-4C7BDA1C2625}"/>
            </c:ext>
          </c:extLst>
        </c:ser>
        <c:ser>
          <c:idx val="12"/>
          <c:order val="12"/>
          <c:tx>
            <c:strRef>
              <c:f>Data!$AW$8</c:f>
              <c:strCache>
                <c:ptCount val="1"/>
                <c:pt idx="0">
                  <c:v>Simvastatin 40mg</c:v>
                </c:pt>
              </c:strCache>
            </c:strRef>
          </c:tx>
          <c:spPr>
            <a:ln w="28575" cap="rnd">
              <a:solidFill>
                <a:schemeClr val="accent1">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Data!$AW$110:$AW$158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A598-4193-BA3D-4C7BDA1C2625}"/>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Data!$AX$110:$AX$158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A598-4193-BA3D-4C7BDA1C2625}"/>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1</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Calculations!$B$54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Calculations!$AI$54:$AM$54</c:f>
              <c:numCache>
                <c:formatCode>#,##0</c:formatCode>
                <c:ptCount val="5"/>
                <c:pt idx="0">
                  <c:v>182122.16792852723</c:v>
                </c:pt>
                <c:pt idx="1">
                  <c:v>183449.96002405311</c:v>
                </c:pt>
                <c:pt idx="2">
                  <c:v>184563.09623321943</c:v>
                </c:pt>
                <c:pt idx="3">
                  <c:v>185519.48022743265</c:v>
                </c:pt>
                <c:pt idx="4">
                  <c:v>186320.83194209018</c:v>
                </c:pt>
              </c:numCache>
            </c:numRef>
          </c:val>
          <c:extLst>
            <c:ext xmlns:c16="http://schemas.microsoft.com/office/drawing/2014/chart" uri="{C3380CC4-5D6E-409C-BE32-E72D297353CC}">
              <c16:uniqueId val="{00000000-D9D0-4702-A069-7BD861F3271F}"/>
            </c:ext>
          </c:extLst>
        </c:ser>
        <c:ser>
          <c:idx val="1"/>
          <c:order val="1"/>
          <c:tx>
            <c:strRef>
              <c:f>Calculations!$B$55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Calculations!$AI$55:$AM$55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9D0-4702-A069-7BD861F3271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2</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Calculations!$B$69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Calculations!$AI$69:$AM$69</c:f>
              <c:numCache>
                <c:formatCode>#,##0</c:formatCode>
                <c:ptCount val="5"/>
                <c:pt idx="0">
                  <c:v>182122.16792852723</c:v>
                </c:pt>
                <c:pt idx="1">
                  <c:v>183449.96002405311</c:v>
                </c:pt>
                <c:pt idx="2">
                  <c:v>184563.09623321943</c:v>
                </c:pt>
                <c:pt idx="3">
                  <c:v>185519.48022743265</c:v>
                </c:pt>
                <c:pt idx="4">
                  <c:v>186320.83194209018</c:v>
                </c:pt>
              </c:numCache>
            </c:numRef>
          </c:val>
          <c:extLst>
            <c:ext xmlns:c16="http://schemas.microsoft.com/office/drawing/2014/chart" uri="{C3380CC4-5D6E-409C-BE32-E72D297353CC}">
              <c16:uniqueId val="{00000000-8E9C-4EEE-8DE4-8FD9896C8393}"/>
            </c:ext>
          </c:extLst>
        </c:ser>
        <c:ser>
          <c:idx val="1"/>
          <c:order val="1"/>
          <c:tx>
            <c:strRef>
              <c:f>Calculations!$B$70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Calculations!$AI$70:$AM$70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8E9C-4EEE-8DE4-8FD9896C8393}"/>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3</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Calculations!$B$84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Calculations!$AI$84:$AM$84</c:f>
              <c:numCache>
                <c:formatCode>#,##0</c:formatCode>
                <c:ptCount val="5"/>
                <c:pt idx="0">
                  <c:v>182122.16792852723</c:v>
                </c:pt>
                <c:pt idx="1">
                  <c:v>183449.96002405311</c:v>
                </c:pt>
                <c:pt idx="2">
                  <c:v>184563.09623321943</c:v>
                </c:pt>
                <c:pt idx="3">
                  <c:v>185519.48022743265</c:v>
                </c:pt>
                <c:pt idx="4">
                  <c:v>186320.83194209018</c:v>
                </c:pt>
              </c:numCache>
            </c:numRef>
          </c:val>
          <c:extLst>
            <c:ext xmlns:c16="http://schemas.microsoft.com/office/drawing/2014/chart" uri="{C3380CC4-5D6E-409C-BE32-E72D297353CC}">
              <c16:uniqueId val="{00000000-353A-4956-987B-171D0B2F1D8F}"/>
            </c:ext>
          </c:extLst>
        </c:ser>
        <c:ser>
          <c:idx val="1"/>
          <c:order val="1"/>
          <c:tx>
            <c:strRef>
              <c:f>Calculations!$B$85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Calculations!$AI$85:$AM$85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53A-4956-987B-171D0B2F1D8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a:t>
            </a:r>
            <a:r>
              <a:rPr lang="pt-BR" baseline="0"/>
              <a:t> 1 - Cenário atual</a:t>
            </a:r>
            <a:endParaRPr lang="pt-B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Calculations!$AH$39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2026</c:v>
                </c:pt>
                <c:pt idx="1">
                  <c:v>2027</c:v>
                </c:pt>
                <c:pt idx="2">
                  <c:v>2028</c:v>
                </c:pt>
                <c:pt idx="3">
                  <c:v>2029</c:v>
                </c:pt>
                <c:pt idx="4">
                  <c:v>2030</c:v>
                </c:pt>
              </c:numCache>
            </c:numRef>
          </c:cat>
          <c:val>
            <c:numRef>
              <c:f>Calculations!$AI$39:$AM$39</c:f>
              <c:numCache>
                <c:formatCode>#,##0</c:formatCode>
                <c:ptCount val="5"/>
                <c:pt idx="0">
                  <c:v>202357.96436503023</c:v>
                </c:pt>
                <c:pt idx="1">
                  <c:v>204017.70448443759</c:v>
                </c:pt>
                <c:pt idx="2">
                  <c:v>205607.89906896092</c:v>
                </c:pt>
                <c:pt idx="3">
                  <c:v>207201.87239264962</c:v>
                </c:pt>
                <c:pt idx="4">
                  <c:v>208804.57582196471</c:v>
                </c:pt>
              </c:numCache>
            </c:numRef>
          </c:val>
          <c:extLst>
            <c:ext xmlns:c16="http://schemas.microsoft.com/office/drawing/2014/chart" uri="{C3380CC4-5D6E-409C-BE32-E72D297353CC}">
              <c16:uniqueId val="{00000000-338F-438D-A047-5C7ED784E182}"/>
            </c:ext>
          </c:extLst>
        </c:ser>
        <c:ser>
          <c:idx val="1"/>
          <c:order val="1"/>
          <c:tx>
            <c:strRef>
              <c:f>Calculations!$AH$40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2026</c:v>
                </c:pt>
                <c:pt idx="1">
                  <c:v>2027</c:v>
                </c:pt>
                <c:pt idx="2">
                  <c:v>2028</c:v>
                </c:pt>
                <c:pt idx="3">
                  <c:v>2029</c:v>
                </c:pt>
                <c:pt idx="4">
                  <c:v>2030</c:v>
                </c:pt>
              </c:numCache>
            </c:numRef>
          </c:cat>
          <c:val>
            <c:numRef>
              <c:f>Calculations!$AI$40:$AM$40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38F-438D-A047-5C7ED784E182}"/>
            </c:ext>
          </c:extLst>
        </c:ser>
        <c:dLbls>
          <c:dLblPos val="ctr"/>
          <c:showLegendKey val="0"/>
          <c:showVal val="1"/>
          <c:showCatName val="0"/>
          <c:showSerName val="0"/>
          <c:showPercent val="0"/>
          <c:showBubbleSize val="0"/>
        </c:dLbls>
        <c:gapWidth val="150"/>
        <c:overlap val="100"/>
        <c:axId val="544272464"/>
        <c:axId val="544273424"/>
      </c:barChart>
      <c:catAx>
        <c:axId val="54427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3424"/>
        <c:crosses val="autoZero"/>
        <c:auto val="1"/>
        <c:lblAlgn val="ctr"/>
        <c:lblOffset val="100"/>
        <c:noMultiLvlLbl val="0"/>
      </c:catAx>
      <c:valAx>
        <c:axId val="5442734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Epidemiological funnel</cx:v>
        </cx:txData>
      </cx:tx>
      <cx:txPr>
        <a:bodyPr spcFirstLastPara="1" vertOverflow="ellipsis" horzOverflow="overflow" wrap="square" lIns="0" tIns="0" rIns="0" bIns="0" anchor="ctr" anchorCtr="1"/>
        <a:lstStyle/>
        <a:p>
          <a:pPr algn="ctr" rtl="0">
            <a:defRPr sz="1000">
              <a:solidFill>
                <a:schemeClr val="tx1"/>
              </a:solidFill>
              <a:latin typeface="+mn-lt"/>
            </a:defRPr>
          </a:pPr>
          <a:r>
            <a:rPr lang="pt-BR" sz="1000" b="0" i="0" u="none" strike="noStrike" baseline="0">
              <a:solidFill>
                <a:schemeClr val="tx1"/>
              </a:solidFill>
              <a:latin typeface="+mn-lt"/>
            </a:rPr>
            <a:t>Epidemiological funnel</a:t>
          </a:r>
        </a:p>
      </cx:txPr>
    </cx:title>
    <cx:plotArea>
      <cx:plotAreaRegion>
        <cx:series layoutId="funnel" uniqueId="{659EFB29-B691-4FE8-8FD6-A97E546F1953}">
          <cx:tx>
            <cx:txData>
              <cx:f>_xlchart.v2.1</cx:f>
              <cx:v>Total</cx:v>
            </cx:txData>
          </cx:tx>
          <cx:data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6DE26DF-9FF5-4B60-8818-E32C1DEE212F}" type="doc">
      <dgm:prSet loTypeId="urn:microsoft.com/office/officeart/2005/8/layout/lProcess2" loCatId="list" qsTypeId="urn:microsoft.com/office/officeart/2005/8/quickstyle/simple1" qsCatId="simple" csTypeId="urn:microsoft.com/office/officeart/2005/8/colors/accent1_2" csCatId="accent1" phldr="1"/>
      <dgm:spPr/>
      <dgm:t>
        <a:bodyPr/>
        <a:lstStyle/>
        <a:p>
          <a:endParaRPr lang="pt-BR"/>
        </a:p>
      </dgm:t>
    </dgm:pt>
    <dgm:pt modelId="{82A04AFB-F35C-4906-8984-FB9C1388B8BC}">
      <dgm:prSet phldrT="[Texto]" custT="1"/>
      <dgm:spPr>
        <a:solidFill>
          <a:schemeClr val="accent6">
            <a:lumMod val="40000"/>
            <a:lumOff val="60000"/>
          </a:schemeClr>
        </a:solidFill>
      </dgm:spPr>
      <dgm:t>
        <a:bodyPr/>
        <a:lstStyle/>
        <a:p>
          <a:r>
            <a:rPr lang="pt-BR" sz="1200" b="1" dirty="0"/>
            <a:t>Technology-Specific Costs</a:t>
          </a:r>
        </a:p>
      </dgm:t>
    </dgm:pt>
    <dgm:pt modelId="{FAEEE7C9-FD1E-4D0F-B396-293EE9963374}" type="parTrans" cxnId="{16492548-5670-48E6-9FAD-68717A5A2AD3}">
      <dgm:prSet/>
      <dgm:spPr/>
      <dgm:t>
        <a:bodyPr/>
        <a:lstStyle/>
        <a:p>
          <a:endParaRPr lang="pt-BR" sz="1000"/>
        </a:p>
      </dgm:t>
    </dgm:pt>
    <dgm:pt modelId="{B71D6376-CF06-462F-8D41-625D6537621D}" type="sibTrans" cxnId="{16492548-5670-48E6-9FAD-68717A5A2AD3}">
      <dgm:prSet/>
      <dgm:spPr/>
      <dgm:t>
        <a:bodyPr/>
        <a:lstStyle/>
        <a:p>
          <a:endParaRPr lang="pt-BR" sz="1000"/>
        </a:p>
      </dgm:t>
    </dgm:pt>
    <dgm:pt modelId="{D7E91861-5BC4-4537-8ABE-A067DD0003DB}">
      <dgm:prSet phldrT="[Texto]" custT="1"/>
      <dgm:spPr>
        <a:solidFill>
          <a:srgbClr val="686A10"/>
        </a:solidFill>
      </dgm:spPr>
      <dgm:t>
        <a:bodyPr/>
        <a:lstStyle/>
        <a:p>
          <a:r>
            <a:rPr lang="pt-BR" sz="1000" dirty="0"/>
            <a:t>6.1.1. Initial treatment cost (e.g., induction therapy)</a:t>
          </a:r>
        </a:p>
      </dgm:t>
    </dgm:pt>
    <dgm:pt modelId="{FA4B955A-CDA7-4946-B38C-DF78112B19D0}" type="parTrans" cxnId="{C515205B-1CC8-4105-A38B-996309470C35}">
      <dgm:prSet/>
      <dgm:spPr/>
      <dgm:t>
        <a:bodyPr/>
        <a:lstStyle/>
        <a:p>
          <a:endParaRPr lang="pt-BR" sz="1000"/>
        </a:p>
      </dgm:t>
    </dgm:pt>
    <dgm:pt modelId="{EA176569-7390-4D86-A99E-F077F0D35B0B}" type="sibTrans" cxnId="{C515205B-1CC8-4105-A38B-996309470C35}">
      <dgm:prSet/>
      <dgm:spPr/>
      <dgm:t>
        <a:bodyPr/>
        <a:lstStyle/>
        <a:p>
          <a:endParaRPr lang="pt-BR" sz="1000"/>
        </a:p>
      </dgm:t>
    </dgm:pt>
    <dgm:pt modelId="{D3FC16ED-2D62-420F-A894-6543BE6E45A1}">
      <dgm:prSet phldrT="[Texto]" custT="1"/>
      <dgm:spPr>
        <a:solidFill>
          <a:srgbClr val="686A10"/>
        </a:solidFill>
      </dgm:spPr>
      <dgm:t>
        <a:bodyPr/>
        <a:lstStyle/>
        <a:p>
          <a:r>
            <a:rPr lang="pt-BR" sz="1000" dirty="0"/>
            <a:t>6.1.2. Ongoing monthly treatment cost (recurrent/continuous)</a:t>
          </a:r>
        </a:p>
      </dgm:t>
    </dgm:pt>
    <dgm:pt modelId="{2CD6DF31-91B0-43D1-BF1C-B76007ED9628}" type="parTrans" cxnId="{5B70744E-6F97-4BC6-926C-568628F1BC33}">
      <dgm:prSet/>
      <dgm:spPr/>
      <dgm:t>
        <a:bodyPr/>
        <a:lstStyle/>
        <a:p>
          <a:endParaRPr lang="pt-BR" sz="1000"/>
        </a:p>
      </dgm:t>
    </dgm:pt>
    <dgm:pt modelId="{A275EC1F-323C-4468-B50E-2603AE6A250D}" type="sibTrans" cxnId="{5B70744E-6F97-4BC6-926C-568628F1BC33}">
      <dgm:prSet/>
      <dgm:spPr/>
      <dgm:t>
        <a:bodyPr/>
        <a:lstStyle/>
        <a:p>
          <a:endParaRPr lang="pt-BR" sz="1000"/>
        </a:p>
      </dgm:t>
    </dgm:pt>
    <dgm:pt modelId="{0543F66E-5D4E-4EA4-9D0A-14FDE5F25CD3}">
      <dgm:prSet phldrT="[Texto]" custT="1"/>
      <dgm:spPr>
        <a:solidFill>
          <a:schemeClr val="accent3">
            <a:lumMod val="20000"/>
            <a:lumOff val="80000"/>
          </a:schemeClr>
        </a:solidFill>
      </dgm:spPr>
      <dgm:t>
        <a:bodyPr/>
        <a:lstStyle/>
        <a:p>
          <a:r>
            <a:rPr lang="pt-BR" sz="1200" b="1" dirty="0"/>
            <a:t>General Costs for All Technologies</a:t>
          </a:r>
        </a:p>
      </dgm:t>
    </dgm:pt>
    <dgm:pt modelId="{71E71121-63E6-4BA1-8EDF-3B3EDE720CFB}" type="parTrans" cxnId="{756E7E7E-A15A-4F58-8BCB-662DB4523B43}">
      <dgm:prSet/>
      <dgm:spPr/>
      <dgm:t>
        <a:bodyPr/>
        <a:lstStyle/>
        <a:p>
          <a:endParaRPr lang="pt-BR" sz="1000"/>
        </a:p>
      </dgm:t>
    </dgm:pt>
    <dgm:pt modelId="{4445D0FD-F19B-4AA1-9F15-0B6E8A195F02}" type="sibTrans" cxnId="{756E7E7E-A15A-4F58-8BCB-662DB4523B43}">
      <dgm:prSet/>
      <dgm:spPr/>
      <dgm:t>
        <a:bodyPr/>
        <a:lstStyle/>
        <a:p>
          <a:endParaRPr lang="pt-BR" sz="1000"/>
        </a:p>
      </dgm:t>
    </dgm:pt>
    <dgm:pt modelId="{68B04809-A1B8-4504-BE35-1FE060095996}">
      <dgm:prSet phldrT="[Texto]" custT="1"/>
      <dgm:spPr>
        <a:solidFill>
          <a:schemeClr val="tx2">
            <a:lumMod val="75000"/>
          </a:schemeClr>
        </a:solidFill>
      </dgm:spPr>
      <dgm:t>
        <a:bodyPr/>
        <a:lstStyle/>
        <a:p>
          <a:r>
            <a:rPr lang="pt-BR" sz="1000" dirty="0"/>
            <a:t>6.1.4. Initial general costs (e.g., molecular testing)</a:t>
          </a:r>
        </a:p>
      </dgm:t>
    </dgm:pt>
    <dgm:pt modelId="{501C7D79-F2DB-4FD3-9397-10D95D42A59B}" type="parTrans" cxnId="{ED711A15-3F97-42DE-912C-08E7D4E5ED52}">
      <dgm:prSet/>
      <dgm:spPr/>
      <dgm:t>
        <a:bodyPr/>
        <a:lstStyle/>
        <a:p>
          <a:endParaRPr lang="pt-BR" sz="1000"/>
        </a:p>
      </dgm:t>
    </dgm:pt>
    <dgm:pt modelId="{416A5528-3A69-4ED1-8D4F-4497F912BFDB}" type="sibTrans" cxnId="{ED711A15-3F97-42DE-912C-08E7D4E5ED52}">
      <dgm:prSet/>
      <dgm:spPr/>
      <dgm:t>
        <a:bodyPr/>
        <a:lstStyle/>
        <a:p>
          <a:endParaRPr lang="pt-BR" sz="1000"/>
        </a:p>
      </dgm:t>
    </dgm:pt>
    <dgm:pt modelId="{533A196C-CFEC-4AE5-BADC-B0BC21CC25AA}">
      <dgm:prSet phldrT="[Texto]" custT="1"/>
      <dgm:spPr>
        <a:solidFill>
          <a:srgbClr val="686A10"/>
        </a:solidFill>
      </dgm:spPr>
      <dgm:t>
        <a:bodyPr/>
        <a:lstStyle/>
        <a:p>
          <a:r>
            <a:rPr lang="pt-BR" sz="1000" dirty="0"/>
            <a:t>6.1.3. Additional monthly costs (e.g., adverse event monitoring)</a:t>
          </a:r>
        </a:p>
      </dgm:t>
    </dgm:pt>
    <dgm:pt modelId="{6A95C5A3-30D5-4B9E-A976-E3D7749622FD}" type="parTrans" cxnId="{1D7E3122-43C4-4C57-8289-AD2E7C77CC1E}">
      <dgm:prSet/>
      <dgm:spPr/>
      <dgm:t>
        <a:bodyPr/>
        <a:lstStyle/>
        <a:p>
          <a:endParaRPr lang="pt-BR" sz="1000"/>
        </a:p>
      </dgm:t>
    </dgm:pt>
    <dgm:pt modelId="{1CC77DA4-FEFD-4335-8B8D-0DAF8A75136E}" type="sibTrans" cxnId="{1D7E3122-43C4-4C57-8289-AD2E7C77CC1E}">
      <dgm:prSet/>
      <dgm:spPr/>
      <dgm:t>
        <a:bodyPr/>
        <a:lstStyle/>
        <a:p>
          <a:endParaRPr lang="pt-BR" sz="1000"/>
        </a:p>
      </dgm:t>
    </dgm:pt>
    <dgm:pt modelId="{5D901CDD-36D5-4F8F-8783-1CEE002B5771}">
      <dgm:prSet phldrT="[Texto]" custT="1"/>
      <dgm:spPr>
        <a:solidFill>
          <a:schemeClr val="tx2">
            <a:lumMod val="75000"/>
          </a:schemeClr>
        </a:solidFill>
      </dgm:spPr>
      <dgm:t>
        <a:bodyPr/>
        <a:lstStyle/>
        <a:p>
          <a:r>
            <a:rPr lang="pt-BR" sz="1000" dirty="0"/>
            <a:t>6.1.5. Monthly costs DURING treatment (e.g., routine follow-up)</a:t>
          </a:r>
        </a:p>
      </dgm:t>
    </dgm:pt>
    <dgm:pt modelId="{1BBBEA50-3146-495F-B85C-6678D71A8FB0}" type="parTrans" cxnId="{591BF026-5367-49A2-B008-2168E0F601CE}">
      <dgm:prSet/>
      <dgm:spPr/>
      <dgm:t>
        <a:bodyPr/>
        <a:lstStyle/>
        <a:p>
          <a:endParaRPr lang="pt-BR" sz="1000"/>
        </a:p>
      </dgm:t>
    </dgm:pt>
    <dgm:pt modelId="{6020C550-7398-4578-B429-47346C52DD78}" type="sibTrans" cxnId="{591BF026-5367-49A2-B008-2168E0F601CE}">
      <dgm:prSet/>
      <dgm:spPr/>
      <dgm:t>
        <a:bodyPr/>
        <a:lstStyle/>
        <a:p>
          <a:endParaRPr lang="pt-BR" sz="1000"/>
        </a:p>
      </dgm:t>
    </dgm:pt>
    <dgm:pt modelId="{D350B595-2166-47ED-A1C3-F51114F0F56D}">
      <dgm:prSet phldrT="[Texto]" custT="1"/>
      <dgm:spPr>
        <a:solidFill>
          <a:schemeClr val="tx2">
            <a:lumMod val="75000"/>
          </a:schemeClr>
        </a:solidFill>
      </dgm:spPr>
      <dgm:t>
        <a:bodyPr/>
        <a:lstStyle/>
        <a:p>
          <a:r>
            <a:rPr lang="pt-BR" sz="1000" dirty="0"/>
            <a:t>6.1.6. Monthly costs AFTER treatment (e.g., progression-related costs)</a:t>
          </a:r>
        </a:p>
      </dgm:t>
    </dgm:pt>
    <dgm:pt modelId="{336AF82C-E8FB-4395-9756-B3455031E946}" type="parTrans" cxnId="{45C166C6-C974-4177-8643-8A5F78604F39}">
      <dgm:prSet/>
      <dgm:spPr/>
      <dgm:t>
        <a:bodyPr/>
        <a:lstStyle/>
        <a:p>
          <a:endParaRPr lang="pt-BR" sz="1000"/>
        </a:p>
      </dgm:t>
    </dgm:pt>
    <dgm:pt modelId="{8EDC820A-A423-45AD-97A8-5C988C8E5DB7}" type="sibTrans" cxnId="{45C166C6-C974-4177-8643-8A5F78604F39}">
      <dgm:prSet/>
      <dgm:spPr/>
      <dgm:t>
        <a:bodyPr/>
        <a:lstStyle/>
        <a:p>
          <a:endParaRPr lang="pt-BR" sz="1000"/>
        </a:p>
      </dgm:t>
    </dgm:pt>
    <dgm:pt modelId="{5FE7150C-8591-4770-8FE3-9B043C3D576E}" type="pres">
      <dgm:prSet presAssocID="{56DE26DF-9FF5-4B60-8818-E32C1DEE212F}" presName="theList" presStyleCnt="0">
        <dgm:presLayoutVars>
          <dgm:dir/>
          <dgm:animLvl val="lvl"/>
          <dgm:resizeHandles val="exact"/>
        </dgm:presLayoutVars>
      </dgm:prSet>
      <dgm:spPr/>
    </dgm:pt>
    <dgm:pt modelId="{E66F1DB7-78CD-4E2B-9AED-36CD6A19BAF2}" type="pres">
      <dgm:prSet presAssocID="{82A04AFB-F35C-4906-8984-FB9C1388B8BC}" presName="compNode" presStyleCnt="0"/>
      <dgm:spPr/>
    </dgm:pt>
    <dgm:pt modelId="{E57D96B0-5DDE-4861-9BC7-7FF0718B60EA}" type="pres">
      <dgm:prSet presAssocID="{82A04AFB-F35C-4906-8984-FB9C1388B8BC}" presName="aNode" presStyleLbl="bgShp" presStyleIdx="0" presStyleCnt="2" custLinFactNeighborX="-18987" custLinFactNeighborY="-16908"/>
      <dgm:spPr/>
    </dgm:pt>
    <dgm:pt modelId="{A971ABF2-C245-4CDA-B508-24D2CBA68F51}" type="pres">
      <dgm:prSet presAssocID="{82A04AFB-F35C-4906-8984-FB9C1388B8BC}" presName="textNode" presStyleLbl="bgShp" presStyleIdx="0" presStyleCnt="2"/>
      <dgm:spPr/>
    </dgm:pt>
    <dgm:pt modelId="{28FC0A97-92C3-4361-BACE-4D4DCCDAEC5E}" type="pres">
      <dgm:prSet presAssocID="{82A04AFB-F35C-4906-8984-FB9C1388B8BC}" presName="compChildNode" presStyleCnt="0"/>
      <dgm:spPr/>
    </dgm:pt>
    <dgm:pt modelId="{9E0FC7B4-2814-446C-9D72-9FB682175E6C}" type="pres">
      <dgm:prSet presAssocID="{82A04AFB-F35C-4906-8984-FB9C1388B8BC}" presName="theInnerList" presStyleCnt="0"/>
      <dgm:spPr/>
    </dgm:pt>
    <dgm:pt modelId="{88512D4D-0D2B-4960-B981-45FD8E6902FF}" type="pres">
      <dgm:prSet presAssocID="{D7E91861-5BC4-4537-8ABE-A067DD0003DB}" presName="childNode" presStyleLbl="node1" presStyleIdx="0" presStyleCnt="6">
        <dgm:presLayoutVars>
          <dgm:bulletEnabled val="1"/>
        </dgm:presLayoutVars>
      </dgm:prSet>
      <dgm:spPr/>
    </dgm:pt>
    <dgm:pt modelId="{C56120B0-13B3-4A8E-AF17-7D7997F45365}" type="pres">
      <dgm:prSet presAssocID="{D7E91861-5BC4-4537-8ABE-A067DD0003DB}" presName="aSpace2" presStyleCnt="0"/>
      <dgm:spPr/>
    </dgm:pt>
    <dgm:pt modelId="{87937309-444C-47D5-B38C-A1FE2518E68E}" type="pres">
      <dgm:prSet presAssocID="{D3FC16ED-2D62-420F-A894-6543BE6E45A1}" presName="childNode" presStyleLbl="node1" presStyleIdx="1" presStyleCnt="6">
        <dgm:presLayoutVars>
          <dgm:bulletEnabled val="1"/>
        </dgm:presLayoutVars>
      </dgm:prSet>
      <dgm:spPr/>
    </dgm:pt>
    <dgm:pt modelId="{D708E788-7314-49A2-8934-AF8208FC57C1}" type="pres">
      <dgm:prSet presAssocID="{D3FC16ED-2D62-420F-A894-6543BE6E45A1}" presName="aSpace2" presStyleCnt="0"/>
      <dgm:spPr/>
    </dgm:pt>
    <dgm:pt modelId="{E7D0DB12-B9DE-4B49-A14C-AE9BDA250EC1}" type="pres">
      <dgm:prSet presAssocID="{533A196C-CFEC-4AE5-BADC-B0BC21CC25AA}" presName="childNode" presStyleLbl="node1" presStyleIdx="2" presStyleCnt="6">
        <dgm:presLayoutVars>
          <dgm:bulletEnabled val="1"/>
        </dgm:presLayoutVars>
      </dgm:prSet>
      <dgm:spPr/>
    </dgm:pt>
    <dgm:pt modelId="{8D3AF980-2B14-49C3-8811-DC8D88D2AA93}" type="pres">
      <dgm:prSet presAssocID="{82A04AFB-F35C-4906-8984-FB9C1388B8BC}" presName="aSpace" presStyleCnt="0"/>
      <dgm:spPr/>
    </dgm:pt>
    <dgm:pt modelId="{315A2809-B4B7-4EE9-872D-0817C75A0B4C}" type="pres">
      <dgm:prSet presAssocID="{0543F66E-5D4E-4EA4-9D0A-14FDE5F25CD3}" presName="compNode" presStyleCnt="0"/>
      <dgm:spPr/>
    </dgm:pt>
    <dgm:pt modelId="{6D4A1F18-AB19-42D1-B23B-99F41011B617}" type="pres">
      <dgm:prSet presAssocID="{0543F66E-5D4E-4EA4-9D0A-14FDE5F25CD3}" presName="aNode" presStyleLbl="bgShp" presStyleIdx="1" presStyleCnt="2"/>
      <dgm:spPr/>
    </dgm:pt>
    <dgm:pt modelId="{8705E5C2-45AE-4EED-A585-3D0E14BB6FD9}" type="pres">
      <dgm:prSet presAssocID="{0543F66E-5D4E-4EA4-9D0A-14FDE5F25CD3}" presName="textNode" presStyleLbl="bgShp" presStyleIdx="1" presStyleCnt="2"/>
      <dgm:spPr/>
    </dgm:pt>
    <dgm:pt modelId="{CEF54AA1-6690-4D19-80A4-302E4069FCC5}" type="pres">
      <dgm:prSet presAssocID="{0543F66E-5D4E-4EA4-9D0A-14FDE5F25CD3}" presName="compChildNode" presStyleCnt="0"/>
      <dgm:spPr/>
    </dgm:pt>
    <dgm:pt modelId="{EDE3B3DB-48C3-4351-A0BA-F04281BEBD8D}" type="pres">
      <dgm:prSet presAssocID="{0543F66E-5D4E-4EA4-9D0A-14FDE5F25CD3}" presName="theInnerList" presStyleCnt="0"/>
      <dgm:spPr/>
    </dgm:pt>
    <dgm:pt modelId="{B407A87B-58B8-4399-BCAA-8CF8B3915EAF}" type="pres">
      <dgm:prSet presAssocID="{68B04809-A1B8-4504-BE35-1FE060095996}" presName="childNode" presStyleLbl="node1" presStyleIdx="3" presStyleCnt="6">
        <dgm:presLayoutVars>
          <dgm:bulletEnabled val="1"/>
        </dgm:presLayoutVars>
      </dgm:prSet>
      <dgm:spPr/>
    </dgm:pt>
    <dgm:pt modelId="{4904F188-A0ED-4463-8111-60599200E013}" type="pres">
      <dgm:prSet presAssocID="{68B04809-A1B8-4504-BE35-1FE060095996}" presName="aSpace2" presStyleCnt="0"/>
      <dgm:spPr/>
    </dgm:pt>
    <dgm:pt modelId="{CAD01943-AF78-49A9-A5A7-D9253BDC1D38}" type="pres">
      <dgm:prSet presAssocID="{5D901CDD-36D5-4F8F-8783-1CEE002B5771}" presName="childNode" presStyleLbl="node1" presStyleIdx="4" presStyleCnt="6">
        <dgm:presLayoutVars>
          <dgm:bulletEnabled val="1"/>
        </dgm:presLayoutVars>
      </dgm:prSet>
      <dgm:spPr/>
    </dgm:pt>
    <dgm:pt modelId="{B6AD1283-B01D-499C-A12C-342A5B444FEF}" type="pres">
      <dgm:prSet presAssocID="{5D901CDD-36D5-4F8F-8783-1CEE002B5771}" presName="aSpace2" presStyleCnt="0"/>
      <dgm:spPr/>
    </dgm:pt>
    <dgm:pt modelId="{D24F3DF7-D72B-452B-A723-8AFDBB205F7B}" type="pres">
      <dgm:prSet presAssocID="{D350B595-2166-47ED-A1C3-F51114F0F56D}" presName="childNode" presStyleLbl="node1" presStyleIdx="5" presStyleCnt="6">
        <dgm:presLayoutVars>
          <dgm:bulletEnabled val="1"/>
        </dgm:presLayoutVars>
      </dgm:prSet>
      <dgm:spPr/>
    </dgm:pt>
  </dgm:ptLst>
  <dgm:cxnLst>
    <dgm:cxn modelId="{F5FD320B-D84E-4726-B1A6-69941423B930}" type="presOf" srcId="{56DE26DF-9FF5-4B60-8818-E32C1DEE212F}" destId="{5FE7150C-8591-4770-8FE3-9B043C3D576E}" srcOrd="0" destOrd="0" presId="urn:microsoft.com/office/officeart/2005/8/layout/lProcess2"/>
    <dgm:cxn modelId="{ED711A15-3F97-42DE-912C-08E7D4E5ED52}" srcId="{0543F66E-5D4E-4EA4-9D0A-14FDE5F25CD3}" destId="{68B04809-A1B8-4504-BE35-1FE060095996}" srcOrd="0" destOrd="0" parTransId="{501C7D79-F2DB-4FD3-9397-10D95D42A59B}" sibTransId="{416A5528-3A69-4ED1-8D4F-4497F912BFDB}"/>
    <dgm:cxn modelId="{1D7E3122-43C4-4C57-8289-AD2E7C77CC1E}" srcId="{82A04AFB-F35C-4906-8984-FB9C1388B8BC}" destId="{533A196C-CFEC-4AE5-BADC-B0BC21CC25AA}" srcOrd="2" destOrd="0" parTransId="{6A95C5A3-30D5-4B9E-A976-E3D7749622FD}" sibTransId="{1CC77DA4-FEFD-4335-8B8D-0DAF8A75136E}"/>
    <dgm:cxn modelId="{887DA422-CA8A-4C86-A5D1-8F34624B8021}" type="presOf" srcId="{D7E91861-5BC4-4537-8ABE-A067DD0003DB}" destId="{88512D4D-0D2B-4960-B981-45FD8E6902FF}" srcOrd="0" destOrd="0" presId="urn:microsoft.com/office/officeart/2005/8/layout/lProcess2"/>
    <dgm:cxn modelId="{5FC5BF23-B796-4DB7-ACF6-CFCED33F992D}" type="presOf" srcId="{68B04809-A1B8-4504-BE35-1FE060095996}" destId="{B407A87B-58B8-4399-BCAA-8CF8B3915EAF}" srcOrd="0" destOrd="0" presId="urn:microsoft.com/office/officeart/2005/8/layout/lProcess2"/>
    <dgm:cxn modelId="{591BF026-5367-49A2-B008-2168E0F601CE}" srcId="{0543F66E-5D4E-4EA4-9D0A-14FDE5F25CD3}" destId="{5D901CDD-36D5-4F8F-8783-1CEE002B5771}" srcOrd="1" destOrd="0" parTransId="{1BBBEA50-3146-495F-B85C-6678D71A8FB0}" sibTransId="{6020C550-7398-4578-B429-47346C52DD78}"/>
    <dgm:cxn modelId="{C515205B-1CC8-4105-A38B-996309470C35}" srcId="{82A04AFB-F35C-4906-8984-FB9C1388B8BC}" destId="{D7E91861-5BC4-4537-8ABE-A067DD0003DB}" srcOrd="0" destOrd="0" parTransId="{FA4B955A-CDA7-4946-B38C-DF78112B19D0}" sibTransId="{EA176569-7390-4D86-A99E-F077F0D35B0B}"/>
    <dgm:cxn modelId="{16492548-5670-48E6-9FAD-68717A5A2AD3}" srcId="{56DE26DF-9FF5-4B60-8818-E32C1DEE212F}" destId="{82A04AFB-F35C-4906-8984-FB9C1388B8BC}" srcOrd="0" destOrd="0" parTransId="{FAEEE7C9-FD1E-4D0F-B396-293EE9963374}" sibTransId="{B71D6376-CF06-462F-8D41-625D6537621D}"/>
    <dgm:cxn modelId="{30B9926C-B52C-4040-9FD3-EB849ED7CF0E}" type="presOf" srcId="{82A04AFB-F35C-4906-8984-FB9C1388B8BC}" destId="{A971ABF2-C245-4CDA-B508-24D2CBA68F51}" srcOrd="1" destOrd="0" presId="urn:microsoft.com/office/officeart/2005/8/layout/lProcess2"/>
    <dgm:cxn modelId="{5B70744E-6F97-4BC6-926C-568628F1BC33}" srcId="{82A04AFB-F35C-4906-8984-FB9C1388B8BC}" destId="{D3FC16ED-2D62-420F-A894-6543BE6E45A1}" srcOrd="1" destOrd="0" parTransId="{2CD6DF31-91B0-43D1-BF1C-B76007ED9628}" sibTransId="{A275EC1F-323C-4468-B50E-2603AE6A250D}"/>
    <dgm:cxn modelId="{1C6D1854-D229-4D2A-A4A5-B07DA1C33589}" type="presOf" srcId="{0543F66E-5D4E-4EA4-9D0A-14FDE5F25CD3}" destId="{6D4A1F18-AB19-42D1-B23B-99F41011B617}" srcOrd="0" destOrd="0" presId="urn:microsoft.com/office/officeart/2005/8/layout/lProcess2"/>
    <dgm:cxn modelId="{756E7E7E-A15A-4F58-8BCB-662DB4523B43}" srcId="{56DE26DF-9FF5-4B60-8818-E32C1DEE212F}" destId="{0543F66E-5D4E-4EA4-9D0A-14FDE5F25CD3}" srcOrd="1" destOrd="0" parTransId="{71E71121-63E6-4BA1-8EDF-3B3EDE720CFB}" sibTransId="{4445D0FD-F19B-4AA1-9F15-0B6E8A195F02}"/>
    <dgm:cxn modelId="{7F0AAD8A-9D94-4A72-B964-F8773001FE6C}" type="presOf" srcId="{D350B595-2166-47ED-A1C3-F51114F0F56D}" destId="{D24F3DF7-D72B-452B-A723-8AFDBB205F7B}" srcOrd="0" destOrd="0" presId="urn:microsoft.com/office/officeart/2005/8/layout/lProcess2"/>
    <dgm:cxn modelId="{75F73A9D-7B23-45CE-925D-FD8AC2E0C8BF}" type="presOf" srcId="{D3FC16ED-2D62-420F-A894-6543BE6E45A1}" destId="{87937309-444C-47D5-B38C-A1FE2518E68E}" srcOrd="0" destOrd="0" presId="urn:microsoft.com/office/officeart/2005/8/layout/lProcess2"/>
    <dgm:cxn modelId="{A88B9FA9-F5A8-48E1-A206-EB9E7D899742}" type="presOf" srcId="{0543F66E-5D4E-4EA4-9D0A-14FDE5F25CD3}" destId="{8705E5C2-45AE-4EED-A585-3D0E14BB6FD9}" srcOrd="1" destOrd="0" presId="urn:microsoft.com/office/officeart/2005/8/layout/lProcess2"/>
    <dgm:cxn modelId="{2D41DFB2-CA08-46B9-924C-5345C500F60A}" type="presOf" srcId="{533A196C-CFEC-4AE5-BADC-B0BC21CC25AA}" destId="{E7D0DB12-B9DE-4B49-A14C-AE9BDA250EC1}" srcOrd="0" destOrd="0" presId="urn:microsoft.com/office/officeart/2005/8/layout/lProcess2"/>
    <dgm:cxn modelId="{45C166C6-C974-4177-8643-8A5F78604F39}" srcId="{0543F66E-5D4E-4EA4-9D0A-14FDE5F25CD3}" destId="{D350B595-2166-47ED-A1C3-F51114F0F56D}" srcOrd="2" destOrd="0" parTransId="{336AF82C-E8FB-4395-9756-B3455031E946}" sibTransId="{8EDC820A-A423-45AD-97A8-5C988C8E5DB7}"/>
    <dgm:cxn modelId="{26F431DB-0024-4F95-92D9-C8AAFA500EB6}" type="presOf" srcId="{82A04AFB-F35C-4906-8984-FB9C1388B8BC}" destId="{E57D96B0-5DDE-4861-9BC7-7FF0718B60EA}" srcOrd="0" destOrd="0" presId="urn:microsoft.com/office/officeart/2005/8/layout/lProcess2"/>
    <dgm:cxn modelId="{A0F2CEED-B019-4899-9970-8B7A169952D6}" type="presOf" srcId="{5D901CDD-36D5-4F8F-8783-1CEE002B5771}" destId="{CAD01943-AF78-49A9-A5A7-D9253BDC1D38}" srcOrd="0" destOrd="0" presId="urn:microsoft.com/office/officeart/2005/8/layout/lProcess2"/>
    <dgm:cxn modelId="{71566644-0DD2-41DB-8437-573ADBD5C0B2}" type="presParOf" srcId="{5FE7150C-8591-4770-8FE3-9B043C3D576E}" destId="{E66F1DB7-78CD-4E2B-9AED-36CD6A19BAF2}" srcOrd="0" destOrd="0" presId="urn:microsoft.com/office/officeart/2005/8/layout/lProcess2"/>
    <dgm:cxn modelId="{D577F0FB-0723-4371-8084-1FBB8E416A8A}" type="presParOf" srcId="{E66F1DB7-78CD-4E2B-9AED-36CD6A19BAF2}" destId="{E57D96B0-5DDE-4861-9BC7-7FF0718B60EA}" srcOrd="0" destOrd="0" presId="urn:microsoft.com/office/officeart/2005/8/layout/lProcess2"/>
    <dgm:cxn modelId="{711CEEE8-4AE1-4029-B490-45AA75F2658B}" type="presParOf" srcId="{E66F1DB7-78CD-4E2B-9AED-36CD6A19BAF2}" destId="{A971ABF2-C245-4CDA-B508-24D2CBA68F51}" srcOrd="1" destOrd="0" presId="urn:microsoft.com/office/officeart/2005/8/layout/lProcess2"/>
    <dgm:cxn modelId="{5D33B945-54FF-4D27-9E11-1191A6A49825}" type="presParOf" srcId="{E66F1DB7-78CD-4E2B-9AED-36CD6A19BAF2}" destId="{28FC0A97-92C3-4361-BACE-4D4DCCDAEC5E}" srcOrd="2" destOrd="0" presId="urn:microsoft.com/office/officeart/2005/8/layout/lProcess2"/>
    <dgm:cxn modelId="{3B4E09BF-8FEC-4E8E-B2F9-C81B448ABCDC}" type="presParOf" srcId="{28FC0A97-92C3-4361-BACE-4D4DCCDAEC5E}" destId="{9E0FC7B4-2814-446C-9D72-9FB682175E6C}" srcOrd="0" destOrd="0" presId="urn:microsoft.com/office/officeart/2005/8/layout/lProcess2"/>
    <dgm:cxn modelId="{028C5920-3D66-4E91-AD35-9FB48F1F373B}" type="presParOf" srcId="{9E0FC7B4-2814-446C-9D72-9FB682175E6C}" destId="{88512D4D-0D2B-4960-B981-45FD8E6902FF}" srcOrd="0" destOrd="0" presId="urn:microsoft.com/office/officeart/2005/8/layout/lProcess2"/>
    <dgm:cxn modelId="{132FF2F5-96FF-4D27-91B0-F57D175AC20F}" type="presParOf" srcId="{9E0FC7B4-2814-446C-9D72-9FB682175E6C}" destId="{C56120B0-13B3-4A8E-AF17-7D7997F45365}" srcOrd="1" destOrd="0" presId="urn:microsoft.com/office/officeart/2005/8/layout/lProcess2"/>
    <dgm:cxn modelId="{C717E857-EE30-40F6-855A-DCC52D6D0579}" type="presParOf" srcId="{9E0FC7B4-2814-446C-9D72-9FB682175E6C}" destId="{87937309-444C-47D5-B38C-A1FE2518E68E}" srcOrd="2" destOrd="0" presId="urn:microsoft.com/office/officeart/2005/8/layout/lProcess2"/>
    <dgm:cxn modelId="{475D2CBB-E917-4752-9F47-BD04EA6D1796}" type="presParOf" srcId="{9E0FC7B4-2814-446C-9D72-9FB682175E6C}" destId="{D708E788-7314-49A2-8934-AF8208FC57C1}" srcOrd="3" destOrd="0" presId="urn:microsoft.com/office/officeart/2005/8/layout/lProcess2"/>
    <dgm:cxn modelId="{C3D955E7-298A-4756-8BB0-AAC0C86AD578}" type="presParOf" srcId="{9E0FC7B4-2814-446C-9D72-9FB682175E6C}" destId="{E7D0DB12-B9DE-4B49-A14C-AE9BDA250EC1}" srcOrd="4" destOrd="0" presId="urn:microsoft.com/office/officeart/2005/8/layout/lProcess2"/>
    <dgm:cxn modelId="{130DC318-E4CD-4EB8-B100-17B2F4B129FD}" type="presParOf" srcId="{5FE7150C-8591-4770-8FE3-9B043C3D576E}" destId="{8D3AF980-2B14-49C3-8811-DC8D88D2AA93}" srcOrd="1" destOrd="0" presId="urn:microsoft.com/office/officeart/2005/8/layout/lProcess2"/>
    <dgm:cxn modelId="{ADB605DB-A393-4568-80A3-08EEDF13354B}" type="presParOf" srcId="{5FE7150C-8591-4770-8FE3-9B043C3D576E}" destId="{315A2809-B4B7-4EE9-872D-0817C75A0B4C}" srcOrd="2" destOrd="0" presId="urn:microsoft.com/office/officeart/2005/8/layout/lProcess2"/>
    <dgm:cxn modelId="{6E6DB5CB-CEB1-47A9-AD21-1E18432C72E8}" type="presParOf" srcId="{315A2809-B4B7-4EE9-872D-0817C75A0B4C}" destId="{6D4A1F18-AB19-42D1-B23B-99F41011B617}" srcOrd="0" destOrd="0" presId="urn:microsoft.com/office/officeart/2005/8/layout/lProcess2"/>
    <dgm:cxn modelId="{834F9A3F-61AE-4D99-BA68-C71FE2AB69F0}" type="presParOf" srcId="{315A2809-B4B7-4EE9-872D-0817C75A0B4C}" destId="{8705E5C2-45AE-4EED-A585-3D0E14BB6FD9}" srcOrd="1" destOrd="0" presId="urn:microsoft.com/office/officeart/2005/8/layout/lProcess2"/>
    <dgm:cxn modelId="{51DA4CF5-DADC-40CA-A9FF-AAD5A9C77D5C}" type="presParOf" srcId="{315A2809-B4B7-4EE9-872D-0817C75A0B4C}" destId="{CEF54AA1-6690-4D19-80A4-302E4069FCC5}" srcOrd="2" destOrd="0" presId="urn:microsoft.com/office/officeart/2005/8/layout/lProcess2"/>
    <dgm:cxn modelId="{E2C9C481-7BF1-48AE-A067-65706D033D8A}" type="presParOf" srcId="{CEF54AA1-6690-4D19-80A4-302E4069FCC5}" destId="{EDE3B3DB-48C3-4351-A0BA-F04281BEBD8D}" srcOrd="0" destOrd="0" presId="urn:microsoft.com/office/officeart/2005/8/layout/lProcess2"/>
    <dgm:cxn modelId="{B35BAC54-EC03-4233-A6A6-629AD1C62698}" type="presParOf" srcId="{EDE3B3DB-48C3-4351-A0BA-F04281BEBD8D}" destId="{B407A87B-58B8-4399-BCAA-8CF8B3915EAF}" srcOrd="0" destOrd="0" presId="urn:microsoft.com/office/officeart/2005/8/layout/lProcess2"/>
    <dgm:cxn modelId="{28E3AB79-9C60-41F7-9402-EECA2C19DF38}" type="presParOf" srcId="{EDE3B3DB-48C3-4351-A0BA-F04281BEBD8D}" destId="{4904F188-A0ED-4463-8111-60599200E013}" srcOrd="1" destOrd="0" presId="urn:microsoft.com/office/officeart/2005/8/layout/lProcess2"/>
    <dgm:cxn modelId="{7CEE80C6-A610-4322-A56E-601CD991742B}" type="presParOf" srcId="{EDE3B3DB-48C3-4351-A0BA-F04281BEBD8D}" destId="{CAD01943-AF78-49A9-A5A7-D9253BDC1D38}" srcOrd="2" destOrd="0" presId="urn:microsoft.com/office/officeart/2005/8/layout/lProcess2"/>
    <dgm:cxn modelId="{57F1961A-03A3-4C18-B1A5-D14F55F890C0}" type="presParOf" srcId="{EDE3B3DB-48C3-4351-A0BA-F04281BEBD8D}" destId="{B6AD1283-B01D-499C-A12C-342A5B444FEF}" srcOrd="3" destOrd="0" presId="urn:microsoft.com/office/officeart/2005/8/layout/lProcess2"/>
    <dgm:cxn modelId="{598DAB1C-8FAD-422A-A222-A99020F75D05}" type="presParOf" srcId="{EDE3B3DB-48C3-4351-A0BA-F04281BEBD8D}" destId="{D24F3DF7-D72B-452B-A723-8AFDBB205F7B}" srcOrd="4" destOrd="0" presId="urn:microsoft.com/office/officeart/2005/8/layout/lProcess2"/>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57D96B0-5DDE-4861-9BC7-7FF0718B60EA}">
      <dsp:nvSpPr>
        <dsp:cNvPr id="0" name=""/>
        <dsp:cNvSpPr/>
      </dsp:nvSpPr>
      <dsp:spPr>
        <a:xfrm>
          <a:off x="0" y="0"/>
          <a:ext cx="3981056" cy="1743074"/>
        </a:xfrm>
        <a:prstGeom prst="roundRect">
          <a:avLst>
            <a:gd name="adj" fmla="val 10000"/>
          </a:avLst>
        </a:prstGeom>
        <a:solidFill>
          <a:schemeClr val="accent6">
            <a:lumMod val="40000"/>
            <a:lumOff val="6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Technology-Specific Costs</a:t>
          </a:r>
        </a:p>
      </dsp:txBody>
      <dsp:txXfrm>
        <a:off x="0" y="0"/>
        <a:ext cx="3981056" cy="522922"/>
      </dsp:txXfrm>
    </dsp:sp>
    <dsp:sp modelId="{88512D4D-0D2B-4960-B981-45FD8E6902FF}">
      <dsp:nvSpPr>
        <dsp:cNvPr id="0" name=""/>
        <dsp:cNvSpPr/>
      </dsp:nvSpPr>
      <dsp:spPr>
        <a:xfrm>
          <a:off x="402244" y="523071"/>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6.1.1. Initial treatment cost (e.g., induction therapy)</a:t>
          </a:r>
        </a:p>
      </dsp:txBody>
      <dsp:txXfrm>
        <a:off x="412274" y="533101"/>
        <a:ext cx="3164785" cy="322384"/>
      </dsp:txXfrm>
    </dsp:sp>
    <dsp:sp modelId="{87937309-444C-47D5-B38C-A1FE2518E68E}">
      <dsp:nvSpPr>
        <dsp:cNvPr id="0" name=""/>
        <dsp:cNvSpPr/>
      </dsp:nvSpPr>
      <dsp:spPr>
        <a:xfrm>
          <a:off x="402244" y="918199"/>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6.1.2. Ongoing monthly treatment cost (recurrent/continuous)</a:t>
          </a:r>
        </a:p>
      </dsp:txBody>
      <dsp:txXfrm>
        <a:off x="412274" y="928229"/>
        <a:ext cx="3164785" cy="322384"/>
      </dsp:txXfrm>
    </dsp:sp>
    <dsp:sp modelId="{E7D0DB12-B9DE-4B49-A14C-AE9BDA250EC1}">
      <dsp:nvSpPr>
        <dsp:cNvPr id="0" name=""/>
        <dsp:cNvSpPr/>
      </dsp:nvSpPr>
      <dsp:spPr>
        <a:xfrm>
          <a:off x="402244" y="1313327"/>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6.1.3. Additional monthly costs (e.g., adverse event monitoring)</a:t>
          </a:r>
        </a:p>
      </dsp:txBody>
      <dsp:txXfrm>
        <a:off x="412274" y="1323357"/>
        <a:ext cx="3164785" cy="322384"/>
      </dsp:txXfrm>
    </dsp:sp>
    <dsp:sp modelId="{6D4A1F18-AB19-42D1-B23B-99F41011B617}">
      <dsp:nvSpPr>
        <dsp:cNvPr id="0" name=""/>
        <dsp:cNvSpPr/>
      </dsp:nvSpPr>
      <dsp:spPr>
        <a:xfrm>
          <a:off x="4283774" y="0"/>
          <a:ext cx="3981056" cy="1743074"/>
        </a:xfrm>
        <a:prstGeom prst="roundRect">
          <a:avLst>
            <a:gd name="adj" fmla="val 10000"/>
          </a:avLst>
        </a:prstGeom>
        <a:solidFill>
          <a:schemeClr val="accent3">
            <a:lumMod val="20000"/>
            <a:lumOff val="8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General Costs for All Technologies</a:t>
          </a:r>
        </a:p>
      </dsp:txBody>
      <dsp:txXfrm>
        <a:off x="4283774" y="0"/>
        <a:ext cx="3981056" cy="522922"/>
      </dsp:txXfrm>
    </dsp:sp>
    <dsp:sp modelId="{B407A87B-58B8-4399-BCAA-8CF8B3915EAF}">
      <dsp:nvSpPr>
        <dsp:cNvPr id="0" name=""/>
        <dsp:cNvSpPr/>
      </dsp:nvSpPr>
      <dsp:spPr>
        <a:xfrm>
          <a:off x="4681880" y="523071"/>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6.1.4. Initial general costs (e.g., molecular testing)</a:t>
          </a:r>
        </a:p>
      </dsp:txBody>
      <dsp:txXfrm>
        <a:off x="4691910" y="533101"/>
        <a:ext cx="3164785" cy="322384"/>
      </dsp:txXfrm>
    </dsp:sp>
    <dsp:sp modelId="{CAD01943-AF78-49A9-A5A7-D9253BDC1D38}">
      <dsp:nvSpPr>
        <dsp:cNvPr id="0" name=""/>
        <dsp:cNvSpPr/>
      </dsp:nvSpPr>
      <dsp:spPr>
        <a:xfrm>
          <a:off x="4681880" y="918199"/>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6.1.5. Monthly costs DURING treatment (e.g., routine follow-up)</a:t>
          </a:r>
        </a:p>
      </dsp:txBody>
      <dsp:txXfrm>
        <a:off x="4691910" y="928229"/>
        <a:ext cx="3164785" cy="322384"/>
      </dsp:txXfrm>
    </dsp:sp>
    <dsp:sp modelId="{D24F3DF7-D72B-452B-A723-8AFDBB205F7B}">
      <dsp:nvSpPr>
        <dsp:cNvPr id="0" name=""/>
        <dsp:cNvSpPr/>
      </dsp:nvSpPr>
      <dsp:spPr>
        <a:xfrm>
          <a:off x="4681880" y="1313327"/>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6.1.6. Monthly costs AFTER treatment (e.g., progression-related costs)</a:t>
          </a:r>
        </a:p>
      </dsp:txBody>
      <dsp:txXfrm>
        <a:off x="4691910" y="1323357"/>
        <a:ext cx="3164785" cy="322384"/>
      </dsp:txXfrm>
    </dsp:sp>
  </dsp:spTree>
</dsp:drawing>
</file>

<file path=xl/diagrams/layout1.xml><?xml version="1.0" encoding="utf-8"?>
<dgm:layoutDef xmlns:dgm="http://schemas.openxmlformats.org/drawingml/2006/diagram" xmlns:a="http://schemas.openxmlformats.org/drawingml/2006/main" uniqueId="urn:microsoft.com/office/officeart/2005/8/layout/lProcess2">
  <dgm:title val=""/>
  <dgm:desc val=""/>
  <dgm:catLst>
    <dgm:cat type="list" pri="10000"/>
    <dgm:cat type="relationship" pri="13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useDef="1">
    <dgm:dataModel>
      <dgm:ptLst/>
      <dgm:bg/>
      <dgm:whole/>
    </dgm:dataModel>
  </dgm:styleData>
  <dgm:clrData useDef="1">
    <dgm:dataModel>
      <dgm:ptLst/>
      <dgm:bg/>
      <dgm:whole/>
    </dgm:dataModel>
  </dgm:clrData>
  <dgm:layoutNode name="theList">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forName="aSpace" refType="w" fact="0.075"/>
      <dgm:constr type="h" for="des" forName="aSpace2" refType="h" fact="0.1"/>
      <dgm:constr type="primFontSz" for="des" forName="textNode" op="equ"/>
      <dgm:constr type="primFontSz" for="des" forName="childNode" op="equ"/>
    </dgm:constrLst>
    <dgm:ruleLst/>
    <dgm:forEach name="aNodeForEach" axis="ch" ptType="node">
      <dgm:layoutNode name="compNode">
        <dgm:alg type="composite"/>
        <dgm:shape xmlns:r="http://schemas.openxmlformats.org/officeDocument/2006/relationships" r:blip="">
          <dgm:adjLst/>
        </dgm:shape>
        <dgm:presOf/>
        <dgm:constrLst>
          <dgm:constr type="w" for="ch" forName="aNode" refType="w"/>
          <dgm:constr type="h" for="ch" forName="aNode" refType="h"/>
          <dgm:constr type="w" for="ch" forName="textNode" refType="w"/>
          <dgm:constr type="h" for="ch" forName="textNode" refType="h" fact="0.3"/>
          <dgm:constr type="ctrX" for="ch" forName="textNode" refType="w" fact="0.5"/>
          <dgm:constr type="w" for="ch" forName="compChildNode" refType="w" fact="0.8"/>
          <dgm:constr type="h" for="ch" forName="compChildNode" refType="h" fact="0.65"/>
          <dgm:constr type="t" for="ch" forName="compChildNode" refType="h" fact="0.3"/>
          <dgm:constr type="ctrX" for="ch" forName="compChildNode" refType="w" fact="0.5"/>
        </dgm:constrLst>
        <dgm:ruleLst/>
        <dgm:layoutNode name="aNode" styleLbl="bgShp">
          <dgm:alg type="sp"/>
          <dgm:shape xmlns:r="http://schemas.openxmlformats.org/officeDocument/2006/relationships" type="roundRect" r:blip="">
            <dgm:adjLst>
              <dgm:adj idx="1" val="0.1"/>
            </dgm:adjLst>
          </dgm:shape>
          <dgm:presOf axis="self"/>
          <dgm:constrLst/>
          <dgm:ruleLst/>
        </dgm:layoutNode>
        <dgm:layoutNode name="textNode" styleLbl="bgShp">
          <dgm:alg type="tx"/>
          <dgm:shape xmlns:r="http://schemas.openxmlformats.org/officeDocument/2006/relationships" type="rect" r:blip="" hideGeom="1">
            <dgm:adjLst>
              <dgm:adj idx="1" val="0.1"/>
            </dgm:adjLst>
          </dgm:shape>
          <dgm:presOf axis="self"/>
          <dgm:constrLst>
            <dgm:constr type="primFontSz" val="65"/>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compChildNode">
          <dgm:alg type="composite"/>
          <dgm:shape xmlns:r="http://schemas.openxmlformats.org/officeDocument/2006/relationships" r:blip="">
            <dgm:adjLst/>
          </dgm:shape>
          <dgm:presOf/>
          <dgm:constrLst>
            <dgm:constr type="w" for="des" forName="childNode" refType="w"/>
            <dgm:constr type="h" for="des" forName="childNode" refType="h"/>
          </dgm:constrLst>
          <dgm:ruleLst/>
          <dgm:layoutNode name="theInnerList">
            <dgm:alg type="lin">
              <dgm:param type="linDir" val="fromT"/>
            </dgm:alg>
            <dgm:shape xmlns:r="http://schemas.openxmlformats.org/officeDocument/2006/relationships" r:blip="">
              <dgm:adjLst/>
            </dgm:shape>
            <dgm:presOf/>
            <dgm:constrLst/>
            <dgm:ruleLst/>
            <dgm:forEach name="childNodeForEach" axis="ch" ptType="node">
              <dgm:layoutNode name="childNode" styleLbl="node1">
                <dgm:varLst>
                  <dgm:bulletEnabled val="1"/>
                </dgm:varLst>
                <dgm:alg type="tx"/>
                <dgm:shape xmlns:r="http://schemas.openxmlformats.org/officeDocument/2006/relationships" type="roundRect" r:blip="">
                  <dgm:adjLst>
                    <dgm:adj idx="1" val="0.1"/>
                  </dgm:adjLst>
                </dgm:shape>
                <dgm:presOf axis="desOrSelf" ptType="node"/>
                <dgm:constrLst>
                  <dgm:constr type="primFontSz" val="65"/>
                  <dgm:constr type="tMarg" refType="primFontSz" fact="0.15"/>
                  <dgm:constr type="bMarg" refType="primFontSz" fact="0.15"/>
                  <dgm:constr type="lMarg" refType="primFontSz" fact="0.2"/>
                  <dgm:constr type="rMarg" refType="primFontSz" fact="0.2"/>
                </dgm:constrLst>
                <dgm:ruleLst>
                  <dgm:rule type="primFontSz" val="5" fact="NaN" max="NaN"/>
                </dgm:ruleLst>
              </dgm:layoutNode>
              <dgm:choose name="Name3">
                <dgm:if name="Name4" axis="self" ptType="node" func="revPos" op="equ" val="1"/>
                <dgm:else name="Name5">
                  <dgm:layoutNode name="aSpace2">
                    <dgm:alg type="sp"/>
                    <dgm:shape xmlns:r="http://schemas.openxmlformats.org/officeDocument/2006/relationships" r:blip="">
                      <dgm:adjLst/>
                    </dgm:shape>
                    <dgm:presOf/>
                    <dgm:constrLst/>
                    <dgm:ruleLst/>
                  </dgm:layoutNode>
                </dgm:else>
              </dgm:choose>
            </dgm:forEach>
          </dgm:layoutNode>
        </dgm:layoutNode>
      </dgm:layoutNode>
      <dgm:choose name="Name6">
        <dgm:if name="Name7" axis="self" ptType="node" func="revPos" op="equ" val="1"/>
        <dgm:else name="Name8">
          <dgm:layoutNode name="aSpace">
            <dgm:alg type="sp"/>
            <dgm:shape xmlns:r="http://schemas.openxmlformats.org/officeDocument/2006/relationships" r:blip="">
              <dgm:adjLst/>
            </dgm:shape>
            <dgm:presOf/>
            <dgm:constrLst/>
            <dgm:ruleLst/>
          </dgm:layoutNode>
        </dgm:else>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Definitions!A1"/></Relationships>
</file>

<file path=xl/drawings/_rels/drawing2.xml.rels><?xml version="1.0" encoding="UTF-8" standalone="yes"?>
<Relationships xmlns="http://schemas.openxmlformats.org/package/2006/relationships"><Relationship Id="rId2" Type="http://schemas.openxmlformats.org/officeDocument/2006/relationships/hyperlink" Target="#Introduction!A1"/><Relationship Id="rId1" Type="http://schemas.openxmlformats.org/officeDocument/2006/relationships/hyperlink" Target="#'Mkt share'!A1"/></Relationships>
</file>

<file path=xl/drawings/_rels/drawing3.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1.xml"/><Relationship Id="rId7" Type="http://schemas.openxmlformats.org/officeDocument/2006/relationships/image" Target="../media/image2.png"/><Relationship Id="rId2" Type="http://schemas.openxmlformats.org/officeDocument/2006/relationships/hyperlink" Target="#Definitions!A1"/><Relationship Id="rId1" Type="http://schemas.openxmlformats.org/officeDocument/2006/relationships/hyperlink" Target="#Population!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hyperlink" Target="#'Mkt share'!A1"/><Relationship Id="rId1" Type="http://schemas.openxmlformats.org/officeDocument/2006/relationships/hyperlink" Target="#Costs!A1"/><Relationship Id="rId6" Type="http://schemas.openxmlformats.org/officeDocument/2006/relationships/image" Target="../media/image3.svg"/><Relationship Id="rId5" Type="http://schemas.openxmlformats.org/officeDocument/2006/relationships/image" Target="../media/image2.png"/><Relationship Id="rId4" Type="http://schemas.microsoft.com/office/2014/relationships/chartEx" Target="../charts/chartEx1.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hyperlink" Target="#Population!A1"/><Relationship Id="rId1" Type="http://schemas.openxmlformats.org/officeDocument/2006/relationships/hyperlink" Target="#'Time on treatment'!A1"/><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3" Type="http://schemas.openxmlformats.org/officeDocument/2006/relationships/hyperlink" Target="#Data!A1"/><Relationship Id="rId2" Type="http://schemas.openxmlformats.org/officeDocument/2006/relationships/hyperlink" Target="#Costs!A1"/><Relationship Id="rId1" Type="http://schemas.openxmlformats.org/officeDocument/2006/relationships/hyperlink" Target="#Results!A1"/><Relationship Id="rId5" Type="http://schemas.openxmlformats.org/officeDocument/2006/relationships/image" Target="../media/image3.sv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hyperlink" Target="#'Time on treatment'!A1"/><Relationship Id="rId1" Type="http://schemas.openxmlformats.org/officeDocument/2006/relationships/hyperlink" Target="#SensibilityAn!A1"/><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alculations!A1"/><Relationship Id="rId1" Type="http://schemas.openxmlformats.org/officeDocument/2006/relationships/hyperlink" Target="#Results!A1"/><Relationship Id="rId4" Type="http://schemas.openxmlformats.org/officeDocument/2006/relationships/image" Target="../media/image3.svg"/></Relationships>
</file>

<file path=xl/drawings/_rels/drawing9.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hyperlink" Target="#Results!A1"/><Relationship Id="rId1" Type="http://schemas.openxmlformats.org/officeDocument/2006/relationships/hyperlink" Target="#PSA!A1"/><Relationship Id="rId4"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hyperlink" Target="#'Time on treatment'!A1"/></Relationships>
</file>

<file path=xl/drawings/_rels/drawing13.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5" Type="http://schemas.openxmlformats.org/officeDocument/2006/relationships/hyperlink" Target="#Results!A1"/><Relationship Id="rId4"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1" Type="http://schemas.openxmlformats.org/officeDocument/2006/relationships/hyperlink" Target="#Results!A1"/></Relationships>
</file>

<file path=xl/drawings/_rels/drawing15.xml.rels><?xml version="1.0" encoding="UTF-8" standalone="yes"?>
<Relationships xmlns="http://schemas.openxmlformats.org/package/2006/relationships"><Relationship Id="rId1" Type="http://schemas.openxmlformats.org/officeDocument/2006/relationships/hyperlink" Target="#Results!A1"/></Relationships>
</file>

<file path=xl/drawings/_rels/drawing16.xml.rels><?xml version="1.0" encoding="UTF-8" standalone="yes"?>
<Relationships xmlns="http://schemas.openxmlformats.org/package/2006/relationships"><Relationship Id="rId1" Type="http://schemas.openxmlformats.org/officeDocument/2006/relationships/hyperlink" Target="#Results!A1"/></Relationships>
</file>

<file path=xl/drawings/_rels/drawing17.xml.rels><?xml version="1.0" encoding="UTF-8" standalone="yes"?>
<Relationships xmlns="http://schemas.openxmlformats.org/package/2006/relationships"><Relationship Id="rId1" Type="http://schemas.openxmlformats.org/officeDocument/2006/relationships/hyperlink" Target="#SensibilityAn!A1"/></Relationships>
</file>

<file path=xl/drawings/drawing1.xml><?xml version="1.0" encoding="utf-8"?>
<xdr:wsDr xmlns:xdr="http://schemas.openxmlformats.org/drawingml/2006/spreadsheetDrawing" xmlns:a="http://schemas.openxmlformats.org/drawingml/2006/main">
  <xdr:twoCellAnchor editAs="absolute">
    <xdr:from>
      <xdr:col>1</xdr:col>
      <xdr:colOff>190502</xdr:colOff>
      <xdr:row>4</xdr:row>
      <xdr:rowOff>8660</xdr:rowOff>
    </xdr:from>
    <xdr:to>
      <xdr:col>5</xdr:col>
      <xdr:colOff>910167</xdr:colOff>
      <xdr:row>12</xdr:row>
      <xdr:rowOff>25978</xdr:rowOff>
    </xdr:to>
    <xdr:sp macro="" textlink="">
      <xdr:nvSpPr>
        <xdr:cNvPr id="12" name="CaixaDeTexto 11">
          <a:extLst>
            <a:ext uri="{FF2B5EF4-FFF2-40B4-BE49-F238E27FC236}">
              <a16:creationId xmlns:a16="http://schemas.microsoft.com/office/drawing/2014/main" id="{A3A583F4-1F6F-C830-F0C7-AD1A82B1CE77}"/>
            </a:ext>
          </a:extLst>
        </xdr:cNvPr>
        <xdr:cNvSpPr txBox="1"/>
      </xdr:nvSpPr>
      <xdr:spPr>
        <a:xfrm>
          <a:off x="635002" y="897660"/>
          <a:ext cx="7164915"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a:solidFill>
                <a:srgbClr val="0EB1BA"/>
              </a:solidFill>
              <a:effectLst/>
              <a:latin typeface="Calibri" panose="020F0502020204030204" pitchFamily="34" charset="0"/>
            </a:rPr>
            <a:t>General Information</a:t>
          </a:r>
        </a:p>
        <a:p>
          <a:r>
            <a:rPr lang="pt-BR" sz="1100" b="0" i="0" u="none" strike="noStrike">
              <a:solidFill>
                <a:srgbClr val="000000"/>
              </a:solidFill>
              <a:effectLst/>
              <a:latin typeface="Calibri" panose="020F0502020204030204" pitchFamily="34" charset="0"/>
            </a:rPr>
            <a:t>This document was developed by the Unit of Health Technology Assessment (UATS) of the Hospital Alemão Oswaldo Cruz, through a Proadi-SUS partnership.</a:t>
          </a:r>
        </a:p>
        <a:p>
          <a:r>
            <a:rPr lang="pt-BR" b="1">
              <a:solidFill>
                <a:srgbClr val="C00000"/>
              </a:solidFill>
            </a:rPr>
            <a:t>This spreadsheet is intended solely for educational and non-commercial purposes. Reproduction, distribution, or use for commercial gain without prior written permission is strictly prohibited.</a:t>
          </a:r>
          <a:endParaRPr lang="pt-BR" sz="1100" b="0" i="0" u="none" strike="noStrike">
            <a:solidFill>
              <a:srgbClr val="000000"/>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Instructions for Use</a:t>
          </a:r>
          <a:endParaRPr lang="pt-BR" sz="1100" b="0" i="0" u="none" strike="noStrike">
            <a:solidFill>
              <a:schemeClr val="dk1"/>
            </a:solidFill>
            <a:effectLst/>
            <a:latin typeface="+mn-lt"/>
          </a:endParaRPr>
        </a:p>
        <a:p>
          <a:r>
            <a:rPr lang="pt-BR" sz="1100" b="0" i="0" u="none" strike="noStrike">
              <a:solidFill>
                <a:srgbClr val="000000"/>
              </a:solidFill>
              <a:effectLst/>
              <a:latin typeface="Calibri" panose="020F0502020204030204" pitchFamily="34" charset="0"/>
            </a:rPr>
            <a:t>Build the model by defining the number of scenarios, alternatives, and time horizon in the following tabs.</a:t>
          </a:r>
        </a:p>
        <a:p>
          <a:r>
            <a:rPr lang="pt-BR" sz="1100" b="0" i="0" u="none" strike="noStrike">
              <a:solidFill>
                <a:srgbClr val="000000"/>
              </a:solidFill>
              <a:effectLst/>
              <a:latin typeface="Calibri" panose="020F0502020204030204" pitchFamily="34" charset="0"/>
            </a:rPr>
            <a:t>For further guidance, see the instruction manual.</a:t>
          </a:r>
          <a:endParaRPr lang="pt-BR" sz="1100" b="0" i="0" u="none" strike="noStrike">
            <a:solidFill>
              <a:schemeClr val="dk1"/>
            </a:solidFill>
            <a:effectLst/>
            <a:latin typeface="+mn-lt"/>
          </a:endParaRPr>
        </a:p>
      </xdr:txBody>
    </xdr:sp>
    <xdr:clientData/>
  </xdr:twoCellAnchor>
  <xdr:twoCellAnchor editAs="absolute">
    <xdr:from>
      <xdr:col>1</xdr:col>
      <xdr:colOff>181839</xdr:colOff>
      <xdr:row>22</xdr:row>
      <xdr:rowOff>69273</xdr:rowOff>
    </xdr:from>
    <xdr:to>
      <xdr:col>8</xdr:col>
      <xdr:colOff>232834</xdr:colOff>
      <xdr:row>27</xdr:row>
      <xdr:rowOff>86590</xdr:rowOff>
    </xdr:to>
    <xdr:sp macro="" textlink="">
      <xdr:nvSpPr>
        <xdr:cNvPr id="33" name="CaixaDeTexto 32">
          <a:extLst>
            <a:ext uri="{FF2B5EF4-FFF2-40B4-BE49-F238E27FC236}">
              <a16:creationId xmlns:a16="http://schemas.microsoft.com/office/drawing/2014/main" id="{EF077DCC-36E2-499E-BA46-A7EEA0E7A32B}"/>
            </a:ext>
          </a:extLst>
        </xdr:cNvPr>
        <xdr:cNvSpPr txBox="1"/>
      </xdr:nvSpPr>
      <xdr:spPr>
        <a:xfrm>
          <a:off x="571498" y="4390159"/>
          <a:ext cx="10235047" cy="969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0" lang="pt-BR" sz="1100" b="1" i="0" u="none" strike="noStrike" kern="0" cap="none" spc="0" normalizeH="0" baseline="0" noProof="0">
              <a:ln>
                <a:noFill/>
              </a:ln>
              <a:solidFill>
                <a:srgbClr val="0EB1BA"/>
              </a:solidFill>
              <a:effectLst/>
              <a:uLnTx/>
              <a:uFillTx/>
              <a:latin typeface="Calibri" panose="020F0502020204030204" pitchFamily="34" charset="0"/>
              <a:ea typeface="+mn-ea"/>
              <a:cs typeface="+mn-cs"/>
            </a:rPr>
            <a:t>Date of last update of the template spreadsheet:</a:t>
          </a:r>
          <a:r>
            <a:rPr kumimoji="0" lang="pt-BR" sz="11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mn-cs"/>
            </a:rPr>
            <a:t> September, 2026</a:t>
          </a:r>
          <a:endParaRPr lang="pt-BR" sz="1100" b="1" i="0" u="none" strike="noStrike">
            <a:solidFill>
              <a:srgbClr val="0EB1BA"/>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Prepared by:</a:t>
          </a:r>
          <a:r>
            <a:rPr lang="pt-BR"/>
            <a:t> </a:t>
          </a:r>
          <a:r>
            <a:rPr lang="pt-BR" sz="1000" b="0" i="0" u="none" strike="noStrike">
              <a:solidFill>
                <a:srgbClr val="000000"/>
              </a:solidFill>
              <a:effectLst/>
              <a:latin typeface="Calibri" panose="020F0502020204030204" pitchFamily="34" charset="0"/>
            </a:rPr>
            <a:t>Layssa Andrade Oliveira </a:t>
          </a:r>
          <a:r>
            <a:rPr lang="pt-BR" sz="1000" b="0" i="0" u="none" strike="noStrike">
              <a:solidFill>
                <a:srgbClr val="000000"/>
              </a:solidFill>
              <a:effectLst/>
              <a:latin typeface="Calibri" panose="020F0502020204030204" pitchFamily="34" charset="0"/>
              <a:ea typeface="+mn-ea"/>
              <a:cs typeface="+mn-cs"/>
            </a:rPr>
            <a:t>and Ludmila Peres Gargano</a:t>
          </a:r>
        </a:p>
        <a:p>
          <a:r>
            <a:rPr lang="pt-BR" sz="1100" b="1" i="0" u="none" strike="noStrike">
              <a:solidFill>
                <a:srgbClr val="0EB1BA"/>
              </a:solidFill>
              <a:effectLst/>
              <a:latin typeface="Calibri" panose="020F0502020204030204" pitchFamily="34" charset="0"/>
            </a:rPr>
            <a:t>Coordinated/Reviewed by</a:t>
          </a:r>
          <a:r>
            <a:rPr lang="pt-BR"/>
            <a:t>: </a:t>
          </a:r>
          <a:r>
            <a:rPr lang="pt-BR" sz="1000" b="0" i="0" u="none" strike="noStrike">
              <a:solidFill>
                <a:srgbClr val="000000"/>
              </a:solidFill>
              <a:effectLst/>
              <a:latin typeface="Calibri" panose="020F0502020204030204" pitchFamily="34" charset="0"/>
            </a:rPr>
            <a:t>Rosa Camila Lucchetta</a:t>
          </a:r>
          <a:endParaRPr lang="pt-BR" sz="1100" b="0" i="0" u="none" strike="noStrike">
            <a:solidFill>
              <a:schemeClr val="dk1"/>
            </a:solidFill>
            <a:effectLst/>
            <a:latin typeface="+mn-lt"/>
          </a:endParaRPr>
        </a:p>
        <a:p>
          <a:r>
            <a:rPr lang="pt-BR" sz="1100" b="1" i="0" u="none" strike="noStrike">
              <a:solidFill>
                <a:srgbClr val="0EB1BA"/>
              </a:solidFill>
              <a:effectLst/>
              <a:latin typeface="Calibri" panose="020F0502020204030204" pitchFamily="34" charset="0"/>
            </a:rPr>
            <a:t>Validated by:</a:t>
          </a:r>
          <a:r>
            <a:rPr lang="pt-BR"/>
            <a:t> </a:t>
          </a:r>
          <a:r>
            <a:rPr lang="pt-BR" sz="1000" b="0" i="0" u="none" strike="noStrike">
              <a:solidFill>
                <a:srgbClr val="000000"/>
              </a:solidFill>
              <a:effectLst/>
              <a:latin typeface="Calibri" panose="020F0502020204030204" pitchFamily="34" charset="0"/>
            </a:rPr>
            <a:t>Cecília Menezes; Francino Azevedo; Juliana Viscondi; Mariana Fachi; Tassiane de Paula; Vinicius Ferreira</a:t>
          </a:r>
          <a:r>
            <a:rPr lang="pt-BR"/>
            <a:t> </a:t>
          </a:r>
          <a:endParaRPr lang="pt-BR" sz="1100" kern="1200"/>
        </a:p>
      </xdr:txBody>
    </xdr:sp>
    <xdr:clientData/>
  </xdr:twoCellAnchor>
  <xdr:twoCellAnchor editAs="absolute">
    <xdr:from>
      <xdr:col>1</xdr:col>
      <xdr:colOff>173529</xdr:colOff>
      <xdr:row>12</xdr:row>
      <xdr:rowOff>129540</xdr:rowOff>
    </xdr:from>
    <xdr:to>
      <xdr:col>8</xdr:col>
      <xdr:colOff>220345</xdr:colOff>
      <xdr:row>21</xdr:row>
      <xdr:rowOff>152399</xdr:rowOff>
    </xdr:to>
    <xdr:sp macro="" textlink="">
      <xdr:nvSpPr>
        <xdr:cNvPr id="34" name="CaixaDeTexto 33">
          <a:extLst>
            <a:ext uri="{FF2B5EF4-FFF2-40B4-BE49-F238E27FC236}">
              <a16:creationId xmlns:a16="http://schemas.microsoft.com/office/drawing/2014/main" id="{1027B31E-A77E-4B44-9F63-682C6CD9F14B}"/>
            </a:ext>
          </a:extLst>
        </xdr:cNvPr>
        <xdr:cNvSpPr txBox="1"/>
      </xdr:nvSpPr>
      <xdr:spPr>
        <a:xfrm>
          <a:off x="573579" y="2434590"/>
          <a:ext cx="10524316" cy="1651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baseline="0">
              <a:solidFill>
                <a:srgbClr val="0EB1BA"/>
              </a:solidFill>
              <a:effectLst/>
              <a:latin typeface="Calibri" panose="020F0502020204030204" pitchFamily="34" charset="0"/>
            </a:rPr>
            <a:t>Rationale for using the spreadsheet</a:t>
          </a:r>
          <a:endParaRPr lang="pt-BR" sz="1100" b="1" i="0" u="none" strike="noStrike">
            <a:solidFill>
              <a:srgbClr val="0EB1BA"/>
            </a:solidFill>
            <a:effectLst/>
            <a:latin typeface="Calibri" panose="020F0502020204030204" pitchFamily="34" charset="0"/>
          </a:endParaRPr>
        </a:p>
        <a:p>
          <a:r>
            <a:rPr lang="pt-BR" sz="1100" b="0" i="0" u="none" strike="noStrike">
              <a:solidFill>
                <a:srgbClr val="000000"/>
              </a:solidFill>
              <a:effectLst/>
              <a:latin typeface="Calibri" panose="020F0502020204030204" pitchFamily="34" charset="0"/>
            </a:rPr>
            <a:t>1. Save a copy of the spreadsheet to start a new analysis;</a:t>
          </a:r>
        </a:p>
        <a:p>
          <a:r>
            <a:rPr lang="pt-BR" sz="1100" b="0" i="0" u="none" strike="noStrike">
              <a:solidFill>
                <a:srgbClr val="000000"/>
              </a:solidFill>
              <a:effectLst/>
              <a:latin typeface="Calibri" panose="020F0502020204030204" pitchFamily="34" charset="0"/>
            </a:rPr>
            <a:t>2. Under </a:t>
          </a:r>
          <a:r>
            <a:rPr lang="pt-BR" sz="1100" b="1" i="0" u="none" strike="noStrike">
              <a:solidFill>
                <a:srgbClr val="000000"/>
              </a:solidFill>
              <a:effectLst/>
              <a:latin typeface="Calibri" panose="020F0502020204030204" pitchFamily="34" charset="0"/>
            </a:rPr>
            <a:t>'Definitions</a:t>
          </a:r>
          <a:r>
            <a:rPr lang="pt-BR" sz="1100" b="0" i="0" u="none" strike="noStrike">
              <a:solidFill>
                <a:srgbClr val="000000"/>
              </a:solidFill>
              <a:effectLst/>
              <a:latin typeface="Calibri" panose="020F0502020204030204" pitchFamily="34" charset="0"/>
            </a:rPr>
            <a:t>', describe the components of the research question: population (clinical condition), intervention(s), and comparators (alternatives);</a:t>
          </a:r>
        </a:p>
        <a:p>
          <a:r>
            <a:rPr lang="pt-BR" sz="1100" b="0" i="0" u="none" strike="noStrike">
              <a:solidFill>
                <a:srgbClr val="000000"/>
              </a:solidFill>
              <a:effectLst/>
              <a:latin typeface="Calibri" panose="020F0502020204030204" pitchFamily="34" charset="0"/>
            </a:rPr>
            <a:t>3. and 4. Under </a:t>
          </a:r>
          <a:r>
            <a:rPr lang="pt-BR" sz="1100" b="1" i="0" u="none" strike="noStrike">
              <a:solidFill>
                <a:srgbClr val="000000"/>
              </a:solidFill>
              <a:effectLst/>
              <a:latin typeface="Calibri" panose="020F0502020204030204" pitchFamily="34" charset="0"/>
            </a:rPr>
            <a:t>'Market Share</a:t>
          </a:r>
          <a:r>
            <a:rPr lang="pt-BR" sz="1100" b="0" i="0" u="none" strike="noStrike">
              <a:solidFill>
                <a:srgbClr val="000000"/>
              </a:solidFill>
              <a:effectLst/>
              <a:latin typeface="Calibri" panose="020F0502020204030204" pitchFamily="34" charset="0"/>
            </a:rPr>
            <a:t>' enter the year the analysis began and the expected market share percentages for each scenario (current and proposed scenarios);</a:t>
          </a:r>
        </a:p>
        <a:p>
          <a:r>
            <a:rPr lang="pt-BR" sz="1100" b="0" i="0" u="none" strike="noStrike">
              <a:solidFill>
                <a:srgbClr val="000000"/>
              </a:solidFill>
              <a:effectLst/>
              <a:latin typeface="Calibri" panose="020F0502020204030204" pitchFamily="34" charset="0"/>
            </a:rPr>
            <a:t>5. Under </a:t>
          </a:r>
          <a:r>
            <a:rPr lang="pt-BR" sz="1100" b="1" i="0" u="none" strike="noStrike">
              <a:solidFill>
                <a:srgbClr val="000000"/>
              </a:solidFill>
              <a:effectLst/>
              <a:latin typeface="Calibri" panose="020F0502020204030204" pitchFamily="34" charset="0"/>
            </a:rPr>
            <a:t>'Population'</a:t>
          </a:r>
          <a:r>
            <a:rPr lang="pt-BR" sz="1100" b="0" i="0" u="none" strike="noStrike">
              <a:solidFill>
                <a:srgbClr val="000000"/>
              </a:solidFill>
              <a:effectLst/>
              <a:latin typeface="Calibri" panose="020F0502020204030204" pitchFamily="34" charset="0"/>
            </a:rPr>
            <a:t>, enter the method for calculating the eligible population and the parameters required for the estimates;</a:t>
          </a:r>
        </a:p>
        <a:p>
          <a:r>
            <a:rPr lang="pt-BR" sz="1100" b="0" i="0" u="none" strike="noStrike">
              <a:solidFill>
                <a:srgbClr val="000000"/>
              </a:solidFill>
              <a:effectLst/>
              <a:latin typeface="Calibri" panose="020F0502020204030204" pitchFamily="34" charset="0"/>
            </a:rPr>
            <a:t>6. Under </a:t>
          </a:r>
          <a:r>
            <a:rPr lang="pt-BR" sz="1100" b="1" i="0" u="none" strike="noStrike">
              <a:solidFill>
                <a:srgbClr val="000000"/>
              </a:solidFill>
              <a:effectLst/>
              <a:latin typeface="Calibri" panose="020F0502020204030204" pitchFamily="34" charset="0"/>
            </a:rPr>
            <a:t>'Costs</a:t>
          </a:r>
          <a:r>
            <a:rPr lang="pt-BR" sz="1100" b="0" i="0" u="none" strike="noStrike">
              <a:solidFill>
                <a:srgbClr val="000000"/>
              </a:solidFill>
              <a:effectLst/>
              <a:latin typeface="Calibri" panose="020F0502020204030204" pitchFamily="34" charset="0"/>
            </a:rPr>
            <a:t>,' enter the resources and costs involved according to the type of technology;</a:t>
          </a:r>
        </a:p>
        <a:p>
          <a:r>
            <a:rPr lang="pt-BR" sz="1100" b="0" i="0" u="none" strike="noStrike">
              <a:solidFill>
                <a:srgbClr val="000000"/>
              </a:solidFill>
              <a:effectLst/>
              <a:latin typeface="Calibri" panose="020F0502020204030204" pitchFamily="34" charset="0"/>
            </a:rPr>
            <a:t>7. Under </a:t>
          </a:r>
          <a:r>
            <a:rPr lang="pt-BR" sz="1100" b="1" i="0" u="none" strike="noStrike">
              <a:solidFill>
                <a:srgbClr val="000000"/>
              </a:solidFill>
              <a:effectLst/>
              <a:latin typeface="Calibri" panose="020F0502020204030204" pitchFamily="34" charset="0"/>
            </a:rPr>
            <a:t>'Time of Use'</a:t>
          </a:r>
          <a:r>
            <a:rPr lang="pt-BR" sz="1100" b="0" i="0" u="none" strike="noStrike">
              <a:solidFill>
                <a:srgbClr val="000000"/>
              </a:solidFill>
              <a:effectLst/>
              <a:latin typeface="Calibri" panose="020F0502020204030204" pitchFamily="34" charset="0"/>
            </a:rPr>
            <a:t>, indicate which strategy will be used to report the time of use of the technologies over the years;</a:t>
          </a:r>
        </a:p>
        <a:p>
          <a:r>
            <a:rPr lang="pt-BR" sz="1100" b="0" i="0" u="none" strike="noStrike">
              <a:solidFill>
                <a:srgbClr val="000000"/>
              </a:solidFill>
              <a:effectLst/>
              <a:latin typeface="Calibri" panose="020F0502020204030204" pitchFamily="34" charset="0"/>
            </a:rPr>
            <a:t>8 and 9. Evaluate the results and sensitivity analyses in the </a:t>
          </a:r>
          <a:r>
            <a:rPr lang="pt-BR" sz="1100" b="1" i="0" u="none" strike="noStrike">
              <a:solidFill>
                <a:srgbClr val="000000"/>
              </a:solidFill>
              <a:effectLst/>
              <a:latin typeface="Calibri" panose="020F0502020204030204" pitchFamily="34" charset="0"/>
            </a:rPr>
            <a:t>'Results</a:t>
          </a:r>
          <a:r>
            <a:rPr lang="pt-BR" sz="1100" b="0" i="0" u="none" strike="noStrike">
              <a:solidFill>
                <a:srgbClr val="000000"/>
              </a:solidFill>
              <a:effectLst/>
              <a:latin typeface="Calibri" panose="020F0502020204030204" pitchFamily="34" charset="0"/>
            </a:rPr>
            <a:t>' and</a:t>
          </a:r>
          <a:r>
            <a:rPr lang="pt-BR" sz="1100" b="0" i="0" u="none" strike="noStrike" baseline="0">
              <a:solidFill>
                <a:srgbClr val="000000"/>
              </a:solidFill>
              <a:effectLst/>
              <a:latin typeface="Calibri" panose="020F0502020204030204" pitchFamily="34" charset="0"/>
            </a:rPr>
            <a:t> '</a:t>
          </a:r>
          <a:r>
            <a:rPr lang="pt-BR" sz="1100" b="1" i="0" u="none" strike="noStrike" baseline="0">
              <a:solidFill>
                <a:srgbClr val="000000"/>
              </a:solidFill>
              <a:effectLst/>
              <a:latin typeface="Calibri" panose="020F0502020204030204" pitchFamily="34" charset="0"/>
            </a:rPr>
            <a:t>SensibilityAn</a:t>
          </a:r>
          <a:r>
            <a:rPr lang="pt-BR" sz="1100" b="0" i="0" u="none" strike="noStrike" baseline="0">
              <a:solidFill>
                <a:srgbClr val="000000"/>
              </a:solidFill>
              <a:effectLst/>
              <a:latin typeface="Calibri" panose="020F0502020204030204" pitchFamily="34" charset="0"/>
            </a:rPr>
            <a:t>' </a:t>
          </a:r>
          <a:r>
            <a:rPr lang="pt-BR" sz="1100" b="0" i="0" u="none" strike="noStrike">
              <a:solidFill>
                <a:srgbClr val="000000"/>
              </a:solidFill>
              <a:effectLst/>
              <a:latin typeface="Calibri" panose="020F0502020204030204" pitchFamily="34" charset="0"/>
            </a:rPr>
            <a:t>tabs.</a:t>
          </a:r>
          <a:endParaRPr lang="pt-BR" sz="1100" b="0" i="0" u="none" strike="noStrike" baseline="0">
            <a:solidFill>
              <a:schemeClr val="dk1"/>
            </a:solidFill>
            <a:effectLst/>
            <a:latin typeface="+mn-lt"/>
          </a:endParaRPr>
        </a:p>
      </xdr:txBody>
    </xdr:sp>
    <xdr:clientData/>
  </xdr:twoCellAnchor>
  <xdr:twoCellAnchor>
    <xdr:from>
      <xdr:col>1</xdr:col>
      <xdr:colOff>0</xdr:colOff>
      <xdr:row>1</xdr:row>
      <xdr:rowOff>8659</xdr:rowOff>
    </xdr:from>
    <xdr:to>
      <xdr:col>3</xdr:col>
      <xdr:colOff>2343150</xdr:colOff>
      <xdr:row>2</xdr:row>
      <xdr:rowOff>3463</xdr:rowOff>
    </xdr:to>
    <xdr:grpSp>
      <xdr:nvGrpSpPr>
        <xdr:cNvPr id="36" name="Agrupar 35">
          <a:extLst>
            <a:ext uri="{FF2B5EF4-FFF2-40B4-BE49-F238E27FC236}">
              <a16:creationId xmlns:a16="http://schemas.microsoft.com/office/drawing/2014/main" id="{34818E2A-7D45-B4B0-238A-7B50EF9F8229}"/>
            </a:ext>
          </a:extLst>
        </xdr:cNvPr>
        <xdr:cNvGrpSpPr/>
      </xdr:nvGrpSpPr>
      <xdr:grpSpPr>
        <a:xfrm>
          <a:off x="400050" y="439189"/>
          <a:ext cx="3996690" cy="221499"/>
          <a:chOff x="390525" y="437284"/>
          <a:chExt cx="3952875" cy="232929"/>
        </a:xfrm>
      </xdr:grpSpPr>
      <xdr:grpSp>
        <xdr:nvGrpSpPr>
          <xdr:cNvPr id="16" name="Agrupar 15">
            <a:extLst>
              <a:ext uri="{FF2B5EF4-FFF2-40B4-BE49-F238E27FC236}">
                <a16:creationId xmlns:a16="http://schemas.microsoft.com/office/drawing/2014/main" id="{0723B1FD-0116-4D4C-AB7F-0F69B377CE5E}"/>
              </a:ext>
            </a:extLst>
          </xdr:cNvPr>
          <xdr:cNvGrpSpPr/>
        </xdr:nvGrpSpPr>
        <xdr:grpSpPr>
          <a:xfrm>
            <a:off x="390525" y="437284"/>
            <a:ext cx="2409824" cy="232929"/>
            <a:chOff x="386197" y="438151"/>
            <a:chExt cx="2410690" cy="237258"/>
          </a:xfrm>
        </xdr:grpSpPr>
        <xdr:sp macro="" textlink="">
          <xdr:nvSpPr>
            <xdr:cNvPr id="17" name="Retângulo: Cantos Superiores Arredondados 16">
              <a:hlinkClick xmlns:r="http://schemas.openxmlformats.org/officeDocument/2006/relationships" r:id="rId1"/>
              <a:extLst>
                <a:ext uri="{FF2B5EF4-FFF2-40B4-BE49-F238E27FC236}">
                  <a16:creationId xmlns:a16="http://schemas.microsoft.com/office/drawing/2014/main" id="{FA74F0C4-FA78-937D-6BE4-019D677A242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8" name="Retângulo: Cantos Superiores Arredondados 17">
              <a:extLst>
                <a:ext uri="{FF2B5EF4-FFF2-40B4-BE49-F238E27FC236}">
                  <a16:creationId xmlns:a16="http://schemas.microsoft.com/office/drawing/2014/main" id="{EF133857-CE50-90B5-6DF3-3960CE00267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Introduction</a:t>
              </a:r>
            </a:p>
          </xdr:txBody>
        </xdr:sp>
        <xdr:sp macro="" textlink="">
          <xdr:nvSpPr>
            <xdr:cNvPr id="19" name="Retângulo: Cantos Superiores Arredondados 18">
              <a:extLst>
                <a:ext uri="{FF2B5EF4-FFF2-40B4-BE49-F238E27FC236}">
                  <a16:creationId xmlns:a16="http://schemas.microsoft.com/office/drawing/2014/main" id="{D38C2F26-91B9-3817-2227-8040804C1A81}"/>
                </a:ext>
              </a:extLst>
            </xdr:cNvPr>
            <xdr:cNvSpPr/>
          </xdr:nvSpPr>
          <xdr:spPr>
            <a:xfrm>
              <a:off x="386197" y="438151"/>
              <a:ext cx="355022" cy="233795"/>
            </a:xfrm>
            <a:prstGeom prst="round2Same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35" name="CaixaDeTexto 34">
            <a:extLst>
              <a:ext uri="{FF2B5EF4-FFF2-40B4-BE49-F238E27FC236}">
                <a16:creationId xmlns:a16="http://schemas.microsoft.com/office/drawing/2014/main" id="{7166D3D3-3F31-178F-BDCA-BC5B4EB53F23}"/>
              </a:ext>
            </a:extLst>
          </xdr:cNvPr>
          <xdr:cNvSpPr txBox="1"/>
        </xdr:nvSpPr>
        <xdr:spPr>
          <a:xfrm>
            <a:off x="2819400" y="438150"/>
            <a:ext cx="15240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Netx: Definitions</a:t>
            </a:r>
            <a:endParaRPr lang="pt-BR" sz="1100" i="1" kern="1200">
              <a:solidFill>
                <a:schemeClr val="accent5"/>
              </a:solidFill>
            </a:endParaRPr>
          </a:p>
        </xdr:txBody>
      </xdr:sp>
    </xdr:grpSp>
    <xdr:clientData/>
  </xdr:twoCellAnchor>
  <xdr:twoCellAnchor editAs="absolute">
    <xdr:from>
      <xdr:col>5</xdr:col>
      <xdr:colOff>1014941</xdr:colOff>
      <xdr:row>4</xdr:row>
      <xdr:rowOff>12508</xdr:rowOff>
    </xdr:from>
    <xdr:to>
      <xdr:col>8</xdr:col>
      <xdr:colOff>226484</xdr:colOff>
      <xdr:row>12</xdr:row>
      <xdr:rowOff>21167</xdr:rowOff>
    </xdr:to>
    <xdr:grpSp>
      <xdr:nvGrpSpPr>
        <xdr:cNvPr id="5" name="Agrupar 4">
          <a:extLst>
            <a:ext uri="{FF2B5EF4-FFF2-40B4-BE49-F238E27FC236}">
              <a16:creationId xmlns:a16="http://schemas.microsoft.com/office/drawing/2014/main" id="{A5E2C498-C8C0-4C25-D86E-3746F533A11A}"/>
            </a:ext>
          </a:extLst>
        </xdr:cNvPr>
        <xdr:cNvGrpSpPr/>
      </xdr:nvGrpSpPr>
      <xdr:grpSpPr>
        <a:xfrm>
          <a:off x="7211906" y="873568"/>
          <a:ext cx="3892128" cy="1448839"/>
          <a:chOff x="6343650" y="877167"/>
          <a:chExt cx="4429126" cy="1532659"/>
        </a:xfrm>
      </xdr:grpSpPr>
      <xdr:grpSp>
        <xdr:nvGrpSpPr>
          <xdr:cNvPr id="32" name="Agrupar 31">
            <a:extLst>
              <a:ext uri="{FF2B5EF4-FFF2-40B4-BE49-F238E27FC236}">
                <a16:creationId xmlns:a16="http://schemas.microsoft.com/office/drawing/2014/main" id="{25FFC4B2-BA73-9BB2-21D9-B2D7F69CCB7C}"/>
              </a:ext>
            </a:extLst>
          </xdr:cNvPr>
          <xdr:cNvGrpSpPr/>
        </xdr:nvGrpSpPr>
        <xdr:grpSpPr>
          <a:xfrm>
            <a:off x="6343650" y="877167"/>
            <a:ext cx="4429126" cy="1532659"/>
            <a:chOff x="7244198" y="8122227"/>
            <a:chExt cx="2427639" cy="1532659"/>
          </a:xfrm>
        </xdr:grpSpPr>
        <xdr:sp macro="" textlink="">
          <xdr:nvSpPr>
            <xdr:cNvPr id="24" name="CaixaDeTexto 23">
              <a:extLst>
                <a:ext uri="{FF2B5EF4-FFF2-40B4-BE49-F238E27FC236}">
                  <a16:creationId xmlns:a16="http://schemas.microsoft.com/office/drawing/2014/main" id="{46E2DC91-FC7B-4127-9352-0A01A3F038FE}"/>
                </a:ext>
              </a:extLst>
            </xdr:cNvPr>
            <xdr:cNvSpPr txBox="1"/>
          </xdr:nvSpPr>
          <xdr:spPr>
            <a:xfrm>
              <a:off x="7244198" y="8122227"/>
              <a:ext cx="2427639" cy="15326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63403D06-0AC1-4D7F-B56F-2D016F9D6979}"/>
                </a:ext>
              </a:extLst>
            </xdr:cNvPr>
            <xdr:cNvSpPr/>
          </xdr:nvSpPr>
          <xdr:spPr>
            <a:xfrm>
              <a:off x="7342910" y="82053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DD8C7EA-A8DA-497F-816B-B51775AF970D}"/>
                </a:ext>
              </a:extLst>
            </xdr:cNvPr>
            <xdr:cNvSpPr/>
          </xdr:nvSpPr>
          <xdr:spPr>
            <a:xfrm>
              <a:off x="7345914" y="85984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Retângulo: Cantos Superiores Arredondados 26">
              <a:extLst>
                <a:ext uri="{FF2B5EF4-FFF2-40B4-BE49-F238E27FC236}">
                  <a16:creationId xmlns:a16="http://schemas.microsoft.com/office/drawing/2014/main" id="{1422B774-2662-40B9-8729-3C9AEB263493}"/>
                </a:ext>
              </a:extLst>
            </xdr:cNvPr>
            <xdr:cNvSpPr/>
          </xdr:nvSpPr>
          <xdr:spPr>
            <a:xfrm>
              <a:off x="7769903"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28" name="Retângulo: Cantos Superiores Arredondados 27">
              <a:extLst>
                <a:ext uri="{FF2B5EF4-FFF2-40B4-BE49-F238E27FC236}">
                  <a16:creationId xmlns:a16="http://schemas.microsoft.com/office/drawing/2014/main" id="{7BBD1A73-D272-49A5-BFE0-26F9ECA1C443}"/>
                </a:ext>
              </a:extLst>
            </xdr:cNvPr>
            <xdr:cNvSpPr/>
          </xdr:nvSpPr>
          <xdr:spPr>
            <a:xfrm>
              <a:off x="7354266"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p>
          </xdr:txBody>
        </xdr:sp>
        <xdr:sp macro="" textlink="">
          <xdr:nvSpPr>
            <xdr:cNvPr id="29" name="CaixaDeTexto 28">
              <a:extLst>
                <a:ext uri="{FF2B5EF4-FFF2-40B4-BE49-F238E27FC236}">
                  <a16:creationId xmlns:a16="http://schemas.microsoft.com/office/drawing/2014/main" id="{5962256A-52F4-4881-A353-2C23965A98D0}"/>
                </a:ext>
              </a:extLst>
            </xdr:cNvPr>
            <xdr:cNvSpPr txBox="1"/>
          </xdr:nvSpPr>
          <xdr:spPr>
            <a:xfrm>
              <a:off x="7748869" y="8174184"/>
              <a:ext cx="1829786"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DAC9C9F5-FE2F-4267-8592-3C3F7C3D413A}"/>
                </a:ext>
              </a:extLst>
            </xdr:cNvPr>
            <xdr:cNvSpPr txBox="1"/>
          </xdr:nvSpPr>
          <xdr:spPr>
            <a:xfrm>
              <a:off x="7761051" y="8626186"/>
              <a:ext cx="1868299"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0344FB66-FE82-48F5-AC4A-ABB77A879756}"/>
                </a:ext>
              </a:extLst>
            </xdr:cNvPr>
            <xdr:cNvSpPr txBox="1"/>
          </xdr:nvSpPr>
          <xdr:spPr>
            <a:xfrm>
              <a:off x="8181309" y="9337385"/>
              <a:ext cx="1394114" cy="30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Buttons for navigating between tabs.</a:t>
              </a:r>
            </a:p>
          </xdr:txBody>
        </xdr:sp>
      </xdr:grpSp>
      <xdr:pic>
        <xdr:nvPicPr>
          <xdr:cNvPr id="37" name="InfoBox1" descr="Information with solid fill">
            <a:extLst>
              <a:ext uri="{FF2B5EF4-FFF2-40B4-BE49-F238E27FC236}">
                <a16:creationId xmlns:a16="http://schemas.microsoft.com/office/drawing/2014/main" id="{1EE674BE-7C1F-4E73-904E-4E85C787E7B9}"/>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638926" y="1686793"/>
            <a:ext cx="371474" cy="351558"/>
          </a:xfrm>
          <a:prstGeom prst="rect">
            <a:avLst/>
          </a:prstGeom>
        </xdr:spPr>
      </xdr:pic>
      <xdr:sp macro="" textlink="">
        <xdr:nvSpPr>
          <xdr:cNvPr id="3" name="CaixaDeTexto 2">
            <a:extLst>
              <a:ext uri="{FF2B5EF4-FFF2-40B4-BE49-F238E27FC236}">
                <a16:creationId xmlns:a16="http://schemas.microsoft.com/office/drawing/2014/main" id="{FC3BFF13-8B13-478D-8280-9C7ED6C0377B}"/>
              </a:ext>
            </a:extLst>
          </xdr:cNvPr>
          <xdr:cNvSpPr txBox="1"/>
        </xdr:nvSpPr>
        <xdr:spPr>
          <a:xfrm>
            <a:off x="7267575" y="1724025"/>
            <a:ext cx="3408633" cy="328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Instructions.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1933575</xdr:colOff>
      <xdr:row>2</xdr:row>
      <xdr:rowOff>19050</xdr:rowOff>
    </xdr:to>
    <xdr:grpSp>
      <xdr:nvGrpSpPr>
        <xdr:cNvPr id="42" name="Agrupar 41">
          <a:extLst>
            <a:ext uri="{FF2B5EF4-FFF2-40B4-BE49-F238E27FC236}">
              <a16:creationId xmlns:a16="http://schemas.microsoft.com/office/drawing/2014/main" id="{7B0220C0-3296-4297-A640-E2EF9C1C80CE}"/>
            </a:ext>
          </a:extLst>
        </xdr:cNvPr>
        <xdr:cNvGrpSpPr/>
      </xdr:nvGrpSpPr>
      <xdr:grpSpPr>
        <a:xfrm>
          <a:off x="400050" y="440055"/>
          <a:ext cx="5170170" cy="232410"/>
          <a:chOff x="390525" y="437284"/>
          <a:chExt cx="5095875" cy="247650"/>
        </a:xfrm>
      </xdr:grpSpPr>
      <xdr:grpSp>
        <xdr:nvGrpSpPr>
          <xdr:cNvPr id="43" name="Agrupar 42">
            <a:extLst>
              <a:ext uri="{FF2B5EF4-FFF2-40B4-BE49-F238E27FC236}">
                <a16:creationId xmlns:a16="http://schemas.microsoft.com/office/drawing/2014/main" id="{4642E48A-3D1D-389D-5850-865C19D30E2C}"/>
              </a:ext>
            </a:extLst>
          </xdr:cNvPr>
          <xdr:cNvGrpSpPr/>
        </xdr:nvGrpSpPr>
        <xdr:grpSpPr>
          <a:xfrm>
            <a:off x="390525" y="437284"/>
            <a:ext cx="2409824" cy="232929"/>
            <a:chOff x="386197" y="438151"/>
            <a:chExt cx="2410690" cy="237258"/>
          </a:xfrm>
        </xdr:grpSpPr>
        <xdr:sp macro="" textlink="">
          <xdr:nvSpPr>
            <xdr:cNvPr id="45" name="Retângulo: Cantos Superiores Arredondados 44">
              <a:hlinkClick xmlns:r="http://schemas.openxmlformats.org/officeDocument/2006/relationships" r:id="rId1"/>
              <a:extLst>
                <a:ext uri="{FF2B5EF4-FFF2-40B4-BE49-F238E27FC236}">
                  <a16:creationId xmlns:a16="http://schemas.microsoft.com/office/drawing/2014/main" id="{E6E498D1-66FD-DDC9-49DE-25760490CA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46" name="Retângulo: Cantos Superiores Arredondados 45">
              <a:extLst>
                <a:ext uri="{FF2B5EF4-FFF2-40B4-BE49-F238E27FC236}">
                  <a16:creationId xmlns:a16="http://schemas.microsoft.com/office/drawing/2014/main" id="{7435BDD1-95C1-1142-21B3-FA644BF5BA50}"/>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Definitions</a:t>
              </a:r>
            </a:p>
          </xdr:txBody>
        </xdr:sp>
        <xdr:sp macro="" textlink="">
          <xdr:nvSpPr>
            <xdr:cNvPr id="47" name="Retângulo: Cantos Superiores Arredondados 46">
              <a:hlinkClick xmlns:r="http://schemas.openxmlformats.org/officeDocument/2006/relationships" r:id="rId2"/>
              <a:extLst>
                <a:ext uri="{FF2B5EF4-FFF2-40B4-BE49-F238E27FC236}">
                  <a16:creationId xmlns:a16="http://schemas.microsoft.com/office/drawing/2014/main" id="{B3D72210-6D99-0BC9-FBA2-74A63C1C0B79}"/>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44" name="CaixaDeTexto 43">
            <a:extLst>
              <a:ext uri="{FF2B5EF4-FFF2-40B4-BE49-F238E27FC236}">
                <a16:creationId xmlns:a16="http://schemas.microsoft.com/office/drawing/2014/main" id="{C89807E1-91E3-FE82-D49D-6C44A286DF13}"/>
              </a:ext>
            </a:extLst>
          </xdr:cNvPr>
          <xdr:cNvSpPr txBox="1"/>
        </xdr:nvSpPr>
        <xdr:spPr>
          <a:xfrm>
            <a:off x="2819400" y="438150"/>
            <a:ext cx="2667000"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Market share and time horizon</a:t>
            </a:r>
            <a:endParaRPr lang="pt-BR" sz="1100" i="1" kern="1200">
              <a:solidFill>
                <a:schemeClr val="accent5"/>
              </a:solidFill>
            </a:endParaRPr>
          </a:p>
        </xdr:txBody>
      </xdr:sp>
    </xdr:grpSp>
    <xdr:clientData/>
  </xdr:twoCellAnchor>
  <xdr:twoCellAnchor editAs="absolute">
    <xdr:from>
      <xdr:col>10</xdr:col>
      <xdr:colOff>515417</xdr:colOff>
      <xdr:row>11</xdr:row>
      <xdr:rowOff>2859</xdr:rowOff>
    </xdr:from>
    <xdr:to>
      <xdr:col>20</xdr:col>
      <xdr:colOff>116417</xdr:colOff>
      <xdr:row>14</xdr:row>
      <xdr:rowOff>92049</xdr:rowOff>
    </xdr:to>
    <xdr:grpSp>
      <xdr:nvGrpSpPr>
        <xdr:cNvPr id="2" name="Agrupar 1">
          <a:extLst>
            <a:ext uri="{FF2B5EF4-FFF2-40B4-BE49-F238E27FC236}">
              <a16:creationId xmlns:a16="http://schemas.microsoft.com/office/drawing/2014/main" id="{D5353490-52EA-4B64-BECA-3F9ACBD82985}"/>
            </a:ext>
          </a:extLst>
        </xdr:cNvPr>
        <xdr:cNvGrpSpPr/>
      </xdr:nvGrpSpPr>
      <xdr:grpSpPr>
        <a:xfrm>
          <a:off x="9646082" y="2717484"/>
          <a:ext cx="3510060" cy="635925"/>
          <a:chOff x="7333755" y="8620379"/>
          <a:chExt cx="1403654" cy="663031"/>
        </a:xfrm>
      </xdr:grpSpPr>
      <xdr:sp macro="" textlink="">
        <xdr:nvSpPr>
          <xdr:cNvPr id="3" name="CaixaDeTexto 2">
            <a:extLst>
              <a:ext uri="{FF2B5EF4-FFF2-40B4-BE49-F238E27FC236}">
                <a16:creationId xmlns:a16="http://schemas.microsoft.com/office/drawing/2014/main" id="{D0DEB439-B008-131C-52D1-CDB893023BD0}"/>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6" name="CaixaDeTexto 5">
            <a:extLst>
              <a:ext uri="{FF2B5EF4-FFF2-40B4-BE49-F238E27FC236}">
                <a16:creationId xmlns:a16="http://schemas.microsoft.com/office/drawing/2014/main" id="{645BBF26-CA5E-B7F7-C649-0943866E5087}"/>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8" name="CaixaDeTexto 7">
            <a:extLst>
              <a:ext uri="{FF2B5EF4-FFF2-40B4-BE49-F238E27FC236}">
                <a16:creationId xmlns:a16="http://schemas.microsoft.com/office/drawing/2014/main" id="{19F74E82-3B86-EA12-85FD-76B959D3C3EE}"/>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10</xdr:col>
      <xdr:colOff>498378</xdr:colOff>
      <xdr:row>4</xdr:row>
      <xdr:rowOff>58574</xdr:rowOff>
    </xdr:from>
    <xdr:to>
      <xdr:col>20</xdr:col>
      <xdr:colOff>39691</xdr:colOff>
      <xdr:row>10</xdr:row>
      <xdr:rowOff>55880</xdr:rowOff>
    </xdr:to>
    <xdr:grpSp>
      <xdr:nvGrpSpPr>
        <xdr:cNvPr id="4" name="Agrupar 3">
          <a:extLst>
            <a:ext uri="{FF2B5EF4-FFF2-40B4-BE49-F238E27FC236}">
              <a16:creationId xmlns:a16="http://schemas.microsoft.com/office/drawing/2014/main" id="{BC89FCFD-DEF4-274E-AA7E-54177C722FCB}"/>
            </a:ext>
          </a:extLst>
        </xdr:cNvPr>
        <xdr:cNvGrpSpPr/>
      </xdr:nvGrpSpPr>
      <xdr:grpSpPr>
        <a:xfrm>
          <a:off x="9632853" y="912014"/>
          <a:ext cx="3446563" cy="1681326"/>
          <a:chOff x="7244198" y="8503227"/>
          <a:chExt cx="1845115" cy="1168977"/>
        </a:xfrm>
      </xdr:grpSpPr>
      <xdr:sp macro="" textlink="">
        <xdr:nvSpPr>
          <xdr:cNvPr id="5" name="CaixaDeTexto 4">
            <a:extLst>
              <a:ext uri="{FF2B5EF4-FFF2-40B4-BE49-F238E27FC236}">
                <a16:creationId xmlns:a16="http://schemas.microsoft.com/office/drawing/2014/main" id="{88DFDCA8-02D1-27CD-19FC-94C6AB10CF5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7" name="Retângulo 6">
            <a:extLst>
              <a:ext uri="{FF2B5EF4-FFF2-40B4-BE49-F238E27FC236}">
                <a16:creationId xmlns:a16="http://schemas.microsoft.com/office/drawing/2014/main" id="{6540253D-C96C-9CCB-81E7-520653A65BF6}"/>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9" name="Retângulo 8">
            <a:extLst>
              <a:ext uri="{FF2B5EF4-FFF2-40B4-BE49-F238E27FC236}">
                <a16:creationId xmlns:a16="http://schemas.microsoft.com/office/drawing/2014/main" id="{5D0ECCA8-9899-9889-93DA-77A3F5562DB7}"/>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0" name="CaixaDeTexto 9">
            <a:extLst>
              <a:ext uri="{FF2B5EF4-FFF2-40B4-BE49-F238E27FC236}">
                <a16:creationId xmlns:a16="http://schemas.microsoft.com/office/drawing/2014/main" id="{BEE25AF6-FBDD-4799-2E99-4AE0F390BAA1}"/>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11" name="CaixaDeTexto 10">
            <a:extLst>
              <a:ext uri="{FF2B5EF4-FFF2-40B4-BE49-F238E27FC236}">
                <a16:creationId xmlns:a16="http://schemas.microsoft.com/office/drawing/2014/main" id="{196804BA-436F-419F-944E-5FE25CC9D60A}"/>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12" name="CaixaDeTexto 11">
            <a:extLst>
              <a:ext uri="{FF2B5EF4-FFF2-40B4-BE49-F238E27FC236}">
                <a16:creationId xmlns:a16="http://schemas.microsoft.com/office/drawing/2014/main" id="{4BD3DFB7-5982-08FE-BC48-41E3AD2EDA0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9525</xdr:rowOff>
    </xdr:from>
    <xdr:to>
      <xdr:col>5</xdr:col>
      <xdr:colOff>390524</xdr:colOff>
      <xdr:row>3</xdr:row>
      <xdr:rowOff>66675</xdr:rowOff>
    </xdr:to>
    <xdr:grpSp>
      <xdr:nvGrpSpPr>
        <xdr:cNvPr id="7" name="Agrupar 6">
          <a:extLst>
            <a:ext uri="{FF2B5EF4-FFF2-40B4-BE49-F238E27FC236}">
              <a16:creationId xmlns:a16="http://schemas.microsoft.com/office/drawing/2014/main" id="{9D843D11-BF4D-420E-9EDE-8CF32BDD0174}"/>
            </a:ext>
          </a:extLst>
        </xdr:cNvPr>
        <xdr:cNvGrpSpPr/>
      </xdr:nvGrpSpPr>
      <xdr:grpSpPr>
        <a:xfrm>
          <a:off x="464820" y="436245"/>
          <a:ext cx="4642484" cy="308610"/>
          <a:chOff x="390525" y="437284"/>
          <a:chExt cx="4552949" cy="304800"/>
        </a:xfrm>
      </xdr:grpSpPr>
      <xdr:grpSp>
        <xdr:nvGrpSpPr>
          <xdr:cNvPr id="8" name="Agrupar 7">
            <a:extLst>
              <a:ext uri="{FF2B5EF4-FFF2-40B4-BE49-F238E27FC236}">
                <a16:creationId xmlns:a16="http://schemas.microsoft.com/office/drawing/2014/main" id="{CE8E346B-7D1E-B2B4-28E5-831CC4E2ABD6}"/>
              </a:ext>
            </a:extLst>
          </xdr:cNvPr>
          <xdr:cNvGrpSpPr/>
        </xdr:nvGrpSpPr>
        <xdr:grpSpPr>
          <a:xfrm>
            <a:off x="390525" y="437284"/>
            <a:ext cx="2409824" cy="232929"/>
            <a:chOff x="386197" y="438151"/>
            <a:chExt cx="2410690" cy="237258"/>
          </a:xfrm>
        </xdr:grpSpPr>
        <xdr:sp macro="[0]!ocultar_marketshare" textlink="">
          <xdr:nvSpPr>
            <xdr:cNvPr id="10" name="Retângulo: Cantos Superiores Arredondados 9">
              <a:hlinkClick xmlns:r="http://schemas.openxmlformats.org/officeDocument/2006/relationships" r:id="rId1"/>
              <a:extLst>
                <a:ext uri="{FF2B5EF4-FFF2-40B4-BE49-F238E27FC236}">
                  <a16:creationId xmlns:a16="http://schemas.microsoft.com/office/drawing/2014/main" id="{AE16B8CB-1DE0-6EB8-9369-27E26388BBFE}"/>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1" name="Retângulo: Cantos Superiores Arredondados 10">
              <a:extLst>
                <a:ext uri="{FF2B5EF4-FFF2-40B4-BE49-F238E27FC236}">
                  <a16:creationId xmlns:a16="http://schemas.microsoft.com/office/drawing/2014/main" id="{3AADAECE-16ED-9784-ED13-4773CBB5A18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Mkt Share &amp;</a:t>
              </a:r>
              <a:r>
                <a:rPr lang="pt-BR" sz="1100" b="1" i="1" kern="1200" baseline="0"/>
                <a:t> time horizon</a:t>
              </a:r>
              <a:endParaRPr lang="pt-BR" sz="1100" b="1" i="1" kern="1200"/>
            </a:p>
          </xdr:txBody>
        </xdr:sp>
        <xdr:sp macro="" textlink="">
          <xdr:nvSpPr>
            <xdr:cNvPr id="12" name="Retângulo: Cantos Superiores Arredondados 11">
              <a:hlinkClick xmlns:r="http://schemas.openxmlformats.org/officeDocument/2006/relationships" r:id="rId2"/>
              <a:extLst>
                <a:ext uri="{FF2B5EF4-FFF2-40B4-BE49-F238E27FC236}">
                  <a16:creationId xmlns:a16="http://schemas.microsoft.com/office/drawing/2014/main" id="{C16AC558-2249-0B58-C748-B7EB7783070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9" name="CaixaDeTexto 8">
            <a:extLst>
              <a:ext uri="{FF2B5EF4-FFF2-40B4-BE49-F238E27FC236}">
                <a16:creationId xmlns:a16="http://schemas.microsoft.com/office/drawing/2014/main" id="{E1E98ADD-42A6-F99E-86FE-BEB7CF2993B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Population</a:t>
            </a:r>
          </a:p>
        </xdr:txBody>
      </xdr:sp>
    </xdr:grpSp>
    <xdr:clientData/>
  </xdr:twoCellAnchor>
  <xdr:twoCellAnchor>
    <xdr:from>
      <xdr:col>18</xdr:col>
      <xdr:colOff>211667</xdr:colOff>
      <xdr:row>20</xdr:row>
      <xdr:rowOff>21167</xdr:rowOff>
    </xdr:from>
    <xdr:to>
      <xdr:col>27</xdr:col>
      <xdr:colOff>0</xdr:colOff>
      <xdr:row>36</xdr:row>
      <xdr:rowOff>49742</xdr:rowOff>
    </xdr:to>
    <xdr:graphicFrame macro="">
      <xdr:nvGraphicFramePr>
        <xdr:cNvPr id="17" name="Gráfico 16">
          <a:extLst>
            <a:ext uri="{FF2B5EF4-FFF2-40B4-BE49-F238E27FC236}">
              <a16:creationId xmlns:a16="http://schemas.microsoft.com/office/drawing/2014/main" id="{870DBE6F-BD95-A1FD-308B-D5EC36D6D1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212725</xdr:colOff>
      <xdr:row>39</xdr:row>
      <xdr:rowOff>171450</xdr:rowOff>
    </xdr:from>
    <xdr:to>
      <xdr:col>27</xdr:col>
      <xdr:colOff>52917</xdr:colOff>
      <xdr:row>56</xdr:row>
      <xdr:rowOff>9525</xdr:rowOff>
    </xdr:to>
    <xdr:graphicFrame macro="">
      <xdr:nvGraphicFramePr>
        <xdr:cNvPr id="18" name="Gráfico 17">
          <a:extLst>
            <a:ext uri="{FF2B5EF4-FFF2-40B4-BE49-F238E27FC236}">
              <a16:creationId xmlns:a16="http://schemas.microsoft.com/office/drawing/2014/main" id="{8F4A3506-863E-4F93-859D-F8893B46E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232833</xdr:colOff>
      <xdr:row>60</xdr:row>
      <xdr:rowOff>10583</xdr:rowOff>
    </xdr:from>
    <xdr:to>
      <xdr:col>27</xdr:col>
      <xdr:colOff>116417</xdr:colOff>
      <xdr:row>77</xdr:row>
      <xdr:rowOff>39158</xdr:rowOff>
    </xdr:to>
    <xdr:graphicFrame macro="">
      <xdr:nvGraphicFramePr>
        <xdr:cNvPr id="19" name="Gráfico 18">
          <a:extLst>
            <a:ext uri="{FF2B5EF4-FFF2-40B4-BE49-F238E27FC236}">
              <a16:creationId xmlns:a16="http://schemas.microsoft.com/office/drawing/2014/main" id="{029E8FA9-50C4-4CB9-A52E-CD5FF969E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223308</xdr:colOff>
      <xdr:row>80</xdr:row>
      <xdr:rowOff>28575</xdr:rowOff>
    </xdr:from>
    <xdr:to>
      <xdr:col>27</xdr:col>
      <xdr:colOff>137584</xdr:colOff>
      <xdr:row>96</xdr:row>
      <xdr:rowOff>57150</xdr:rowOff>
    </xdr:to>
    <xdr:graphicFrame macro="">
      <xdr:nvGraphicFramePr>
        <xdr:cNvPr id="20" name="Gráfico 19">
          <a:extLst>
            <a:ext uri="{FF2B5EF4-FFF2-40B4-BE49-F238E27FC236}">
              <a16:creationId xmlns:a16="http://schemas.microsoft.com/office/drawing/2014/main" id="{32CA7664-CB65-4289-927C-FC4699ACE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55881</xdr:colOff>
      <xdr:row>13</xdr:row>
      <xdr:rowOff>111125</xdr:rowOff>
    </xdr:from>
    <xdr:to>
      <xdr:col>24</xdr:col>
      <xdr:colOff>568329</xdr:colOff>
      <xdr:row>19</xdr:row>
      <xdr:rowOff>53974</xdr:rowOff>
    </xdr:to>
    <xdr:grpSp>
      <xdr:nvGrpSpPr>
        <xdr:cNvPr id="27" name="Agrupar 26">
          <a:extLst>
            <a:ext uri="{FF2B5EF4-FFF2-40B4-BE49-F238E27FC236}">
              <a16:creationId xmlns:a16="http://schemas.microsoft.com/office/drawing/2014/main" id="{A63B9AD3-EEDF-8AB7-42B1-F27C016D1514}"/>
            </a:ext>
          </a:extLst>
        </xdr:cNvPr>
        <xdr:cNvGrpSpPr/>
      </xdr:nvGrpSpPr>
      <xdr:grpSpPr>
        <a:xfrm>
          <a:off x="10137141" y="2663825"/>
          <a:ext cx="3522348" cy="1146809"/>
          <a:chOff x="10067925" y="2743200"/>
          <a:chExt cx="3457579" cy="1181099"/>
        </a:xfrm>
      </xdr:grpSpPr>
      <xdr:grpSp>
        <xdr:nvGrpSpPr>
          <xdr:cNvPr id="6" name="Agrupar 5">
            <a:extLst>
              <a:ext uri="{FF2B5EF4-FFF2-40B4-BE49-F238E27FC236}">
                <a16:creationId xmlns:a16="http://schemas.microsoft.com/office/drawing/2014/main" id="{B9E57213-8A7C-43A5-B82A-196F0029986A}"/>
              </a:ext>
            </a:extLst>
          </xdr:cNvPr>
          <xdr:cNvGrpSpPr/>
        </xdr:nvGrpSpPr>
        <xdr:grpSpPr>
          <a:xfrm>
            <a:off x="10067925" y="2743200"/>
            <a:ext cx="3457579" cy="1181099"/>
            <a:chOff x="7244198" y="8503227"/>
            <a:chExt cx="1870884" cy="1181099"/>
          </a:xfrm>
        </xdr:grpSpPr>
        <xdr:sp macro="" textlink="">
          <xdr:nvSpPr>
            <xdr:cNvPr id="13" name="CaixaDeTexto 12">
              <a:extLst>
                <a:ext uri="{FF2B5EF4-FFF2-40B4-BE49-F238E27FC236}">
                  <a16:creationId xmlns:a16="http://schemas.microsoft.com/office/drawing/2014/main" id="{B344E2BB-C526-5C8F-A4DF-589A1F1E7F76}"/>
                </a:ext>
              </a:extLst>
            </xdr:cNvPr>
            <xdr:cNvSpPr txBox="1"/>
          </xdr:nvSpPr>
          <xdr:spPr>
            <a:xfrm>
              <a:off x="7244198" y="8503227"/>
              <a:ext cx="1870884"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3" name="CaixaDeTexto 22">
              <a:extLst>
                <a:ext uri="{FF2B5EF4-FFF2-40B4-BE49-F238E27FC236}">
                  <a16:creationId xmlns:a16="http://schemas.microsoft.com/office/drawing/2014/main" id="{12997F3C-1556-69D4-92DD-63FF847885F3}"/>
                </a:ext>
              </a:extLst>
            </xdr:cNvPr>
            <xdr:cNvSpPr txBox="1"/>
          </xdr:nvSpPr>
          <xdr:spPr>
            <a:xfrm>
              <a:off x="7269968" y="8912801"/>
              <a:ext cx="1845112"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select the chart, click the "Chart Design" menu at the top, and then click "Select Data." Remove the fields with the text "Do not fill rows."</a:t>
              </a:r>
            </a:p>
          </xdr:txBody>
        </xdr:sp>
        <xdr:sp macro="" textlink="">
          <xdr:nvSpPr>
            <xdr:cNvPr id="25" name="CaixaDeTexto 24">
              <a:extLst>
                <a:ext uri="{FF2B5EF4-FFF2-40B4-BE49-F238E27FC236}">
                  <a16:creationId xmlns:a16="http://schemas.microsoft.com/office/drawing/2014/main" id="{77D87250-8C99-9DDB-D2D8-7E5EBD1CD5FC}"/>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grpSp>
      <xdr:pic>
        <xdr:nvPicPr>
          <xdr:cNvPr id="26" name="InfoBox1" descr="Information with solid fill">
            <a:extLst>
              <a:ext uri="{FF2B5EF4-FFF2-40B4-BE49-F238E27FC236}">
                <a16:creationId xmlns:a16="http://schemas.microsoft.com/office/drawing/2014/main" id="{812D705F-D108-4F0A-AC40-3A854CD7A791}"/>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29850" y="2790825"/>
            <a:ext cx="371474" cy="351558"/>
          </a:xfrm>
          <a:prstGeom prst="rect">
            <a:avLst/>
          </a:prstGeom>
        </xdr:spPr>
      </xdr:pic>
    </xdr:grpSp>
    <xdr:clientData/>
  </xdr:twoCellAnchor>
  <xdr:twoCellAnchor editAs="absolute">
    <xdr:from>
      <xdr:col>19</xdr:col>
      <xdr:colOff>74083</xdr:colOff>
      <xdr:row>3</xdr:row>
      <xdr:rowOff>174202</xdr:rowOff>
    </xdr:from>
    <xdr:to>
      <xdr:col>24</xdr:col>
      <xdr:colOff>589485</xdr:colOff>
      <xdr:row>10</xdr:row>
      <xdr:rowOff>129963</xdr:rowOff>
    </xdr:to>
    <xdr:grpSp>
      <xdr:nvGrpSpPr>
        <xdr:cNvPr id="21" name="Agrupar 20">
          <a:extLst>
            <a:ext uri="{FF2B5EF4-FFF2-40B4-BE49-F238E27FC236}">
              <a16:creationId xmlns:a16="http://schemas.microsoft.com/office/drawing/2014/main" id="{A49ECA37-C5FC-0148-B2DA-6D13A5FF2B77}"/>
            </a:ext>
          </a:extLst>
        </xdr:cNvPr>
        <xdr:cNvGrpSpPr/>
      </xdr:nvGrpSpPr>
      <xdr:grpSpPr>
        <a:xfrm>
          <a:off x="10155343" y="852382"/>
          <a:ext cx="3525302" cy="1281641"/>
          <a:chOff x="7244198" y="8503227"/>
          <a:chExt cx="1845115" cy="1168977"/>
        </a:xfrm>
      </xdr:grpSpPr>
      <xdr:sp macro="" textlink="">
        <xdr:nvSpPr>
          <xdr:cNvPr id="22" name="CaixaDeTexto 21">
            <a:extLst>
              <a:ext uri="{FF2B5EF4-FFF2-40B4-BE49-F238E27FC236}">
                <a16:creationId xmlns:a16="http://schemas.microsoft.com/office/drawing/2014/main" id="{7FEF6D02-0039-C819-5F49-52EC4F81A9B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4" name="Retângulo 23">
            <a:extLst>
              <a:ext uri="{FF2B5EF4-FFF2-40B4-BE49-F238E27FC236}">
                <a16:creationId xmlns:a16="http://schemas.microsoft.com/office/drawing/2014/main" id="{558A2A39-76B1-DE19-5D29-928E802F2EF4}"/>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Retângulo 27">
            <a:extLst>
              <a:ext uri="{FF2B5EF4-FFF2-40B4-BE49-F238E27FC236}">
                <a16:creationId xmlns:a16="http://schemas.microsoft.com/office/drawing/2014/main" id="{A3CA8536-81B9-6BBF-51E9-0E63BE6912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9" name="CaixaDeTexto 28">
            <a:extLst>
              <a:ext uri="{FF2B5EF4-FFF2-40B4-BE49-F238E27FC236}">
                <a16:creationId xmlns:a16="http://schemas.microsoft.com/office/drawing/2014/main" id="{249A8281-6C64-B68C-5061-D25FA161441D}"/>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C74AFB5D-9DCD-8E9B-8A26-230F2FEE5D12}"/>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5FFDD2FE-B10A-7F6A-4DD3-84FAD832124C}"/>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9" name="Agrupar 8">
          <a:extLst>
            <a:ext uri="{FF2B5EF4-FFF2-40B4-BE49-F238E27FC236}">
              <a16:creationId xmlns:a16="http://schemas.microsoft.com/office/drawing/2014/main" id="{410D0D8E-7A68-45C4-A8F6-5BD3AB1B6410}"/>
            </a:ext>
          </a:extLst>
        </xdr:cNvPr>
        <xdr:cNvGrpSpPr/>
      </xdr:nvGrpSpPr>
      <xdr:grpSpPr>
        <a:xfrm>
          <a:off x="236220" y="446828"/>
          <a:ext cx="4074794" cy="289560"/>
          <a:chOff x="390525" y="437284"/>
          <a:chExt cx="4552949" cy="304800"/>
        </a:xfrm>
      </xdr:grpSpPr>
      <xdr:grpSp>
        <xdr:nvGrpSpPr>
          <xdr:cNvPr id="10" name="Agrupar 9">
            <a:extLst>
              <a:ext uri="{FF2B5EF4-FFF2-40B4-BE49-F238E27FC236}">
                <a16:creationId xmlns:a16="http://schemas.microsoft.com/office/drawing/2014/main" id="{072DB2AB-48A3-D0A6-3375-E0B110DE40C0}"/>
              </a:ext>
            </a:extLst>
          </xdr:cNvPr>
          <xdr:cNvGrpSpPr/>
        </xdr:nvGrpSpPr>
        <xdr:grpSpPr>
          <a:xfrm>
            <a:off x="390525" y="437284"/>
            <a:ext cx="2409824" cy="232929"/>
            <a:chOff x="386197" y="438151"/>
            <a:chExt cx="2410690" cy="237258"/>
          </a:xfrm>
        </xdr:grpSpPr>
        <xdr:sp macro="[0]!ocultar_marketshare" textlink="">
          <xdr:nvSpPr>
            <xdr:cNvPr id="12" name="Retângulo: Cantos Superiores Arredondados 11">
              <a:hlinkClick xmlns:r="http://schemas.openxmlformats.org/officeDocument/2006/relationships" r:id="rId1"/>
              <a:extLst>
                <a:ext uri="{FF2B5EF4-FFF2-40B4-BE49-F238E27FC236}">
                  <a16:creationId xmlns:a16="http://schemas.microsoft.com/office/drawing/2014/main" id="{1A22B33E-1CD9-DF86-531E-9E280DD9F7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3" name="Retângulo: Cantos Superiores Arredondados 12">
              <a:extLst>
                <a:ext uri="{FF2B5EF4-FFF2-40B4-BE49-F238E27FC236}">
                  <a16:creationId xmlns:a16="http://schemas.microsoft.com/office/drawing/2014/main" id="{227745ED-528B-2911-8B6A-C437413DDF4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Population</a:t>
              </a:r>
            </a:p>
          </xdr:txBody>
        </xdr:sp>
        <xdr:sp macro="" textlink="">
          <xdr:nvSpPr>
            <xdr:cNvPr id="14" name="Retângulo: Cantos Superiores Arredondados 13">
              <a:hlinkClick xmlns:r="http://schemas.openxmlformats.org/officeDocument/2006/relationships" r:id="rId2"/>
              <a:extLst>
                <a:ext uri="{FF2B5EF4-FFF2-40B4-BE49-F238E27FC236}">
                  <a16:creationId xmlns:a16="http://schemas.microsoft.com/office/drawing/2014/main" id="{947C8C03-771A-1531-2D83-ECDE262AC3A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11" name="CaixaDeTexto 10">
            <a:extLst>
              <a:ext uri="{FF2B5EF4-FFF2-40B4-BE49-F238E27FC236}">
                <a16:creationId xmlns:a16="http://schemas.microsoft.com/office/drawing/2014/main" id="{C2E797A6-518B-BAC9-A375-636920258342}"/>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Costs</a:t>
            </a:r>
            <a:endParaRPr lang="pt-BR" sz="1100" i="1" kern="1200">
              <a:solidFill>
                <a:schemeClr val="accent5"/>
              </a:solidFill>
            </a:endParaRPr>
          </a:p>
        </xdr:txBody>
      </xdr:sp>
    </xdr:grpSp>
    <xdr:clientData/>
  </xdr:twoCellAnchor>
  <xdr:twoCellAnchor editAs="absolute">
    <xdr:from>
      <xdr:col>12</xdr:col>
      <xdr:colOff>360884</xdr:colOff>
      <xdr:row>41</xdr:row>
      <xdr:rowOff>94009</xdr:rowOff>
    </xdr:from>
    <xdr:to>
      <xdr:col>22</xdr:col>
      <xdr:colOff>589744</xdr:colOff>
      <xdr:row>61</xdr:row>
      <xdr:rowOff>155395</xdr:rowOff>
    </xdr:to>
    <xdr:graphicFrame macro="">
      <xdr:nvGraphicFramePr>
        <xdr:cNvPr id="18" name="Gráfico 17">
          <a:extLst>
            <a:ext uri="{FF2B5EF4-FFF2-40B4-BE49-F238E27FC236}">
              <a16:creationId xmlns:a16="http://schemas.microsoft.com/office/drawing/2014/main" id="{1C2CB44D-D597-4A9C-A90D-92F9632BD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171930</xdr:colOff>
      <xdr:row>71</xdr:row>
      <xdr:rowOff>16298</xdr:rowOff>
    </xdr:from>
    <xdr:to>
      <xdr:col>19</xdr:col>
      <xdr:colOff>325096</xdr:colOff>
      <xdr:row>90</xdr:row>
      <xdr:rowOff>41909</xdr:rowOff>
    </xdr:to>
    <mc:AlternateContent xmlns:mc="http://schemas.openxmlformats.org/markup-compatibility/2006">
      <mc:Choice xmlns:cx2="http://schemas.microsoft.com/office/drawing/2015/10/21/chartex" Requires="cx2">
        <xdr:graphicFrame macro="">
          <xdr:nvGraphicFramePr>
            <xdr:cNvPr id="20" name="Gráfico 19">
              <a:extLst>
                <a:ext uri="{FF2B5EF4-FFF2-40B4-BE49-F238E27FC236}">
                  <a16:creationId xmlns:a16="http://schemas.microsoft.com/office/drawing/2014/main" id="{88A03DC0-B8D2-62FC-3F11-722A710B074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824690" y="13861838"/>
              <a:ext cx="5586226" cy="3561291"/>
            </a:xfrm>
            <a:prstGeom prst="rect">
              <a:avLst/>
            </a:prstGeom>
            <a:solidFill>
              <a:prstClr val="white"/>
            </a:solidFill>
            <a:ln w="1">
              <a:solidFill>
                <a:prstClr val="green"/>
              </a:solidFill>
            </a:ln>
          </xdr:spPr>
          <xdr:txBody>
            <a:bodyPr vertOverflow="clip" horzOverflow="clip"/>
            <a:lstStyle/>
            <a:p>
              <a:r>
                <a:rPr lang="pt-BR" sz="1100"/>
                <a:t>Este gráfico não está disponível na sua versão de Excel.
Editar esta forma ou salvar esta pasta de trabalho em um formato de arquivo diferente quebrará o gráfico permanentemente.</a:t>
              </a:r>
            </a:p>
          </xdr:txBody>
        </xdr:sp>
      </mc:Fallback>
    </mc:AlternateContent>
    <xdr:clientData/>
  </xdr:twoCellAnchor>
  <xdr:twoCellAnchor editAs="absolute">
    <xdr:from>
      <xdr:col>7</xdr:col>
      <xdr:colOff>592854</xdr:colOff>
      <xdr:row>33</xdr:row>
      <xdr:rowOff>16963</xdr:rowOff>
    </xdr:from>
    <xdr:to>
      <xdr:col>11</xdr:col>
      <xdr:colOff>286570</xdr:colOff>
      <xdr:row>39</xdr:row>
      <xdr:rowOff>131705</xdr:rowOff>
    </xdr:to>
    <xdr:grpSp>
      <xdr:nvGrpSpPr>
        <xdr:cNvPr id="7" name="Agrupar 6">
          <a:extLst>
            <a:ext uri="{FF2B5EF4-FFF2-40B4-BE49-F238E27FC236}">
              <a16:creationId xmlns:a16="http://schemas.microsoft.com/office/drawing/2014/main" id="{81D46F9D-C741-2619-DA5D-2E8974A01D1D}"/>
            </a:ext>
          </a:extLst>
        </xdr:cNvPr>
        <xdr:cNvGrpSpPr/>
      </xdr:nvGrpSpPr>
      <xdr:grpSpPr>
        <a:xfrm>
          <a:off x="7496574" y="6882583"/>
          <a:ext cx="3442756" cy="1212022"/>
          <a:chOff x="12172950" y="6048380"/>
          <a:chExt cx="3457579" cy="1161471"/>
        </a:xfrm>
      </xdr:grpSpPr>
      <xdr:sp macro="" textlink="">
        <xdr:nvSpPr>
          <xdr:cNvPr id="21" name="CaixaDeTexto 20">
            <a:extLst>
              <a:ext uri="{FF2B5EF4-FFF2-40B4-BE49-F238E27FC236}">
                <a16:creationId xmlns:a16="http://schemas.microsoft.com/office/drawing/2014/main" id="{8984171D-36AB-372D-3B04-01C5B5068988}"/>
              </a:ext>
            </a:extLst>
          </xdr:cNvPr>
          <xdr:cNvSpPr txBox="1"/>
        </xdr:nvSpPr>
        <xdr:spPr>
          <a:xfrm>
            <a:off x="12172950" y="6048380"/>
            <a:ext cx="3457579" cy="11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87E00D1A-B7F1-0FAC-E5BC-D1618B259FD5}"/>
              </a:ext>
            </a:extLst>
          </xdr:cNvPr>
          <xdr:cNvSpPr txBox="1"/>
        </xdr:nvSpPr>
        <xdr:spPr>
          <a:xfrm>
            <a:off x="12220576" y="6511573"/>
            <a:ext cx="3409950" cy="688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click on the chart, click on the top menu "Chart Design" and then click on "Select Data". Make sure that the "Measured Demand" icon is selecting only the fields in the table where there is data (reported period).</a:t>
            </a:r>
          </a:p>
        </xdr:txBody>
      </xdr:sp>
      <xdr:sp macro="" textlink="">
        <xdr:nvSpPr>
          <xdr:cNvPr id="23" name="CaixaDeTexto 22">
            <a:extLst>
              <a:ext uri="{FF2B5EF4-FFF2-40B4-BE49-F238E27FC236}">
                <a16:creationId xmlns:a16="http://schemas.microsoft.com/office/drawing/2014/main" id="{DD0A5F87-32DF-156B-F7D9-E61DF0BB64CA}"/>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19" name="InfoBox1" descr="Information with solid fill">
            <a:extLst>
              <a:ext uri="{FF2B5EF4-FFF2-40B4-BE49-F238E27FC236}">
                <a16:creationId xmlns:a16="http://schemas.microsoft.com/office/drawing/2014/main" id="{2198E151-CCB4-6400-32D9-545733223B6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xdr:from>
      <xdr:col>8</xdr:col>
      <xdr:colOff>419100</xdr:colOff>
      <xdr:row>22</xdr:row>
      <xdr:rowOff>187568</xdr:rowOff>
    </xdr:from>
    <xdr:to>
      <xdr:col>12</xdr:col>
      <xdr:colOff>214924</xdr:colOff>
      <xdr:row>27</xdr:row>
      <xdr:rowOff>204497</xdr:rowOff>
    </xdr:to>
    <xdr:grpSp>
      <xdr:nvGrpSpPr>
        <xdr:cNvPr id="8" name="Agrupar 7">
          <a:extLst>
            <a:ext uri="{FF2B5EF4-FFF2-40B4-BE49-F238E27FC236}">
              <a16:creationId xmlns:a16="http://schemas.microsoft.com/office/drawing/2014/main" id="{193167D0-94E8-4666-BC2A-CD3BB27F24D9}"/>
            </a:ext>
          </a:extLst>
        </xdr:cNvPr>
        <xdr:cNvGrpSpPr/>
      </xdr:nvGrpSpPr>
      <xdr:grpSpPr>
        <a:xfrm>
          <a:off x="8260080" y="4546208"/>
          <a:ext cx="3544864" cy="1228509"/>
          <a:chOff x="12172950" y="6048381"/>
          <a:chExt cx="3457579" cy="1223947"/>
        </a:xfrm>
      </xdr:grpSpPr>
      <xdr:sp macro="" textlink="">
        <xdr:nvSpPr>
          <xdr:cNvPr id="24" name="CaixaDeTexto 23">
            <a:extLst>
              <a:ext uri="{FF2B5EF4-FFF2-40B4-BE49-F238E27FC236}">
                <a16:creationId xmlns:a16="http://schemas.microsoft.com/office/drawing/2014/main" id="{82F180F2-C647-0A6A-91A5-289ECFF344FB}"/>
              </a:ext>
            </a:extLst>
          </xdr:cNvPr>
          <xdr:cNvSpPr txBox="1"/>
        </xdr:nvSpPr>
        <xdr:spPr>
          <a:xfrm>
            <a:off x="12172950" y="6048381"/>
            <a:ext cx="3457579" cy="12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CaixaDeTexto 24">
            <a:extLst>
              <a:ext uri="{FF2B5EF4-FFF2-40B4-BE49-F238E27FC236}">
                <a16:creationId xmlns:a16="http://schemas.microsoft.com/office/drawing/2014/main" id="{BE6E909F-4C3B-7CA9-E73A-A637D8B2E63F}"/>
              </a:ext>
            </a:extLst>
          </xdr:cNvPr>
          <xdr:cNvSpPr txBox="1"/>
        </xdr:nvSpPr>
        <xdr:spPr>
          <a:xfrm>
            <a:off x="12220576" y="6511571"/>
            <a:ext cx="3409950" cy="760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This section can be used to report prevalence in year 1 and incidence in subsequent years. In this case, select "Yes, it represents incidence" in the previous question about "Does the eligible population relate to the number of new cases?"</a:t>
            </a:r>
          </a:p>
        </xdr:txBody>
      </xdr:sp>
      <xdr:sp macro="" textlink="">
        <xdr:nvSpPr>
          <xdr:cNvPr id="26" name="CaixaDeTexto 25">
            <a:extLst>
              <a:ext uri="{FF2B5EF4-FFF2-40B4-BE49-F238E27FC236}">
                <a16:creationId xmlns:a16="http://schemas.microsoft.com/office/drawing/2014/main" id="{02EBDCCB-8A81-B767-4758-BB907B7640F8}"/>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7" name="InfoBox1" descr="Information with solid fill">
            <a:extLst>
              <a:ext uri="{FF2B5EF4-FFF2-40B4-BE49-F238E27FC236}">
                <a16:creationId xmlns:a16="http://schemas.microsoft.com/office/drawing/2014/main" id="{F8A57388-DDAC-A904-1A93-41E3396CBBBA}"/>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editAs="absolute">
    <xdr:from>
      <xdr:col>9</xdr:col>
      <xdr:colOff>360240</xdr:colOff>
      <xdr:row>13</xdr:row>
      <xdr:rowOff>92240</xdr:rowOff>
    </xdr:from>
    <xdr:to>
      <xdr:col>14</xdr:col>
      <xdr:colOff>188766</xdr:colOff>
      <xdr:row>16</xdr:row>
      <xdr:rowOff>54430</xdr:rowOff>
    </xdr:to>
    <xdr:grpSp>
      <xdr:nvGrpSpPr>
        <xdr:cNvPr id="2" name="Agrupar 1">
          <a:extLst>
            <a:ext uri="{FF2B5EF4-FFF2-40B4-BE49-F238E27FC236}">
              <a16:creationId xmlns:a16="http://schemas.microsoft.com/office/drawing/2014/main" id="{51D4899B-31DF-ED40-A71C-923B9126DB9F}"/>
            </a:ext>
          </a:extLst>
        </xdr:cNvPr>
        <xdr:cNvGrpSpPr/>
      </xdr:nvGrpSpPr>
      <xdr:grpSpPr>
        <a:xfrm>
          <a:off x="9138480" y="2667800"/>
          <a:ext cx="3478506" cy="647990"/>
          <a:chOff x="7333755" y="8620379"/>
          <a:chExt cx="1403654" cy="663031"/>
        </a:xfrm>
      </xdr:grpSpPr>
      <xdr:sp macro="" textlink="">
        <xdr:nvSpPr>
          <xdr:cNvPr id="3" name="CaixaDeTexto 2">
            <a:extLst>
              <a:ext uri="{FF2B5EF4-FFF2-40B4-BE49-F238E27FC236}">
                <a16:creationId xmlns:a16="http://schemas.microsoft.com/office/drawing/2014/main" id="{C4C78BE8-0273-0BEC-E55F-CF9BB6507607}"/>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CaixaDeTexto 3">
            <a:extLst>
              <a:ext uri="{FF2B5EF4-FFF2-40B4-BE49-F238E27FC236}">
                <a16:creationId xmlns:a16="http://schemas.microsoft.com/office/drawing/2014/main" id="{138E367B-1BB9-F503-2C98-D5D4550203EE}"/>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5" name="CaixaDeTexto 4">
            <a:extLst>
              <a:ext uri="{FF2B5EF4-FFF2-40B4-BE49-F238E27FC236}">
                <a16:creationId xmlns:a16="http://schemas.microsoft.com/office/drawing/2014/main" id="{570C40B1-9C7A-781B-369B-75BC937005C2}"/>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9</xdr:col>
      <xdr:colOff>363668</xdr:colOff>
      <xdr:row>3</xdr:row>
      <xdr:rowOff>153182</xdr:rowOff>
    </xdr:from>
    <xdr:to>
      <xdr:col>14</xdr:col>
      <xdr:colOff>94407</xdr:colOff>
      <xdr:row>12</xdr:row>
      <xdr:rowOff>112388</xdr:rowOff>
    </xdr:to>
    <xdr:grpSp>
      <xdr:nvGrpSpPr>
        <xdr:cNvPr id="6" name="Agrupar 5">
          <a:extLst>
            <a:ext uri="{FF2B5EF4-FFF2-40B4-BE49-F238E27FC236}">
              <a16:creationId xmlns:a16="http://schemas.microsoft.com/office/drawing/2014/main" id="{2EB342B3-2C38-7C4B-9EE9-E4EF4340AA04}"/>
            </a:ext>
          </a:extLst>
        </xdr:cNvPr>
        <xdr:cNvGrpSpPr/>
      </xdr:nvGrpSpPr>
      <xdr:grpSpPr>
        <a:xfrm>
          <a:off x="9141908" y="831362"/>
          <a:ext cx="3380719" cy="1673706"/>
          <a:chOff x="7244198" y="8503227"/>
          <a:chExt cx="1845115" cy="1168977"/>
        </a:xfrm>
      </xdr:grpSpPr>
      <xdr:sp macro="" textlink="">
        <xdr:nvSpPr>
          <xdr:cNvPr id="15" name="CaixaDeTexto 14">
            <a:extLst>
              <a:ext uri="{FF2B5EF4-FFF2-40B4-BE49-F238E27FC236}">
                <a16:creationId xmlns:a16="http://schemas.microsoft.com/office/drawing/2014/main" id="{3D93B481-AFF5-ADFD-2CEC-DB4953E74AD3}"/>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6" name="Retângulo 15">
            <a:extLst>
              <a:ext uri="{FF2B5EF4-FFF2-40B4-BE49-F238E27FC236}">
                <a16:creationId xmlns:a16="http://schemas.microsoft.com/office/drawing/2014/main" id="{0B9320E7-E68E-B4AF-1854-2BA4BD3A623F}"/>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7" name="Retângulo 16">
            <a:extLst>
              <a:ext uri="{FF2B5EF4-FFF2-40B4-BE49-F238E27FC236}">
                <a16:creationId xmlns:a16="http://schemas.microsoft.com/office/drawing/2014/main" id="{09AE459B-08E5-A26D-F1DA-09D922559C53}"/>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CaixaDeTexto 27">
            <a:extLst>
              <a:ext uri="{FF2B5EF4-FFF2-40B4-BE49-F238E27FC236}">
                <a16:creationId xmlns:a16="http://schemas.microsoft.com/office/drawing/2014/main" id="{7EE4C994-490F-5E29-B049-7D3607A5A90C}"/>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9" name="CaixaDeTexto 28">
            <a:extLst>
              <a:ext uri="{FF2B5EF4-FFF2-40B4-BE49-F238E27FC236}">
                <a16:creationId xmlns:a16="http://schemas.microsoft.com/office/drawing/2014/main" id="{EDBC0246-A0D1-09B8-6533-B95903C4B4D8}"/>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0" name="CaixaDeTexto 29">
            <a:extLst>
              <a:ext uri="{FF2B5EF4-FFF2-40B4-BE49-F238E27FC236}">
                <a16:creationId xmlns:a16="http://schemas.microsoft.com/office/drawing/2014/main" id="{D0435128-E1F7-353A-F552-916238DDC7AA}"/>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3" name="Agrupar 2">
          <a:extLst>
            <a:ext uri="{FF2B5EF4-FFF2-40B4-BE49-F238E27FC236}">
              <a16:creationId xmlns:a16="http://schemas.microsoft.com/office/drawing/2014/main" id="{1C6047E5-58EB-4ACA-9D17-0242E1680360}"/>
            </a:ext>
          </a:extLst>
        </xdr:cNvPr>
        <xdr:cNvGrpSpPr/>
      </xdr:nvGrpSpPr>
      <xdr:grpSpPr>
        <a:xfrm>
          <a:off x="373380" y="446828"/>
          <a:ext cx="4044314" cy="289560"/>
          <a:chOff x="390525" y="437284"/>
          <a:chExt cx="4552949" cy="304800"/>
        </a:xfrm>
      </xdr:grpSpPr>
      <xdr:grpSp>
        <xdr:nvGrpSpPr>
          <xdr:cNvPr id="5" name="Agrupar 4">
            <a:extLst>
              <a:ext uri="{FF2B5EF4-FFF2-40B4-BE49-F238E27FC236}">
                <a16:creationId xmlns:a16="http://schemas.microsoft.com/office/drawing/2014/main" id="{9EA5E324-DA70-CBF8-7DB1-15F3C9F6EBCB}"/>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4AD42B-8F35-0632-D14F-B97B600843B2}"/>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11CBF60D-6C04-D0E2-440B-BC2EF39F2001}"/>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Costs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7F235F0D-FBB8-F96E-8F64-1A48F0F8E9F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98F87F0D-6892-76C8-8062-E8B397F265C0}"/>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Time on treatment</a:t>
            </a:r>
            <a:endParaRPr lang="pt-BR" sz="1100" i="1" kern="1200">
              <a:solidFill>
                <a:schemeClr val="accent5"/>
              </a:solidFill>
            </a:endParaRPr>
          </a:p>
        </xdr:txBody>
      </xdr:sp>
    </xdr:grpSp>
    <xdr:clientData/>
  </xdr:twoCellAnchor>
  <xdr:twoCellAnchor>
    <xdr:from>
      <xdr:col>0</xdr:col>
      <xdr:colOff>412750</xdr:colOff>
      <xdr:row>5</xdr:row>
      <xdr:rowOff>19051</xdr:rowOff>
    </xdr:from>
    <xdr:to>
      <xdr:col>7</xdr:col>
      <xdr:colOff>825500</xdr:colOff>
      <xdr:row>14</xdr:row>
      <xdr:rowOff>133350</xdr:rowOff>
    </xdr:to>
    <xdr:graphicFrame macro="">
      <xdr:nvGraphicFramePr>
        <xdr:cNvPr id="17" name="Diagrama 16">
          <a:extLst>
            <a:ext uri="{FF2B5EF4-FFF2-40B4-BE49-F238E27FC236}">
              <a16:creationId xmlns:a16="http://schemas.microsoft.com/office/drawing/2014/main" id="{3A21424A-E939-AB39-F099-5C36272B756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1</xdr:col>
      <xdr:colOff>1270</xdr:colOff>
      <xdr:row>17</xdr:row>
      <xdr:rowOff>85722</xdr:rowOff>
    </xdr:from>
    <xdr:to>
      <xdr:col>8</xdr:col>
      <xdr:colOff>1047750</xdr:colOff>
      <xdr:row>24</xdr:row>
      <xdr:rowOff>91439</xdr:rowOff>
    </xdr:to>
    <xdr:grpSp>
      <xdr:nvGrpSpPr>
        <xdr:cNvPr id="18" name="Agrupar 17">
          <a:extLst>
            <a:ext uri="{FF2B5EF4-FFF2-40B4-BE49-F238E27FC236}">
              <a16:creationId xmlns:a16="http://schemas.microsoft.com/office/drawing/2014/main" id="{28293372-9FB7-475A-AF9E-DCD4115703B4}"/>
            </a:ext>
          </a:extLst>
        </xdr:cNvPr>
        <xdr:cNvGrpSpPr/>
      </xdr:nvGrpSpPr>
      <xdr:grpSpPr>
        <a:xfrm>
          <a:off x="374650" y="3369942"/>
          <a:ext cx="9718040" cy="1285877"/>
          <a:chOff x="12172950" y="6048380"/>
          <a:chExt cx="11639550" cy="1341336"/>
        </a:xfrm>
      </xdr:grpSpPr>
      <xdr:sp macro="" textlink="">
        <xdr:nvSpPr>
          <xdr:cNvPr id="19" name="CaixaDeTexto 18">
            <a:extLst>
              <a:ext uri="{FF2B5EF4-FFF2-40B4-BE49-F238E27FC236}">
                <a16:creationId xmlns:a16="http://schemas.microsoft.com/office/drawing/2014/main" id="{2CF238AF-380E-D41F-B909-EC9B891D2209}"/>
              </a:ext>
            </a:extLst>
          </xdr:cNvPr>
          <xdr:cNvSpPr txBox="1"/>
        </xdr:nvSpPr>
        <xdr:spPr>
          <a:xfrm>
            <a:off x="12172950" y="6048380"/>
            <a:ext cx="11525249" cy="13413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0" name="CaixaDeTexto 19">
            <a:extLst>
              <a:ext uri="{FF2B5EF4-FFF2-40B4-BE49-F238E27FC236}">
                <a16:creationId xmlns:a16="http://schemas.microsoft.com/office/drawing/2014/main" id="{A634BD2E-5D0D-D5F2-1528-F478EDEB4D32}"/>
              </a:ext>
            </a:extLst>
          </xdr:cNvPr>
          <xdr:cNvSpPr txBox="1"/>
        </xdr:nvSpPr>
        <xdr:spPr>
          <a:xfrm>
            <a:off x="12220576" y="6417736"/>
            <a:ext cx="11591924" cy="940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 this section, the costs of the assessed treatments will be reported. Ideally, treatment costs should be calculated using Section 6.1 below.</a:t>
            </a:r>
            <a:br>
              <a:rPr lang="pt-BR" sz="1000" kern="1200"/>
            </a:br>
            <a:r>
              <a:rPr lang="pt-BR" sz="1000" kern="1200"/>
              <a:t>It is important to distinguish between costs that are ongoing (e.g., chronic treatment, recurrent therapy, or maintenance therapy) and those that occur only once at the start of the model (e.g., induction therapy).</a:t>
            </a:r>
            <a:br>
              <a:rPr lang="pt-BR" sz="1000" kern="1200"/>
            </a:br>
            <a:r>
              <a:rPr lang="pt-BR" sz="1000" kern="1200"/>
              <a:t>It is also possible to estimate costs that will be incurred only after treatment discontinuation (e.g., costs related to disease progression in oncology therapies).</a:t>
            </a:r>
            <a:br>
              <a:rPr lang="pt-BR" sz="1000" kern="1200"/>
            </a:br>
            <a:r>
              <a:rPr lang="pt-BR" sz="1000" kern="1200"/>
              <a:t>If it is not feasible to use Section 6.1 to estimate costs, use Section 6.2 at the bottom of this page to input the total annual cost per treatment.</a:t>
            </a:r>
          </a:p>
        </xdr:txBody>
      </xdr:sp>
      <xdr:sp macro="" textlink="">
        <xdr:nvSpPr>
          <xdr:cNvPr id="21" name="CaixaDeTexto 20">
            <a:extLst>
              <a:ext uri="{FF2B5EF4-FFF2-40B4-BE49-F238E27FC236}">
                <a16:creationId xmlns:a16="http://schemas.microsoft.com/office/drawing/2014/main" id="{85D77D43-B560-3528-C0FA-E4429DA670BB}"/>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2" name="InfoBox1" descr="Information with solid fill">
            <a:extLst>
              <a:ext uri="{FF2B5EF4-FFF2-40B4-BE49-F238E27FC236}">
                <a16:creationId xmlns:a16="http://schemas.microsoft.com/office/drawing/2014/main" id="{61B887AD-E610-B866-506B-7D6628DEA720}"/>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334875" y="6096000"/>
            <a:ext cx="371474" cy="351558"/>
          </a:xfrm>
          <a:prstGeom prst="rect">
            <a:avLst/>
          </a:prstGeom>
        </xdr:spPr>
      </xdr:pic>
    </xdr:grpSp>
    <xdr:clientData/>
  </xdr:twoCellAnchor>
  <xdr:twoCellAnchor editAs="absolute">
    <xdr:from>
      <xdr:col>8</xdr:col>
      <xdr:colOff>1006142</xdr:colOff>
      <xdr:row>5</xdr:row>
      <xdr:rowOff>53764</xdr:rowOff>
    </xdr:from>
    <xdr:to>
      <xdr:col>13</xdr:col>
      <xdr:colOff>1687</xdr:colOff>
      <xdr:row>12</xdr:row>
      <xdr:rowOff>56727</xdr:rowOff>
    </xdr:to>
    <xdr:grpSp>
      <xdr:nvGrpSpPr>
        <xdr:cNvPr id="23" name="Agrupar 22">
          <a:extLst>
            <a:ext uri="{FF2B5EF4-FFF2-40B4-BE49-F238E27FC236}">
              <a16:creationId xmlns:a16="http://schemas.microsoft.com/office/drawing/2014/main" id="{1DA62542-CB00-8D45-89DF-8B7EF946CE90}"/>
            </a:ext>
          </a:extLst>
        </xdr:cNvPr>
        <xdr:cNvGrpSpPr/>
      </xdr:nvGrpSpPr>
      <xdr:grpSpPr>
        <a:xfrm>
          <a:off x="10051082" y="1097704"/>
          <a:ext cx="3483725" cy="1283123"/>
          <a:chOff x="7244198" y="8503227"/>
          <a:chExt cx="1845115" cy="1168977"/>
        </a:xfrm>
      </xdr:grpSpPr>
      <xdr:sp macro="" textlink="">
        <xdr:nvSpPr>
          <xdr:cNvPr id="24" name="CaixaDeTexto 23">
            <a:extLst>
              <a:ext uri="{FF2B5EF4-FFF2-40B4-BE49-F238E27FC236}">
                <a16:creationId xmlns:a16="http://schemas.microsoft.com/office/drawing/2014/main" id="{9E5A6237-C67D-3C1C-38F0-53E2CF2DE2CA}"/>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A9771E9E-D841-8824-8134-9BDBA16B5C23}"/>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4A08BFE-3730-2C03-DF99-7F74644DB439}"/>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CaixaDeTexto 26">
            <a:extLst>
              <a:ext uri="{FF2B5EF4-FFF2-40B4-BE49-F238E27FC236}">
                <a16:creationId xmlns:a16="http://schemas.microsoft.com/office/drawing/2014/main" id="{C5456027-74AE-AAD1-2213-3EA32991A857}"/>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8" name="CaixaDeTexto 27">
            <a:extLst>
              <a:ext uri="{FF2B5EF4-FFF2-40B4-BE49-F238E27FC236}">
                <a16:creationId xmlns:a16="http://schemas.microsoft.com/office/drawing/2014/main" id="{86EA3B3E-843C-EC0C-E370-FA08688ADB6E}"/>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29" name="CaixaDeTexto 28">
            <a:extLst>
              <a:ext uri="{FF2B5EF4-FFF2-40B4-BE49-F238E27FC236}">
                <a16:creationId xmlns:a16="http://schemas.microsoft.com/office/drawing/2014/main" id="{BC018347-9732-34BE-128F-B63FE6177BA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419100</xdr:rowOff>
    </xdr:from>
    <xdr:to>
      <xdr:col>4</xdr:col>
      <xdr:colOff>219074</xdr:colOff>
      <xdr:row>3</xdr:row>
      <xdr:rowOff>28575</xdr:rowOff>
    </xdr:to>
    <xdr:grpSp>
      <xdr:nvGrpSpPr>
        <xdr:cNvPr id="2" name="Agrupar 1">
          <a:extLst>
            <a:ext uri="{FF2B5EF4-FFF2-40B4-BE49-F238E27FC236}">
              <a16:creationId xmlns:a16="http://schemas.microsoft.com/office/drawing/2014/main" id="{9DF5DE3F-A819-4C96-B324-756719C99586}"/>
            </a:ext>
          </a:extLst>
        </xdr:cNvPr>
        <xdr:cNvGrpSpPr/>
      </xdr:nvGrpSpPr>
      <xdr:grpSpPr>
        <a:xfrm>
          <a:off x="297180" y="419100"/>
          <a:ext cx="3869054" cy="318135"/>
          <a:chOff x="390525" y="437284"/>
          <a:chExt cx="4552949" cy="304800"/>
        </a:xfrm>
      </xdr:grpSpPr>
      <xdr:grpSp>
        <xdr:nvGrpSpPr>
          <xdr:cNvPr id="4" name="Agrupar 3">
            <a:extLst>
              <a:ext uri="{FF2B5EF4-FFF2-40B4-BE49-F238E27FC236}">
                <a16:creationId xmlns:a16="http://schemas.microsoft.com/office/drawing/2014/main" id="{3E649EAA-3EF4-A01C-B3AE-CE8D23D21EFE}"/>
              </a:ext>
            </a:extLst>
          </xdr:cNvPr>
          <xdr:cNvGrpSpPr/>
        </xdr:nvGrpSpPr>
        <xdr:grpSpPr>
          <a:xfrm>
            <a:off x="390525" y="437284"/>
            <a:ext cx="2409824" cy="232929"/>
            <a:chOff x="386197" y="438151"/>
            <a:chExt cx="2410690" cy="237258"/>
          </a:xfrm>
        </xdr:grpSpPr>
        <xdr:sp macro="[0]!ocultar_marketshare"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5E3362F2-A626-9337-21EB-4E7EB29B672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7" name="Retângulo: Cantos Superiores Arredondados 6">
              <a:extLst>
                <a:ext uri="{FF2B5EF4-FFF2-40B4-BE49-F238E27FC236}">
                  <a16:creationId xmlns:a16="http://schemas.microsoft.com/office/drawing/2014/main" id="{437568F9-962E-F0D9-7CE3-16E67D83F159}"/>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Time on treatment</a:t>
              </a:r>
            </a:p>
          </xdr:txBody>
        </xdr:sp>
        <xdr:sp macro=""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DC735040-C6F0-240D-09C8-D21E7DCCEFF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B386A4DE-65B3-4597-60D0-C0BEC824B413}"/>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Results</a:t>
            </a:r>
          </a:p>
        </xdr:txBody>
      </xdr:sp>
    </xdr:grpSp>
    <xdr:clientData/>
  </xdr:twoCellAnchor>
  <xdr:twoCellAnchor>
    <xdr:from>
      <xdr:col>8</xdr:col>
      <xdr:colOff>883073</xdr:colOff>
      <xdr:row>57</xdr:row>
      <xdr:rowOff>162137</xdr:rowOff>
    </xdr:from>
    <xdr:to>
      <xdr:col>9</xdr:col>
      <xdr:colOff>504401</xdr:colOff>
      <xdr:row>59</xdr:row>
      <xdr:rowOff>72602</xdr:rowOff>
    </xdr:to>
    <xdr:sp macro="" textlink="">
      <xdr:nvSpPr>
        <xdr:cNvPr id="9" name="Retângulo: Cantos Arredondados 8">
          <a:hlinkClick xmlns:r="http://schemas.openxmlformats.org/officeDocument/2006/relationships" r:id="rId3"/>
          <a:extLst>
            <a:ext uri="{FF2B5EF4-FFF2-40B4-BE49-F238E27FC236}">
              <a16:creationId xmlns:a16="http://schemas.microsoft.com/office/drawing/2014/main" id="{6B07A605-9E07-8DCA-5D3A-30620207D2FC}"/>
            </a:ext>
          </a:extLst>
        </xdr:cNvPr>
        <xdr:cNvSpPr/>
      </xdr:nvSpPr>
      <xdr:spPr>
        <a:xfrm>
          <a:off x="7493423" y="10744412"/>
          <a:ext cx="935778" cy="272415"/>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xdr:from>
      <xdr:col>1</xdr:col>
      <xdr:colOff>257175</xdr:colOff>
      <xdr:row>93</xdr:row>
      <xdr:rowOff>104775</xdr:rowOff>
    </xdr:from>
    <xdr:to>
      <xdr:col>13</xdr:col>
      <xdr:colOff>76200</xdr:colOff>
      <xdr:row>99</xdr:row>
      <xdr:rowOff>76200</xdr:rowOff>
    </xdr:to>
    <xdr:grpSp>
      <xdr:nvGrpSpPr>
        <xdr:cNvPr id="18" name="Agrupar 17">
          <a:extLst>
            <a:ext uri="{FF2B5EF4-FFF2-40B4-BE49-F238E27FC236}">
              <a16:creationId xmlns:a16="http://schemas.microsoft.com/office/drawing/2014/main" id="{84E3BB2A-732D-4CDE-AE24-3DD9AF39C90C}"/>
            </a:ext>
          </a:extLst>
        </xdr:cNvPr>
        <xdr:cNvGrpSpPr/>
      </xdr:nvGrpSpPr>
      <xdr:grpSpPr>
        <a:xfrm>
          <a:off x="554355" y="17425035"/>
          <a:ext cx="10586085" cy="1068705"/>
          <a:chOff x="10067925" y="2743200"/>
          <a:chExt cx="9906000" cy="1114425"/>
        </a:xfrm>
      </xdr:grpSpPr>
      <xdr:grpSp>
        <xdr:nvGrpSpPr>
          <xdr:cNvPr id="19" name="Agrupar 18">
            <a:extLst>
              <a:ext uri="{FF2B5EF4-FFF2-40B4-BE49-F238E27FC236}">
                <a16:creationId xmlns:a16="http://schemas.microsoft.com/office/drawing/2014/main" id="{0DAE3FCC-D2BA-0BF0-3850-3B3DC488EF70}"/>
              </a:ext>
            </a:extLst>
          </xdr:cNvPr>
          <xdr:cNvGrpSpPr/>
        </xdr:nvGrpSpPr>
        <xdr:grpSpPr>
          <a:xfrm>
            <a:off x="10067925" y="2743200"/>
            <a:ext cx="9906000" cy="1114425"/>
            <a:chOff x="7244198" y="8503227"/>
            <a:chExt cx="5360102" cy="1114425"/>
          </a:xfrm>
        </xdr:grpSpPr>
        <xdr:sp macro="" textlink="">
          <xdr:nvSpPr>
            <xdr:cNvPr id="21" name="CaixaDeTexto 20">
              <a:extLst>
                <a:ext uri="{FF2B5EF4-FFF2-40B4-BE49-F238E27FC236}">
                  <a16:creationId xmlns:a16="http://schemas.microsoft.com/office/drawing/2014/main" id="{9674732E-3DF7-902A-E764-98AEBAFE2E44}"/>
                </a:ext>
              </a:extLst>
            </xdr:cNvPr>
            <xdr:cNvSpPr txBox="1"/>
          </xdr:nvSpPr>
          <xdr:spPr>
            <a:xfrm>
              <a:off x="7244198" y="8503227"/>
              <a:ext cx="5360102"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C9DD3A95-D32B-A772-8976-A3B4EE96D700}"/>
                </a:ext>
              </a:extLst>
            </xdr:cNvPr>
            <xdr:cNvSpPr txBox="1"/>
          </xdr:nvSpPr>
          <xdr:spPr>
            <a:xfrm>
              <a:off x="7269968" y="8912801"/>
              <a:ext cx="5282792" cy="704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a:t>Mortality rate:</a:t>
              </a:r>
              <a:r>
                <a:rPr lang="pt-BR" sz="1000"/>
                <a:t> Proportion of patients who exit the analysis each year due to death. At baseline, the mortality rate is 0%, and in subsequent years it should always be </a:t>
              </a:r>
              <a:r>
                <a:rPr lang="pt-BR" sz="1000" b="1"/>
                <a:t>increasing</a:t>
              </a:r>
              <a:r>
                <a:rPr lang="pt-BR" sz="1000"/>
                <a:t> because it is cumulative.</a:t>
              </a:r>
            </a:p>
            <a:p>
              <a:r>
                <a:rPr lang="pt-BR" sz="1000" b="1"/>
                <a:t>Overall survival:</a:t>
              </a:r>
              <a:r>
                <a:rPr lang="pt-BR" sz="1000"/>
                <a:t> Percentage of patients alive at the end of each period (year). At baseline, overall survival is 100%, and in subsequent years it should always be </a:t>
              </a:r>
              <a:r>
                <a:rPr lang="pt-BR" sz="1000" b="1"/>
                <a:t>decreasing</a:t>
              </a:r>
              <a:r>
                <a:rPr lang="pt-BR" sz="1000"/>
                <a:t>.</a:t>
              </a:r>
            </a:p>
          </xdr:txBody>
        </xdr:sp>
        <xdr:sp macro="" textlink="">
          <xdr:nvSpPr>
            <xdr:cNvPr id="23" name="CaixaDeTexto 22">
              <a:extLst>
                <a:ext uri="{FF2B5EF4-FFF2-40B4-BE49-F238E27FC236}">
                  <a16:creationId xmlns:a16="http://schemas.microsoft.com/office/drawing/2014/main" id="{7DB82325-7421-2D35-DBE3-D542516E80ED}"/>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0" name="InfoBox1" descr="Information with solid fill">
            <a:extLst>
              <a:ext uri="{FF2B5EF4-FFF2-40B4-BE49-F238E27FC236}">
                <a16:creationId xmlns:a16="http://schemas.microsoft.com/office/drawing/2014/main" id="{822E3709-D9A2-1BC4-3BEE-16C2FD26F36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29850" y="2790825"/>
            <a:ext cx="371474" cy="351558"/>
          </a:xfrm>
          <a:prstGeom prst="rect">
            <a:avLst/>
          </a:prstGeom>
        </xdr:spPr>
      </xdr:pic>
    </xdr:grpSp>
    <xdr:clientData/>
  </xdr:twoCellAnchor>
  <xdr:twoCellAnchor>
    <xdr:from>
      <xdr:col>1</xdr:col>
      <xdr:colOff>209549</xdr:colOff>
      <xdr:row>43</xdr:row>
      <xdr:rowOff>152400</xdr:rowOff>
    </xdr:from>
    <xdr:to>
      <xdr:col>13</xdr:col>
      <xdr:colOff>47623</xdr:colOff>
      <xdr:row>51</xdr:row>
      <xdr:rowOff>57150</xdr:rowOff>
    </xdr:to>
    <xdr:grpSp>
      <xdr:nvGrpSpPr>
        <xdr:cNvPr id="11" name="Agrupar 10">
          <a:extLst>
            <a:ext uri="{FF2B5EF4-FFF2-40B4-BE49-F238E27FC236}">
              <a16:creationId xmlns:a16="http://schemas.microsoft.com/office/drawing/2014/main" id="{6407FC88-FE72-4467-ADF5-265F77A4CDE3}"/>
            </a:ext>
          </a:extLst>
        </xdr:cNvPr>
        <xdr:cNvGrpSpPr/>
      </xdr:nvGrpSpPr>
      <xdr:grpSpPr>
        <a:xfrm>
          <a:off x="506729" y="8267700"/>
          <a:ext cx="10605134" cy="1367790"/>
          <a:chOff x="10067924" y="2743201"/>
          <a:chExt cx="10872495" cy="904874"/>
        </a:xfrm>
      </xdr:grpSpPr>
      <xdr:grpSp>
        <xdr:nvGrpSpPr>
          <xdr:cNvPr id="24" name="Agrupar 23">
            <a:extLst>
              <a:ext uri="{FF2B5EF4-FFF2-40B4-BE49-F238E27FC236}">
                <a16:creationId xmlns:a16="http://schemas.microsoft.com/office/drawing/2014/main" id="{4043D3FB-1F50-3984-338F-5E114BE3C685}"/>
              </a:ext>
            </a:extLst>
          </xdr:cNvPr>
          <xdr:cNvGrpSpPr/>
        </xdr:nvGrpSpPr>
        <xdr:grpSpPr>
          <a:xfrm>
            <a:off x="10067924" y="2743201"/>
            <a:ext cx="10872495" cy="904874"/>
            <a:chOff x="7244197" y="8503228"/>
            <a:chExt cx="5883069" cy="904874"/>
          </a:xfrm>
        </xdr:grpSpPr>
        <xdr:sp macro="" textlink="">
          <xdr:nvSpPr>
            <xdr:cNvPr id="26" name="CaixaDeTexto 25">
              <a:extLst>
                <a:ext uri="{FF2B5EF4-FFF2-40B4-BE49-F238E27FC236}">
                  <a16:creationId xmlns:a16="http://schemas.microsoft.com/office/drawing/2014/main" id="{7E4B5F10-3E15-4A60-7319-85B24990F844}"/>
                </a:ext>
              </a:extLst>
            </xdr:cNvPr>
            <xdr:cNvSpPr txBox="1"/>
          </xdr:nvSpPr>
          <xdr:spPr>
            <a:xfrm>
              <a:off x="7244197" y="8503228"/>
              <a:ext cx="5883069" cy="8143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7" name="CaixaDeTexto 26">
              <a:extLst>
                <a:ext uri="{FF2B5EF4-FFF2-40B4-BE49-F238E27FC236}">
                  <a16:creationId xmlns:a16="http://schemas.microsoft.com/office/drawing/2014/main" id="{6B2EC83B-C2A3-079F-2EF2-8A67D59DA9A6}"/>
                </a:ext>
              </a:extLst>
            </xdr:cNvPr>
            <xdr:cNvSpPr txBox="1"/>
          </xdr:nvSpPr>
          <xdr:spPr>
            <a:xfrm>
              <a:off x="7269968" y="8822950"/>
              <a:ext cx="5783902" cy="585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u="sng" kern="1200"/>
                <a:t>Median treatment duration: </a:t>
              </a:r>
              <a:r>
                <a:rPr lang="pt-BR" sz="1000" u="none" kern="1200"/>
                <a:t>This refers to the time point at which 50% of patients have either completed or discontinued treatment (expressed in months).</a:t>
              </a:r>
            </a:p>
            <a:p>
              <a:r>
                <a:rPr lang="pt-BR" sz="1000" u="sng" kern="1200"/>
                <a:t>Treatment discontinuation rates: </a:t>
              </a:r>
              <a:r>
                <a:rPr lang="pt-BR" sz="1000" u="none" kern="1200"/>
                <a:t>These represent the proportion of patients who stop treatment in a given year, whether due to adverse events, lack of efficacy, or other reasons.</a:t>
              </a:r>
            </a:p>
            <a:p>
              <a:r>
                <a:rPr lang="pt-BR" sz="1000" u="sng" kern="1200"/>
                <a:t>Progression-free survival (PFS): </a:t>
              </a:r>
              <a:r>
                <a:rPr lang="pt-BR" sz="1000" u="none" kern="1200"/>
                <a:t>This is the percentage of patients who remain free from disease progression after initiating treatment. It should be used only when progression is a proxy or explicit treatment-stopping criterion.</a:t>
              </a:r>
            </a:p>
            <a:p>
              <a:endParaRPr lang="pt-BR" sz="1000" kern="1200"/>
            </a:p>
          </xdr:txBody>
        </xdr:sp>
        <xdr:sp macro="" textlink="">
          <xdr:nvSpPr>
            <xdr:cNvPr id="28" name="CaixaDeTexto 27">
              <a:extLst>
                <a:ext uri="{FF2B5EF4-FFF2-40B4-BE49-F238E27FC236}">
                  <a16:creationId xmlns:a16="http://schemas.microsoft.com/office/drawing/2014/main" id="{FA8471F6-87CB-FE18-E18C-C74BA19A9337}"/>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5" name="InfoBox1" descr="Information with solid fill">
            <a:extLst>
              <a:ext uri="{FF2B5EF4-FFF2-40B4-BE49-F238E27FC236}">
                <a16:creationId xmlns:a16="http://schemas.microsoft.com/office/drawing/2014/main" id="{755231AA-A063-F394-A5DE-9EF5C07AB17E}"/>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58425" y="2827021"/>
            <a:ext cx="371474" cy="217806"/>
          </a:xfrm>
          <a:prstGeom prst="rect">
            <a:avLst/>
          </a:prstGeom>
        </xdr:spPr>
      </xdr:pic>
    </xdr:grpSp>
    <xdr:clientData/>
  </xdr:twoCellAnchor>
  <xdr:twoCellAnchor>
    <xdr:from>
      <xdr:col>8</xdr:col>
      <xdr:colOff>944457</xdr:colOff>
      <xdr:row>105</xdr:row>
      <xdr:rowOff>165100</xdr:rowOff>
    </xdr:from>
    <xdr:to>
      <xdr:col>9</xdr:col>
      <xdr:colOff>558165</xdr:colOff>
      <xdr:row>107</xdr:row>
      <xdr:rowOff>66040</xdr:rowOff>
    </xdr:to>
    <xdr:sp macro="" textlink="">
      <xdr:nvSpPr>
        <xdr:cNvPr id="29" name="Retângulo: Cantos Arredondados 28">
          <a:hlinkClick xmlns:r="http://schemas.openxmlformats.org/officeDocument/2006/relationships" r:id="rId3"/>
          <a:extLst>
            <a:ext uri="{FF2B5EF4-FFF2-40B4-BE49-F238E27FC236}">
              <a16:creationId xmlns:a16="http://schemas.microsoft.com/office/drawing/2014/main" id="{59B3D68C-6037-45A6-B427-013FEAB1D085}"/>
            </a:ext>
          </a:extLst>
        </xdr:cNvPr>
        <xdr:cNvSpPr/>
      </xdr:nvSpPr>
      <xdr:spPr>
        <a:xfrm>
          <a:off x="7554807" y="19491325"/>
          <a:ext cx="928158" cy="26289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editAs="absolute">
    <xdr:from>
      <xdr:col>12</xdr:col>
      <xdr:colOff>175155</xdr:colOff>
      <xdr:row>3</xdr:row>
      <xdr:rowOff>136737</xdr:rowOff>
    </xdr:from>
    <xdr:to>
      <xdr:col>16</xdr:col>
      <xdr:colOff>1543468</xdr:colOff>
      <xdr:row>10</xdr:row>
      <xdr:rowOff>98213</xdr:rowOff>
    </xdr:to>
    <xdr:grpSp>
      <xdr:nvGrpSpPr>
        <xdr:cNvPr id="3" name="Agrupar 2">
          <a:extLst>
            <a:ext uri="{FF2B5EF4-FFF2-40B4-BE49-F238E27FC236}">
              <a16:creationId xmlns:a16="http://schemas.microsoft.com/office/drawing/2014/main" id="{E056DB43-3DA2-9448-A021-78A1BF0EC6B9}"/>
            </a:ext>
          </a:extLst>
        </xdr:cNvPr>
        <xdr:cNvGrpSpPr/>
      </xdr:nvGrpSpPr>
      <xdr:grpSpPr>
        <a:xfrm>
          <a:off x="10431675" y="845397"/>
          <a:ext cx="3479053" cy="1287356"/>
          <a:chOff x="7244198" y="8503227"/>
          <a:chExt cx="1845115" cy="1168977"/>
        </a:xfrm>
      </xdr:grpSpPr>
      <xdr:sp macro="" textlink="">
        <xdr:nvSpPr>
          <xdr:cNvPr id="30" name="CaixaDeTexto 29">
            <a:extLst>
              <a:ext uri="{FF2B5EF4-FFF2-40B4-BE49-F238E27FC236}">
                <a16:creationId xmlns:a16="http://schemas.microsoft.com/office/drawing/2014/main" id="{A36EA3EF-583F-BFCE-F7F5-50F770106986}"/>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31" name="Retângulo 30">
            <a:extLst>
              <a:ext uri="{FF2B5EF4-FFF2-40B4-BE49-F238E27FC236}">
                <a16:creationId xmlns:a16="http://schemas.microsoft.com/office/drawing/2014/main" id="{687477C1-715B-CFB9-3233-5188C04AEC49}"/>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2" name="Retângulo 31">
            <a:extLst>
              <a:ext uri="{FF2B5EF4-FFF2-40B4-BE49-F238E27FC236}">
                <a16:creationId xmlns:a16="http://schemas.microsoft.com/office/drawing/2014/main" id="{33B2AC77-50C4-A1AE-0A1D-04B7790745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3" name="CaixaDeTexto 32">
            <a:extLst>
              <a:ext uri="{FF2B5EF4-FFF2-40B4-BE49-F238E27FC236}">
                <a16:creationId xmlns:a16="http://schemas.microsoft.com/office/drawing/2014/main" id="{D97FADF5-48CA-006F-8BB7-F9D312F1F67B}"/>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4" name="CaixaDeTexto 33">
            <a:extLst>
              <a:ext uri="{FF2B5EF4-FFF2-40B4-BE49-F238E27FC236}">
                <a16:creationId xmlns:a16="http://schemas.microsoft.com/office/drawing/2014/main" id="{0EDCD9FF-DE8B-3D54-2AB2-D12AA83075FD}"/>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5" name="CaixaDeTexto 34">
            <a:extLst>
              <a:ext uri="{FF2B5EF4-FFF2-40B4-BE49-F238E27FC236}">
                <a16:creationId xmlns:a16="http://schemas.microsoft.com/office/drawing/2014/main" id="{7C26966B-66E7-86D0-99CF-0255592017F1}"/>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xdr:from>
      <xdr:col>10</xdr:col>
      <xdr:colOff>137583</xdr:colOff>
      <xdr:row>51</xdr:row>
      <xdr:rowOff>63500</xdr:rowOff>
    </xdr:from>
    <xdr:to>
      <xdr:col>15</xdr:col>
      <xdr:colOff>80818</xdr:colOff>
      <xdr:row>59</xdr:row>
      <xdr:rowOff>34636</xdr:rowOff>
    </xdr:to>
    <xdr:sp macro="" textlink="">
      <xdr:nvSpPr>
        <xdr:cNvPr id="12" name="CaixaDeTexto 11">
          <a:extLst>
            <a:ext uri="{FF2B5EF4-FFF2-40B4-BE49-F238E27FC236}">
              <a16:creationId xmlns:a16="http://schemas.microsoft.com/office/drawing/2014/main" id="{17E057F1-58F8-F842-BF59-86F550F63DA2}"/>
            </a:ext>
          </a:extLst>
        </xdr:cNvPr>
        <xdr:cNvSpPr txBox="1"/>
      </xdr:nvSpPr>
      <xdr:spPr>
        <a:xfrm>
          <a:off x="9847310" y="10292773"/>
          <a:ext cx="3556963"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i="1" kern="1200">
              <a:solidFill>
                <a:schemeClr val="accent5"/>
              </a:solidFill>
            </a:rPr>
            <a:t>- If “Yes”: Both discontinuation and death will be considered. Ensure the data are consistent and related (death ≤ discontinuation).</a:t>
          </a:r>
        </a:p>
        <a:p>
          <a:pPr algn="l"/>
          <a:r>
            <a:rPr lang="pt-BR" sz="1050" i="1" kern="1200">
              <a:solidFill>
                <a:schemeClr val="accent5"/>
              </a:solidFill>
            </a:rPr>
            <a:t>- If “No”: Only one exit event will be modeled (recommended when rates are independent).</a:t>
          </a:r>
        </a:p>
        <a:p>
          <a:pPr algn="l"/>
          <a:r>
            <a:rPr lang="pt-BR" sz="1050" i="1" kern="1200">
              <a:solidFill>
                <a:schemeClr val="accent5"/>
              </a:solidFill>
            </a:rPr>
            <a:t>Tip: If discontinuation and death are not clinically linked or sourced from different datasets, select only one to avoid inconsistent results.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16298</xdr:rowOff>
    </xdr:from>
    <xdr:to>
      <xdr:col>4</xdr:col>
      <xdr:colOff>781050</xdr:colOff>
      <xdr:row>3</xdr:row>
      <xdr:rowOff>54398</xdr:rowOff>
    </xdr:to>
    <xdr:grpSp>
      <xdr:nvGrpSpPr>
        <xdr:cNvPr id="2" name="Agrupar 1">
          <a:extLst>
            <a:ext uri="{FF2B5EF4-FFF2-40B4-BE49-F238E27FC236}">
              <a16:creationId xmlns:a16="http://schemas.microsoft.com/office/drawing/2014/main" id="{AF3F7536-7C92-40A8-8D06-2DF3C287628C}"/>
            </a:ext>
          </a:extLst>
        </xdr:cNvPr>
        <xdr:cNvGrpSpPr/>
      </xdr:nvGrpSpPr>
      <xdr:grpSpPr>
        <a:xfrm>
          <a:off x="371475" y="448733"/>
          <a:ext cx="4730115" cy="285750"/>
          <a:chOff x="390525" y="437284"/>
          <a:chExt cx="5213900" cy="304800"/>
        </a:xfrm>
      </xdr:grpSpPr>
      <xdr:grpSp>
        <xdr:nvGrpSpPr>
          <xdr:cNvPr id="5" name="Agrupar 4">
            <a:extLst>
              <a:ext uri="{FF2B5EF4-FFF2-40B4-BE49-F238E27FC236}">
                <a16:creationId xmlns:a16="http://schemas.microsoft.com/office/drawing/2014/main" id="{FD553007-10C8-528E-78B3-C155DAD6F9D4}"/>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D5CCFDA4-63F5-50F1-38ED-FF58A294B6C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D94F83BF-BE6B-0B67-154E-AFF6D09B831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Results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8CBCD317-97F7-C614-67B8-AC8EA26C64A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8BB57F40-D09E-489B-0FDA-208A65F3E3EF}"/>
              </a:ext>
            </a:extLst>
          </xdr:cNvPr>
          <xdr:cNvSpPr txBox="1"/>
        </xdr:nvSpPr>
        <xdr:spPr>
          <a:xfrm>
            <a:off x="2819399" y="438150"/>
            <a:ext cx="2785026"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Determinist Sensibility Analysis</a:t>
            </a:r>
            <a:endParaRPr lang="pt-BR" sz="1100" i="1" kern="1200">
              <a:solidFill>
                <a:schemeClr val="accent5"/>
              </a:solidFill>
            </a:endParaRPr>
          </a:p>
        </xdr:txBody>
      </xdr:sp>
    </xdr:grpSp>
    <xdr:clientData/>
  </xdr:twoCellAnchor>
  <xdr:twoCellAnchor>
    <xdr:from>
      <xdr:col>12</xdr:col>
      <xdr:colOff>205740</xdr:colOff>
      <xdr:row>14</xdr:row>
      <xdr:rowOff>143827</xdr:rowOff>
    </xdr:from>
    <xdr:to>
      <xdr:col>19</xdr:col>
      <xdr:colOff>510540</xdr:colOff>
      <xdr:row>26</xdr:row>
      <xdr:rowOff>123825</xdr:rowOff>
    </xdr:to>
    <xdr:graphicFrame macro="">
      <xdr:nvGraphicFramePr>
        <xdr:cNvPr id="12" name="Gráfico 11">
          <a:extLst>
            <a:ext uri="{FF2B5EF4-FFF2-40B4-BE49-F238E27FC236}">
              <a16:creationId xmlns:a16="http://schemas.microsoft.com/office/drawing/2014/main" id="{40FDF2AA-ACF8-AB8B-5BF7-71F3D7C016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102869</xdr:colOff>
      <xdr:row>14</xdr:row>
      <xdr:rowOff>145731</xdr:rowOff>
    </xdr:from>
    <xdr:to>
      <xdr:col>23</xdr:col>
      <xdr:colOff>822959</xdr:colOff>
      <xdr:row>26</xdr:row>
      <xdr:rowOff>114300</xdr:rowOff>
    </xdr:to>
    <xdr:graphicFrame macro="">
      <xdr:nvGraphicFramePr>
        <xdr:cNvPr id="13" name="Gráfico 12">
          <a:extLst>
            <a:ext uri="{FF2B5EF4-FFF2-40B4-BE49-F238E27FC236}">
              <a16:creationId xmlns:a16="http://schemas.microsoft.com/office/drawing/2014/main" id="{0C0068BD-4C15-67B1-9E5B-13EF11CF9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205740</xdr:colOff>
      <xdr:row>27</xdr:row>
      <xdr:rowOff>38101</xdr:rowOff>
    </xdr:from>
    <xdr:to>
      <xdr:col>19</xdr:col>
      <xdr:colOff>510540</xdr:colOff>
      <xdr:row>38</xdr:row>
      <xdr:rowOff>152401</xdr:rowOff>
    </xdr:to>
    <xdr:graphicFrame macro="">
      <xdr:nvGraphicFramePr>
        <xdr:cNvPr id="14" name="Gráfico 13">
          <a:extLst>
            <a:ext uri="{FF2B5EF4-FFF2-40B4-BE49-F238E27FC236}">
              <a16:creationId xmlns:a16="http://schemas.microsoft.com/office/drawing/2014/main" id="{50D735CB-263D-4254-AB49-E02A34DF44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114299</xdr:colOff>
      <xdr:row>27</xdr:row>
      <xdr:rowOff>9526</xdr:rowOff>
    </xdr:from>
    <xdr:to>
      <xdr:col>23</xdr:col>
      <xdr:colOff>826769</xdr:colOff>
      <xdr:row>38</xdr:row>
      <xdr:rowOff>140970</xdr:rowOff>
    </xdr:to>
    <xdr:graphicFrame macro="">
      <xdr:nvGraphicFramePr>
        <xdr:cNvPr id="15" name="Gráfico 14">
          <a:extLst>
            <a:ext uri="{FF2B5EF4-FFF2-40B4-BE49-F238E27FC236}">
              <a16:creationId xmlns:a16="http://schemas.microsoft.com/office/drawing/2014/main" id="{59F28D54-2158-4053-A64E-69DF7316A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247650</xdr:colOff>
      <xdr:row>40</xdr:row>
      <xdr:rowOff>47626</xdr:rowOff>
    </xdr:from>
    <xdr:to>
      <xdr:col>19</xdr:col>
      <xdr:colOff>552450</xdr:colOff>
      <xdr:row>51</xdr:row>
      <xdr:rowOff>185739</xdr:rowOff>
    </xdr:to>
    <xdr:graphicFrame macro="">
      <xdr:nvGraphicFramePr>
        <xdr:cNvPr id="16" name="Gráfico 15">
          <a:extLst>
            <a:ext uri="{FF2B5EF4-FFF2-40B4-BE49-F238E27FC236}">
              <a16:creationId xmlns:a16="http://schemas.microsoft.com/office/drawing/2014/main" id="{7D982129-6845-48C4-9437-AA1EDF41B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152399</xdr:colOff>
      <xdr:row>40</xdr:row>
      <xdr:rowOff>47625</xdr:rowOff>
    </xdr:from>
    <xdr:to>
      <xdr:col>23</xdr:col>
      <xdr:colOff>866774</xdr:colOff>
      <xdr:row>51</xdr:row>
      <xdr:rowOff>176213</xdr:rowOff>
    </xdr:to>
    <xdr:graphicFrame macro="">
      <xdr:nvGraphicFramePr>
        <xdr:cNvPr id="17" name="Gráfico 16">
          <a:extLst>
            <a:ext uri="{FF2B5EF4-FFF2-40B4-BE49-F238E27FC236}">
              <a16:creationId xmlns:a16="http://schemas.microsoft.com/office/drawing/2014/main" id="{BDC15484-C829-41A1-9A5F-6C52A22B6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257175</xdr:colOff>
      <xdr:row>52</xdr:row>
      <xdr:rowOff>57151</xdr:rowOff>
    </xdr:from>
    <xdr:to>
      <xdr:col>19</xdr:col>
      <xdr:colOff>561975</xdr:colOff>
      <xdr:row>63</xdr:row>
      <xdr:rowOff>52389</xdr:rowOff>
    </xdr:to>
    <xdr:graphicFrame macro="">
      <xdr:nvGraphicFramePr>
        <xdr:cNvPr id="18" name="Gráfico 17">
          <a:extLst>
            <a:ext uri="{FF2B5EF4-FFF2-40B4-BE49-F238E27FC236}">
              <a16:creationId xmlns:a16="http://schemas.microsoft.com/office/drawing/2014/main" id="{F7E7C6A3-4ACE-4BAE-889A-2FA1BB63D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161924</xdr:colOff>
      <xdr:row>52</xdr:row>
      <xdr:rowOff>57150</xdr:rowOff>
    </xdr:from>
    <xdr:to>
      <xdr:col>23</xdr:col>
      <xdr:colOff>876299</xdr:colOff>
      <xdr:row>63</xdr:row>
      <xdr:rowOff>42863</xdr:rowOff>
    </xdr:to>
    <xdr:graphicFrame macro="">
      <xdr:nvGraphicFramePr>
        <xdr:cNvPr id="19" name="Gráfico 18">
          <a:extLst>
            <a:ext uri="{FF2B5EF4-FFF2-40B4-BE49-F238E27FC236}">
              <a16:creationId xmlns:a16="http://schemas.microsoft.com/office/drawing/2014/main" id="{269CE514-E420-405E-91A8-61CD0C585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257176</xdr:colOff>
      <xdr:row>66</xdr:row>
      <xdr:rowOff>1</xdr:rowOff>
    </xdr:from>
    <xdr:to>
      <xdr:col>19</xdr:col>
      <xdr:colOff>581026</xdr:colOff>
      <xdr:row>77</xdr:row>
      <xdr:rowOff>138114</xdr:rowOff>
    </xdr:to>
    <xdr:graphicFrame macro="">
      <xdr:nvGraphicFramePr>
        <xdr:cNvPr id="24" name="Gráfico 23">
          <a:extLst>
            <a:ext uri="{FF2B5EF4-FFF2-40B4-BE49-F238E27FC236}">
              <a16:creationId xmlns:a16="http://schemas.microsoft.com/office/drawing/2014/main" id="{AD0117E3-6E65-4BFF-994E-81C27CF74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200024</xdr:colOff>
      <xdr:row>66</xdr:row>
      <xdr:rowOff>19050</xdr:rowOff>
    </xdr:from>
    <xdr:to>
      <xdr:col>23</xdr:col>
      <xdr:colOff>914399</xdr:colOff>
      <xdr:row>77</xdr:row>
      <xdr:rowOff>147638</xdr:rowOff>
    </xdr:to>
    <xdr:graphicFrame macro="">
      <xdr:nvGraphicFramePr>
        <xdr:cNvPr id="25" name="Gráfico 24">
          <a:extLst>
            <a:ext uri="{FF2B5EF4-FFF2-40B4-BE49-F238E27FC236}">
              <a16:creationId xmlns:a16="http://schemas.microsoft.com/office/drawing/2014/main" id="{56E596E4-8DFC-4D53-AB04-3F095820B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266700</xdr:colOff>
      <xdr:row>78</xdr:row>
      <xdr:rowOff>9526</xdr:rowOff>
    </xdr:from>
    <xdr:to>
      <xdr:col>19</xdr:col>
      <xdr:colOff>581025</xdr:colOff>
      <xdr:row>89</xdr:row>
      <xdr:rowOff>4764</xdr:rowOff>
    </xdr:to>
    <xdr:graphicFrame macro="">
      <xdr:nvGraphicFramePr>
        <xdr:cNvPr id="26" name="Gráfico 25">
          <a:extLst>
            <a:ext uri="{FF2B5EF4-FFF2-40B4-BE49-F238E27FC236}">
              <a16:creationId xmlns:a16="http://schemas.microsoft.com/office/drawing/2014/main" id="{845BAEB1-F1C9-4803-9686-048CC460E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219074</xdr:colOff>
      <xdr:row>78</xdr:row>
      <xdr:rowOff>19050</xdr:rowOff>
    </xdr:from>
    <xdr:to>
      <xdr:col>23</xdr:col>
      <xdr:colOff>933449</xdr:colOff>
      <xdr:row>89</xdr:row>
      <xdr:rowOff>4763</xdr:rowOff>
    </xdr:to>
    <xdr:graphicFrame macro="">
      <xdr:nvGraphicFramePr>
        <xdr:cNvPr id="27" name="Gráfico 26">
          <a:extLst>
            <a:ext uri="{FF2B5EF4-FFF2-40B4-BE49-F238E27FC236}">
              <a16:creationId xmlns:a16="http://schemas.microsoft.com/office/drawing/2014/main" id="{9EAA00F4-6288-47AD-9BFD-42A379A26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361950</xdr:colOff>
      <xdr:row>1</xdr:row>
      <xdr:rowOff>1</xdr:rowOff>
    </xdr:from>
    <xdr:to>
      <xdr:col>2</xdr:col>
      <xdr:colOff>1082041</xdr:colOff>
      <xdr:row>1</xdr:row>
      <xdr:rowOff>225720</xdr:rowOff>
    </xdr:to>
    <xdr:grpSp>
      <xdr:nvGrpSpPr>
        <xdr:cNvPr id="4" name="Agrupar 3">
          <a:extLst>
            <a:ext uri="{FF2B5EF4-FFF2-40B4-BE49-F238E27FC236}">
              <a16:creationId xmlns:a16="http://schemas.microsoft.com/office/drawing/2014/main" id="{CEAEF455-FF91-44D0-A867-450E368B6B9A}"/>
            </a:ext>
          </a:extLst>
        </xdr:cNvPr>
        <xdr:cNvGrpSpPr/>
      </xdr:nvGrpSpPr>
      <xdr:grpSpPr>
        <a:xfrm>
          <a:off x="358140" y="428626"/>
          <a:ext cx="1889761" cy="225719"/>
          <a:chOff x="-136151" y="421524"/>
          <a:chExt cx="5266099" cy="250422"/>
        </a:xfrm>
      </xdr:grpSpPr>
      <xdr:sp macro="" textlink="">
        <xdr:nvSpPr>
          <xdr:cNvPr id="5" name="Retângulo: Cantos Superiores Arredondados 4">
            <a:extLst>
              <a:ext uri="{FF2B5EF4-FFF2-40B4-BE49-F238E27FC236}">
                <a16:creationId xmlns:a16="http://schemas.microsoft.com/office/drawing/2014/main" id="{EA785A5E-4C87-5309-D0BD-59F80933D011}"/>
              </a:ext>
            </a:extLst>
          </xdr:cNvPr>
          <xdr:cNvSpPr/>
        </xdr:nvSpPr>
        <xdr:spPr>
          <a:xfrm>
            <a:off x="796637" y="421524"/>
            <a:ext cx="4333311" cy="250422"/>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Probabilistic an.</a:t>
            </a:r>
          </a:p>
        </xdr:txBody>
      </xdr:sp>
      <xdr:sp macro=""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0B7A28F8-0B1A-DBB9-DBFD-73F7C339E79D}"/>
              </a:ext>
            </a:extLst>
          </xdr:cNvPr>
          <xdr:cNvSpPr/>
        </xdr:nvSpPr>
        <xdr:spPr>
          <a:xfrm>
            <a:off x="-136151" y="432091"/>
            <a:ext cx="861944" cy="232482"/>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5</xdr:col>
      <xdr:colOff>133350</xdr:colOff>
      <xdr:row>9</xdr:row>
      <xdr:rowOff>9525</xdr:rowOff>
    </xdr:from>
    <xdr:to>
      <xdr:col>6</xdr:col>
      <xdr:colOff>464820</xdr:colOff>
      <xdr:row>11</xdr:row>
      <xdr:rowOff>116207</xdr:rowOff>
    </xdr:to>
    <xdr:sp macro="[0]!PSA" textlink="">
      <xdr:nvSpPr>
        <xdr:cNvPr id="7" name="Retângulo: Cantos Arredondados 6">
          <a:extLst>
            <a:ext uri="{FF2B5EF4-FFF2-40B4-BE49-F238E27FC236}">
              <a16:creationId xmlns:a16="http://schemas.microsoft.com/office/drawing/2014/main" id="{14472997-1317-4B17-95FF-292C954C4787}"/>
            </a:ext>
          </a:extLst>
        </xdr:cNvPr>
        <xdr:cNvSpPr/>
      </xdr:nvSpPr>
      <xdr:spPr>
        <a:xfrm>
          <a:off x="5497830" y="2272665"/>
          <a:ext cx="1642110" cy="563882"/>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PSA</a:t>
          </a:r>
        </a:p>
      </xdr:txBody>
    </xdr:sp>
    <xdr:clientData/>
  </xdr:twoCellAnchor>
  <xdr:twoCellAnchor>
    <xdr:from>
      <xdr:col>2</xdr:col>
      <xdr:colOff>1114425</xdr:colOff>
      <xdr:row>1</xdr:row>
      <xdr:rowOff>9525</xdr:rowOff>
    </xdr:from>
    <xdr:to>
      <xdr:col>2</xdr:col>
      <xdr:colOff>1455081</xdr:colOff>
      <xdr:row>1</xdr:row>
      <xdr:rowOff>228519</xdr:rowOff>
    </xdr:to>
    <xdr:sp macro="[0]!ocultar_marketshare"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E13D678F-5A12-4FC9-883F-841DC6FEF4E0}"/>
            </a:ext>
          </a:extLst>
        </xdr:cNvPr>
        <xdr:cNvSpPr/>
      </xdr:nvSpPr>
      <xdr:spPr>
        <a:xfrm>
          <a:off x="2276475" y="438150"/>
          <a:ext cx="340656" cy="218994"/>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clientData/>
  </xdr:twoCellAnchor>
  <xdr:twoCellAnchor>
    <xdr:from>
      <xdr:col>2</xdr:col>
      <xdr:colOff>1447800</xdr:colOff>
      <xdr:row>0</xdr:row>
      <xdr:rowOff>400050</xdr:rowOff>
    </xdr:from>
    <xdr:to>
      <xdr:col>4</xdr:col>
      <xdr:colOff>910936</xdr:colOff>
      <xdr:row>2</xdr:row>
      <xdr:rowOff>20143</xdr:rowOff>
    </xdr:to>
    <xdr:sp macro="" textlink="">
      <xdr:nvSpPr>
        <xdr:cNvPr id="9" name="CaixaDeTexto 8">
          <a:extLst>
            <a:ext uri="{FF2B5EF4-FFF2-40B4-BE49-F238E27FC236}">
              <a16:creationId xmlns:a16="http://schemas.microsoft.com/office/drawing/2014/main" id="{BC38E1BC-F1ED-4703-9C9C-06CFAF013753}"/>
            </a:ext>
          </a:extLst>
        </xdr:cNvPr>
        <xdr:cNvSpPr txBox="1"/>
      </xdr:nvSpPr>
      <xdr:spPr>
        <a:xfrm>
          <a:off x="2609850" y="400050"/>
          <a:ext cx="2377786" cy="286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Calculations</a:t>
          </a:r>
          <a:endParaRPr lang="pt-BR" sz="1100" i="1" kern="1200">
            <a:solidFill>
              <a:schemeClr val="accent5"/>
            </a:solidFill>
          </a:endParaRPr>
        </a:p>
      </xdr:txBody>
    </xdr:sp>
    <xdr:clientData/>
  </xdr:twoCellAnchor>
  <xdr:twoCellAnchor>
    <xdr:from>
      <xdr:col>1</xdr:col>
      <xdr:colOff>457199</xdr:colOff>
      <xdr:row>7</xdr:row>
      <xdr:rowOff>228596</xdr:rowOff>
    </xdr:from>
    <xdr:to>
      <xdr:col>4</xdr:col>
      <xdr:colOff>1257298</xdr:colOff>
      <xdr:row>13</xdr:row>
      <xdr:rowOff>76199</xdr:rowOff>
    </xdr:to>
    <xdr:grpSp>
      <xdr:nvGrpSpPr>
        <xdr:cNvPr id="3" name="Agrupar 2">
          <a:extLst>
            <a:ext uri="{FF2B5EF4-FFF2-40B4-BE49-F238E27FC236}">
              <a16:creationId xmlns:a16="http://schemas.microsoft.com/office/drawing/2014/main" id="{B9954603-DC05-4C1E-9669-FA719FA7B96E}"/>
            </a:ext>
          </a:extLst>
        </xdr:cNvPr>
        <xdr:cNvGrpSpPr/>
      </xdr:nvGrpSpPr>
      <xdr:grpSpPr>
        <a:xfrm>
          <a:off x="1162049" y="2038346"/>
          <a:ext cx="4171949" cy="1219203"/>
          <a:chOff x="10067923" y="2743200"/>
          <a:chExt cx="4283426" cy="790909"/>
        </a:xfrm>
      </xdr:grpSpPr>
      <xdr:grpSp>
        <xdr:nvGrpSpPr>
          <xdr:cNvPr id="10" name="Agrupar 9">
            <a:extLst>
              <a:ext uri="{FF2B5EF4-FFF2-40B4-BE49-F238E27FC236}">
                <a16:creationId xmlns:a16="http://schemas.microsoft.com/office/drawing/2014/main" id="{A43EDD17-756C-A115-9091-DF55111EA740}"/>
              </a:ext>
            </a:extLst>
          </xdr:cNvPr>
          <xdr:cNvGrpSpPr/>
        </xdr:nvGrpSpPr>
        <xdr:grpSpPr>
          <a:xfrm>
            <a:off x="10067923" y="2743200"/>
            <a:ext cx="4283426" cy="790909"/>
            <a:chOff x="7244197" y="8503227"/>
            <a:chExt cx="2317747" cy="790909"/>
          </a:xfrm>
        </xdr:grpSpPr>
        <xdr:sp macro="" textlink="">
          <xdr:nvSpPr>
            <xdr:cNvPr id="12" name="CaixaDeTexto 11">
              <a:extLst>
                <a:ext uri="{FF2B5EF4-FFF2-40B4-BE49-F238E27FC236}">
                  <a16:creationId xmlns:a16="http://schemas.microsoft.com/office/drawing/2014/main" id="{8BC53C24-AA61-405F-8D40-3CA59D90C40A}"/>
                </a:ext>
              </a:extLst>
            </xdr:cNvPr>
            <xdr:cNvSpPr txBox="1"/>
          </xdr:nvSpPr>
          <xdr:spPr>
            <a:xfrm>
              <a:off x="7244197" y="8503227"/>
              <a:ext cx="2317747" cy="7909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3" name="CaixaDeTexto 12">
              <a:extLst>
                <a:ext uri="{FF2B5EF4-FFF2-40B4-BE49-F238E27FC236}">
                  <a16:creationId xmlns:a16="http://schemas.microsoft.com/office/drawing/2014/main" id="{C742BD87-E086-DF0A-A10A-06D596A1BEAB}"/>
                </a:ext>
              </a:extLst>
            </xdr:cNvPr>
            <xdr:cNvSpPr txBox="1"/>
          </xdr:nvSpPr>
          <xdr:spPr>
            <a:xfrm>
              <a:off x="7269968" y="8822949"/>
              <a:ext cx="2241223" cy="416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The screen will be frozen for a few minutes while the analysis is taking place. Do not close the page, but you can cancel the analysis by pressing the ESC key.</a:t>
              </a:r>
            </a:p>
          </xdr:txBody>
        </xdr:sp>
        <xdr:sp macro="" textlink="">
          <xdr:nvSpPr>
            <xdr:cNvPr id="14" name="CaixaDeTexto 13">
              <a:extLst>
                <a:ext uri="{FF2B5EF4-FFF2-40B4-BE49-F238E27FC236}">
                  <a16:creationId xmlns:a16="http://schemas.microsoft.com/office/drawing/2014/main" id="{3A4B8887-2B4F-9CE6-5725-D6146A5B0253}"/>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11" name="InfoBox1" descr="Information with solid fill">
            <a:extLst>
              <a:ext uri="{FF2B5EF4-FFF2-40B4-BE49-F238E27FC236}">
                <a16:creationId xmlns:a16="http://schemas.microsoft.com/office/drawing/2014/main" id="{D9B4BF96-4CAF-D95C-744D-36EED0379F2C}"/>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258425" y="2827021"/>
            <a:ext cx="371474" cy="217806"/>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240030</xdr:colOff>
      <xdr:row>6</xdr:row>
      <xdr:rowOff>150493</xdr:rowOff>
    </xdr:from>
    <xdr:to>
      <xdr:col>8</xdr:col>
      <xdr:colOff>123825</xdr:colOff>
      <xdr:row>9</xdr:row>
      <xdr:rowOff>123825</xdr:rowOff>
    </xdr:to>
    <xdr:sp macro="[0]!DSA" textlink="">
      <xdr:nvSpPr>
        <xdr:cNvPr id="3" name="Retângulo: Cantos Arredondados 2">
          <a:extLst>
            <a:ext uri="{FF2B5EF4-FFF2-40B4-BE49-F238E27FC236}">
              <a16:creationId xmlns:a16="http://schemas.microsoft.com/office/drawing/2014/main" id="{0BCFA6AC-0D2A-4055-9F05-EE021E963DA2}"/>
            </a:ext>
          </a:extLst>
        </xdr:cNvPr>
        <xdr:cNvSpPr/>
      </xdr:nvSpPr>
      <xdr:spPr>
        <a:xfrm>
          <a:off x="9126855" y="1464943"/>
          <a:ext cx="1598295" cy="592457"/>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DSA</a:t>
          </a:r>
        </a:p>
      </xdr:txBody>
    </xdr:sp>
    <xdr:clientData/>
  </xdr:twoCellAnchor>
  <xdr:twoCellAnchor>
    <xdr:from>
      <xdr:col>1</xdr:col>
      <xdr:colOff>0</xdr:colOff>
      <xdr:row>0</xdr:row>
      <xdr:rowOff>417160</xdr:rowOff>
    </xdr:from>
    <xdr:to>
      <xdr:col>4</xdr:col>
      <xdr:colOff>200025</xdr:colOff>
      <xdr:row>3</xdr:row>
      <xdr:rowOff>18203</xdr:rowOff>
    </xdr:to>
    <xdr:grpSp>
      <xdr:nvGrpSpPr>
        <xdr:cNvPr id="4" name="Agrupar 3">
          <a:extLst>
            <a:ext uri="{FF2B5EF4-FFF2-40B4-BE49-F238E27FC236}">
              <a16:creationId xmlns:a16="http://schemas.microsoft.com/office/drawing/2014/main" id="{23D60035-77ED-4828-854D-792E8EDF46AD}"/>
            </a:ext>
          </a:extLst>
        </xdr:cNvPr>
        <xdr:cNvGrpSpPr/>
      </xdr:nvGrpSpPr>
      <xdr:grpSpPr>
        <a:xfrm>
          <a:off x="571500" y="417160"/>
          <a:ext cx="5031105" cy="281128"/>
          <a:chOff x="390525" y="407670"/>
          <a:chExt cx="5234875" cy="303934"/>
        </a:xfrm>
      </xdr:grpSpPr>
      <xdr:grpSp>
        <xdr:nvGrpSpPr>
          <xdr:cNvPr id="5" name="Agrupar 4">
            <a:extLst>
              <a:ext uri="{FF2B5EF4-FFF2-40B4-BE49-F238E27FC236}">
                <a16:creationId xmlns:a16="http://schemas.microsoft.com/office/drawing/2014/main" id="{9271427C-ED91-BFB3-B19C-5D88703D97BE}"/>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68EA74-3AAE-A2D9-27F0-BCF0160A0460}"/>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A543E73C-222F-9D14-C7F2-394BA72B49C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analysis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F457513F-C707-2A6B-0D62-CB383B0E3D4A}"/>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EB194D11-06B8-EE19-BAFD-7E189A02B12A}"/>
              </a:ext>
            </a:extLst>
          </xdr:cNvPr>
          <xdr:cNvSpPr txBox="1"/>
        </xdr:nvSpPr>
        <xdr:spPr>
          <a:xfrm>
            <a:off x="2849170" y="407670"/>
            <a:ext cx="277623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Probabilistic Sensitivity </a:t>
            </a:r>
            <a:r>
              <a:rPr lang="pt-BR" sz="1000" i="1" kern="1200">
                <a:solidFill>
                  <a:schemeClr val="accent5"/>
                </a:solidFill>
              </a:rPr>
              <a:t>Analysis</a:t>
            </a:r>
          </a:p>
        </xdr:txBody>
      </xdr:sp>
    </xdr:grpSp>
    <xdr:clientData/>
  </xdr:twoCellAnchor>
  <xdr:twoCellAnchor>
    <xdr:from>
      <xdr:col>1</xdr:col>
      <xdr:colOff>283794</xdr:colOff>
      <xdr:row>41</xdr:row>
      <xdr:rowOff>171451</xdr:rowOff>
    </xdr:from>
    <xdr:to>
      <xdr:col>6</xdr:col>
      <xdr:colOff>981076</xdr:colOff>
      <xdr:row>70</xdr:row>
      <xdr:rowOff>60958</xdr:rowOff>
    </xdr:to>
    <xdr:graphicFrame macro="">
      <xdr:nvGraphicFramePr>
        <xdr:cNvPr id="12" name="tornado2">
          <a:extLst>
            <a:ext uri="{FF2B5EF4-FFF2-40B4-BE49-F238E27FC236}">
              <a16:creationId xmlns:a16="http://schemas.microsoft.com/office/drawing/2014/main" id="{91E08977-315E-40A1-81C5-7078A3C5282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xdr:row>
      <xdr:rowOff>0</xdr:rowOff>
    </xdr:from>
    <xdr:to>
      <xdr:col>6</xdr:col>
      <xdr:colOff>697282</xdr:colOff>
      <xdr:row>36</xdr:row>
      <xdr:rowOff>80007</xdr:rowOff>
    </xdr:to>
    <xdr:graphicFrame macro="">
      <xdr:nvGraphicFramePr>
        <xdr:cNvPr id="15" name="tornado1">
          <a:extLst>
            <a:ext uri="{FF2B5EF4-FFF2-40B4-BE49-F238E27FC236}">
              <a16:creationId xmlns:a16="http://schemas.microsoft.com/office/drawing/2014/main" id="{FFD11A6B-C233-41AC-BF0B-95221A59C5C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(Technology cost–only results)</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1.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609599</xdr:colOff>
      <xdr:row>1</xdr:row>
      <xdr:rowOff>9525</xdr:rowOff>
    </xdr:from>
    <xdr:to>
      <xdr:col>2</xdr:col>
      <xdr:colOff>510737</xdr:colOff>
      <xdr:row>2</xdr:row>
      <xdr:rowOff>929</xdr:rowOff>
    </xdr:to>
    <xdr:grpSp>
      <xdr:nvGrpSpPr>
        <xdr:cNvPr id="3" name="Agrupar 2">
          <a:extLst>
            <a:ext uri="{FF2B5EF4-FFF2-40B4-BE49-F238E27FC236}">
              <a16:creationId xmlns:a16="http://schemas.microsoft.com/office/drawing/2014/main" id="{AF96E961-01C1-BB8D-B37C-00232BECD8C8}"/>
            </a:ext>
          </a:extLst>
        </xdr:cNvPr>
        <xdr:cNvGrpSpPr/>
      </xdr:nvGrpSpPr>
      <xdr:grpSpPr>
        <a:xfrm>
          <a:off x="601979" y="436245"/>
          <a:ext cx="1539438" cy="220004"/>
          <a:chOff x="386197" y="438151"/>
          <a:chExt cx="1991590" cy="233795"/>
        </a:xfrm>
      </xdr:grpSpPr>
      <xdr:sp macro="" textlink="">
        <xdr:nvSpPr>
          <xdr:cNvPr id="6" name="Retângulo: Cantos Superiores Arredondados 5">
            <a:extLst>
              <a:ext uri="{FF2B5EF4-FFF2-40B4-BE49-F238E27FC236}">
                <a16:creationId xmlns:a16="http://schemas.microsoft.com/office/drawing/2014/main" id="{EA88F878-F979-C5CC-A735-A709B82B7CA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Data</a:t>
            </a:r>
          </a:p>
        </xdr:txBody>
      </xdr:sp>
      <xdr:sp macro=""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23C466AC-4671-F2E7-EB47-6901E737B1BF}"/>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39</xdr:col>
      <xdr:colOff>495300</xdr:colOff>
      <xdr:row>12</xdr:row>
      <xdr:rowOff>42862</xdr:rowOff>
    </xdr:from>
    <xdr:to>
      <xdr:col>46</xdr:col>
      <xdr:colOff>952500</xdr:colOff>
      <xdr:row>39</xdr:row>
      <xdr:rowOff>133350</xdr:rowOff>
    </xdr:to>
    <xdr:graphicFrame macro="">
      <xdr:nvGraphicFramePr>
        <xdr:cNvPr id="2" name="Gráfico 1">
          <a:extLst>
            <a:ext uri="{FF2B5EF4-FFF2-40B4-BE49-F238E27FC236}">
              <a16:creationId xmlns:a16="http://schemas.microsoft.com/office/drawing/2014/main" id="{3EAC4BFE-9D9F-D702-D4B3-310E5D88C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495300</xdr:colOff>
      <xdr:row>112</xdr:row>
      <xdr:rowOff>42862</xdr:rowOff>
    </xdr:from>
    <xdr:to>
      <xdr:col>46</xdr:col>
      <xdr:colOff>952500</xdr:colOff>
      <xdr:row>139</xdr:row>
      <xdr:rowOff>133350</xdr:rowOff>
    </xdr:to>
    <xdr:graphicFrame macro="">
      <xdr:nvGraphicFramePr>
        <xdr:cNvPr id="4" name="Gráfico 3">
          <a:extLst>
            <a:ext uri="{FF2B5EF4-FFF2-40B4-BE49-F238E27FC236}">
              <a16:creationId xmlns:a16="http://schemas.microsoft.com/office/drawing/2014/main" id="{1AA3CCE6-8056-42AE-9112-C1C23351A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757238</xdr:colOff>
      <xdr:row>11</xdr:row>
      <xdr:rowOff>115571</xdr:rowOff>
    </xdr:from>
    <xdr:to>
      <xdr:col>15</xdr:col>
      <xdr:colOff>188913</xdr:colOff>
      <xdr:row>24</xdr:row>
      <xdr:rowOff>124461</xdr:rowOff>
    </xdr:to>
    <xdr:sp macro="" textlink="">
      <xdr:nvSpPr>
        <xdr:cNvPr id="5" name="Retângulo 4">
          <a:extLst>
            <a:ext uri="{FF2B5EF4-FFF2-40B4-BE49-F238E27FC236}">
              <a16:creationId xmlns:a16="http://schemas.microsoft.com/office/drawing/2014/main" id="{FFC6150F-F4E2-B2C9-F1D2-6E95812AE7C3}"/>
            </a:ext>
          </a:extLst>
        </xdr:cNvPr>
        <xdr:cNvSpPr/>
      </xdr:nvSpPr>
      <xdr:spPr>
        <a:xfrm>
          <a:off x="8837613" y="2115821"/>
          <a:ext cx="4956175" cy="238220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t-BR" b="1"/>
            <a:t>General data-entry rule (monthly/bimonthly/quarterly):</a:t>
          </a:r>
          <a:endParaRPr lang="pt-BR"/>
        </a:p>
        <a:p>
          <a:r>
            <a:rPr lang="pt-BR" b="1"/>
            <a:t>- Leave truly missing months BLANK.</a:t>
          </a:r>
          <a:r>
            <a:rPr lang="pt-BR"/>
            <a:t> The annual average formula ignores blanks.</a:t>
          </a:r>
        </a:p>
        <a:p>
          <a:r>
            <a:rPr lang="pt-BR" b="1"/>
            <a:t>- Enter 0% when the value is truly zero.</a:t>
          </a:r>
          <a:r>
            <a:rPr lang="pt-BR"/>
            <a:t> Zeros must be counted in the average.</a:t>
          </a:r>
        </a:p>
        <a:p>
          <a:endParaRPr lang="pt-BR"/>
        </a:p>
        <a:p>
          <a:r>
            <a:rPr lang="pt-BR" b="1"/>
            <a:t>PFS (progression-free survival) rates:</a:t>
          </a:r>
          <a:endParaRPr lang="pt-BR"/>
        </a:p>
        <a:p>
          <a:r>
            <a:rPr lang="pt-BR"/>
            <a:t>- In many cases, </a:t>
          </a:r>
          <a:r>
            <a:rPr lang="pt-BR" b="1"/>
            <a:t>PFS reaches 0% by Year 2 or 3</a:t>
          </a:r>
          <a:r>
            <a:rPr lang="pt-BR"/>
            <a:t>. If zeros are real, </a:t>
          </a:r>
          <a:r>
            <a:rPr lang="pt-BR" b="1"/>
            <a:t>enter 0%</a:t>
          </a:r>
          <a:r>
            <a:rPr lang="pt-BR"/>
            <a:t>; do </a:t>
          </a:r>
          <a:r>
            <a:rPr lang="pt-BR" b="1"/>
            <a:t>not</a:t>
          </a:r>
          <a:r>
            <a:rPr lang="pt-BR"/>
            <a:t> leave the cell blank.</a:t>
          </a:r>
        </a:p>
        <a:p>
          <a:r>
            <a:rPr lang="pt-BR"/>
            <a:t>- Leaving zeros blank will </a:t>
          </a:r>
          <a:r>
            <a:rPr lang="pt-BR" b="1"/>
            <a:t>inflate</a:t>
          </a:r>
          <a:r>
            <a:rPr lang="pt-BR"/>
            <a:t> the annual average and may </a:t>
          </a:r>
          <a:r>
            <a:rPr lang="pt-BR" b="1"/>
            <a:t>fail to show 100% progression</a:t>
          </a:r>
          <a:r>
            <a:rPr lang="pt-BR"/>
            <a:t> in that year.</a:t>
          </a:r>
        </a:p>
        <a:p>
          <a:endParaRPr lang="pt-BR"/>
        </a:p>
        <a:p>
          <a:r>
            <a:rPr lang="pt-BR" b="1"/>
            <a:t>Discontinuation rates:</a:t>
          </a:r>
        </a:p>
        <a:p>
          <a:r>
            <a:rPr lang="pt-BR"/>
            <a:t>- If the </a:t>
          </a:r>
          <a:r>
            <a:rPr lang="pt-BR" b="1"/>
            <a:t>first months are 0%</a:t>
          </a:r>
          <a:r>
            <a:rPr lang="pt-BR"/>
            <a:t>, keep them as </a:t>
          </a:r>
          <a:r>
            <a:rPr lang="pt-BR" b="1"/>
            <a:t>0%</a:t>
          </a:r>
          <a:r>
            <a:rPr lang="pt-BR"/>
            <a:t> (do </a:t>
          </a:r>
          <a:r>
            <a:rPr lang="pt-BR" b="1"/>
            <a:t>not</a:t>
          </a:r>
          <a:r>
            <a:rPr lang="pt-BR"/>
            <a:t> leave blank).</a:t>
          </a:r>
        </a:p>
        <a:p>
          <a:r>
            <a:rPr lang="pt-BR"/>
            <a:t>- If </a:t>
          </a:r>
          <a:r>
            <a:rPr lang="pt-BR" b="1"/>
            <a:t>half the year is already at 0%</a:t>
          </a:r>
          <a:r>
            <a:rPr lang="pt-BR"/>
            <a:t>, these zeros </a:t>
          </a:r>
          <a:r>
            <a:rPr lang="pt-BR" b="1"/>
            <a:t>must be included</a:t>
          </a:r>
          <a:r>
            <a:rPr lang="pt-BR"/>
            <a:t> to correctly adjust the annual average.</a:t>
          </a:r>
        </a:p>
        <a:p>
          <a:pPr algn="l"/>
          <a:endParaRPr lang="pt-BR" sz="1100" baseline="0"/>
        </a:p>
        <a:p>
          <a:pPr algn="l"/>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34</xdr:col>
      <xdr:colOff>51955</xdr:colOff>
      <xdr:row>40</xdr:row>
      <xdr:rowOff>17318</xdr:rowOff>
    </xdr:from>
    <xdr:to>
      <xdr:col>39</xdr:col>
      <xdr:colOff>162487</xdr:colOff>
      <xdr:row>53</xdr:row>
      <xdr:rowOff>21292</xdr:rowOff>
    </xdr:to>
    <xdr:graphicFrame macro="">
      <xdr:nvGraphicFramePr>
        <xdr:cNvPr id="5" name="Gráfico 4">
          <a:extLst>
            <a:ext uri="{FF2B5EF4-FFF2-40B4-BE49-F238E27FC236}">
              <a16:creationId xmlns:a16="http://schemas.microsoft.com/office/drawing/2014/main" id="{4A8DAB38-677C-4077-9546-EB8D82E1F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79971</xdr:colOff>
      <xdr:row>55</xdr:row>
      <xdr:rowOff>27405</xdr:rowOff>
    </xdr:from>
    <xdr:to>
      <xdr:col>39</xdr:col>
      <xdr:colOff>190503</xdr:colOff>
      <xdr:row>68</xdr:row>
      <xdr:rowOff>31380</xdr:rowOff>
    </xdr:to>
    <xdr:graphicFrame macro="">
      <xdr:nvGraphicFramePr>
        <xdr:cNvPr id="6" name="Gráfico 5">
          <a:extLst>
            <a:ext uri="{FF2B5EF4-FFF2-40B4-BE49-F238E27FC236}">
              <a16:creationId xmlns:a16="http://schemas.microsoft.com/office/drawing/2014/main" id="{F107B957-EE2D-4A6A-91A5-EE7EBF7329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799389</xdr:colOff>
      <xdr:row>70</xdr:row>
      <xdr:rowOff>75217</xdr:rowOff>
    </xdr:from>
    <xdr:to>
      <xdr:col>38</xdr:col>
      <xdr:colOff>528921</xdr:colOff>
      <xdr:row>83</xdr:row>
      <xdr:rowOff>79191</xdr:rowOff>
    </xdr:to>
    <xdr:graphicFrame macro="">
      <xdr:nvGraphicFramePr>
        <xdr:cNvPr id="7" name="Gráfico 6">
          <a:extLst>
            <a:ext uri="{FF2B5EF4-FFF2-40B4-BE49-F238E27FC236}">
              <a16:creationId xmlns:a16="http://schemas.microsoft.com/office/drawing/2014/main" id="{25249FD5-C190-4D8C-AAE6-D9F068F5C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1125683</xdr:colOff>
      <xdr:row>25</xdr:row>
      <xdr:rowOff>48491</xdr:rowOff>
    </xdr:from>
    <xdr:to>
      <xdr:col>39</xdr:col>
      <xdr:colOff>155864</xdr:colOff>
      <xdr:row>38</xdr:row>
      <xdr:rowOff>34636</xdr:rowOff>
    </xdr:to>
    <xdr:graphicFrame macro="">
      <xdr:nvGraphicFramePr>
        <xdr:cNvPr id="10" name="Gráfico 9">
          <a:extLst>
            <a:ext uri="{FF2B5EF4-FFF2-40B4-BE49-F238E27FC236}">
              <a16:creationId xmlns:a16="http://schemas.microsoft.com/office/drawing/2014/main" id="{29434FDD-AF79-FE9C-07F3-7B614B33F8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xdr:row>
      <xdr:rowOff>0</xdr:rowOff>
    </xdr:from>
    <xdr:to>
      <xdr:col>2</xdr:col>
      <xdr:colOff>447675</xdr:colOff>
      <xdr:row>3</xdr:row>
      <xdr:rowOff>1564</xdr:rowOff>
    </xdr:to>
    <xdr:grpSp>
      <xdr:nvGrpSpPr>
        <xdr:cNvPr id="8" name="Agrupar 7">
          <a:extLst>
            <a:ext uri="{FF2B5EF4-FFF2-40B4-BE49-F238E27FC236}">
              <a16:creationId xmlns:a16="http://schemas.microsoft.com/office/drawing/2014/main" id="{76401D31-3EC9-5848-A206-C74E1B82665E}"/>
            </a:ext>
          </a:extLst>
        </xdr:cNvPr>
        <xdr:cNvGrpSpPr/>
      </xdr:nvGrpSpPr>
      <xdr:grpSpPr>
        <a:xfrm>
          <a:off x="342900" y="426720"/>
          <a:ext cx="1430655" cy="237784"/>
          <a:chOff x="386197" y="438151"/>
          <a:chExt cx="1991590" cy="233795"/>
        </a:xfrm>
      </xdr:grpSpPr>
      <xdr:sp macro="" textlink="">
        <xdr:nvSpPr>
          <xdr:cNvPr id="9" name="Retângulo: Cantos Superiores Arredondados 2">
            <a:extLst>
              <a:ext uri="{FF2B5EF4-FFF2-40B4-BE49-F238E27FC236}">
                <a16:creationId xmlns:a16="http://schemas.microsoft.com/office/drawing/2014/main" id="{E50D32B0-A754-5364-4767-3E87F0EF1A54}"/>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p>
        </xdr:txBody>
      </xdr:sp>
      <xdr:sp macro="" textlink="">
        <xdr:nvSpPr>
          <xdr:cNvPr id="11" name="Retângulo: Cantos Superiores Arredondados 3">
            <a:hlinkClick xmlns:r="http://schemas.openxmlformats.org/officeDocument/2006/relationships" r:id="rId5"/>
            <a:extLst>
              <a:ext uri="{FF2B5EF4-FFF2-40B4-BE49-F238E27FC236}">
                <a16:creationId xmlns:a16="http://schemas.microsoft.com/office/drawing/2014/main" id="{BD068C9C-EBA5-971B-B10C-75FE934B786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619125</xdr:colOff>
      <xdr:row>2</xdr:row>
      <xdr:rowOff>9525</xdr:rowOff>
    </xdr:to>
    <xdr:grpSp>
      <xdr:nvGrpSpPr>
        <xdr:cNvPr id="7" name="Agrupar 6">
          <a:extLst>
            <a:ext uri="{FF2B5EF4-FFF2-40B4-BE49-F238E27FC236}">
              <a16:creationId xmlns:a16="http://schemas.microsoft.com/office/drawing/2014/main" id="{69D8C9B8-6B8B-4A84-9912-3609E5C347CF}"/>
            </a:ext>
          </a:extLst>
        </xdr:cNvPr>
        <xdr:cNvGrpSpPr/>
      </xdr:nvGrpSpPr>
      <xdr:grpSpPr>
        <a:xfrm>
          <a:off x="342900" y="426720"/>
          <a:ext cx="1678305" cy="222885"/>
          <a:chOff x="386197" y="438151"/>
          <a:chExt cx="1991590" cy="233795"/>
        </a:xfrm>
      </xdr:grpSpPr>
      <xdr:sp macro="" textlink="">
        <xdr:nvSpPr>
          <xdr:cNvPr id="8" name="Retângulo: Cantos Superiores Arredondados 2">
            <a:extLst>
              <a:ext uri="{FF2B5EF4-FFF2-40B4-BE49-F238E27FC236}">
                <a16:creationId xmlns:a16="http://schemas.microsoft.com/office/drawing/2014/main" id="{861BEE84-2065-8447-938F-054D1219E387}"/>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r>
              <a:rPr lang="pt-BR" sz="1100" b="1" i="1" kern="1200" baseline="0"/>
              <a:t> 2</a:t>
            </a:r>
            <a:endParaRPr lang="pt-BR" sz="1100" b="1" i="1" kern="1200"/>
          </a:p>
        </xdr:txBody>
      </xdr:sp>
      <xdr:sp macro="" textlink="">
        <xdr:nvSpPr>
          <xdr:cNvPr id="9" name="Retângulo: Cantos Superiores Arredondados 3">
            <a:hlinkClick xmlns:r="http://schemas.openxmlformats.org/officeDocument/2006/relationships" r:id="rId1"/>
            <a:extLst>
              <a:ext uri="{FF2B5EF4-FFF2-40B4-BE49-F238E27FC236}">
                <a16:creationId xmlns:a16="http://schemas.microsoft.com/office/drawing/2014/main" id="{6D450BD5-7BAD-6A0E-ABDE-E603DC06AC9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219074</xdr:colOff>
      <xdr:row>3</xdr:row>
      <xdr:rowOff>47625</xdr:rowOff>
    </xdr:to>
    <xdr:grpSp>
      <xdr:nvGrpSpPr>
        <xdr:cNvPr id="3" name="Agrupar 2">
          <a:extLst>
            <a:ext uri="{FF2B5EF4-FFF2-40B4-BE49-F238E27FC236}">
              <a16:creationId xmlns:a16="http://schemas.microsoft.com/office/drawing/2014/main" id="{E6B990CF-9DA9-44A3-B48C-471CB8EC98D8}"/>
            </a:ext>
          </a:extLst>
        </xdr:cNvPr>
        <xdr:cNvGrpSpPr/>
      </xdr:nvGrpSpPr>
      <xdr:grpSpPr>
        <a:xfrm>
          <a:off x="434340" y="436245"/>
          <a:ext cx="4882514" cy="289560"/>
          <a:chOff x="390525" y="437284"/>
          <a:chExt cx="4552949" cy="304800"/>
        </a:xfrm>
      </xdr:grpSpPr>
      <xdr:grpSp>
        <xdr:nvGrpSpPr>
          <xdr:cNvPr id="4" name="Agrupar 3">
            <a:extLst>
              <a:ext uri="{FF2B5EF4-FFF2-40B4-BE49-F238E27FC236}">
                <a16:creationId xmlns:a16="http://schemas.microsoft.com/office/drawing/2014/main" id="{00A85CB0-0F67-7D9B-8EEA-8BCFDB3E602B}"/>
              </a:ext>
            </a:extLst>
          </xdr:cNvPr>
          <xdr:cNvGrpSpPr/>
        </xdr:nvGrpSpPr>
        <xdr:grpSpPr>
          <a:xfrm>
            <a:off x="390525" y="437284"/>
            <a:ext cx="1990875" cy="229529"/>
            <a:chOff x="386197" y="438151"/>
            <a:chExt cx="1991590" cy="233795"/>
          </a:xfrm>
        </xdr:grpSpPr>
        <xdr:sp macro="" textlink="">
          <xdr:nvSpPr>
            <xdr:cNvPr id="7" name="Retângulo: Cantos Superiores Arredondados 6">
              <a:extLst>
                <a:ext uri="{FF2B5EF4-FFF2-40B4-BE49-F238E27FC236}">
                  <a16:creationId xmlns:a16="http://schemas.microsoft.com/office/drawing/2014/main" id="{9F33560F-AF6A-BB05-44F1-C6612CCBADE5}"/>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baseline="0"/>
                <a:t>Calculations 3</a:t>
              </a:r>
              <a:endParaRPr lang="pt-BR" sz="1100" b="1" i="1" kern="1200"/>
            </a:p>
          </xdr:txBody>
        </xdr:sp>
        <xdr:sp macro="" textlink="">
          <xdr:nvSpPr>
            <xdr:cNvPr id="8" name="Retângulo: Cantos Superiores Arredondados 7">
              <a:hlinkClick xmlns:r="http://schemas.openxmlformats.org/officeDocument/2006/relationships" r:id="rId1"/>
              <a:extLst>
                <a:ext uri="{FF2B5EF4-FFF2-40B4-BE49-F238E27FC236}">
                  <a16:creationId xmlns:a16="http://schemas.microsoft.com/office/drawing/2014/main" id="{87CF72E9-73FE-63B1-8E57-2629B9F90884}"/>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AEE7762F-BC82-4EB2-896F-9626787F6E57}"/>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100" i="1" kern="1200">
              <a:solidFill>
                <a:schemeClr val="accent5"/>
              </a:solidFill>
            </a:endParaRP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266700</xdr:colOff>
      <xdr:row>1</xdr:row>
      <xdr:rowOff>28575</xdr:rowOff>
    </xdr:from>
    <xdr:to>
      <xdr:col>2</xdr:col>
      <xdr:colOff>1167963</xdr:colOff>
      <xdr:row>2</xdr:row>
      <xdr:rowOff>19979</xdr:rowOff>
    </xdr:to>
    <xdr:grpSp>
      <xdr:nvGrpSpPr>
        <xdr:cNvPr id="2" name="Agrupar 1">
          <a:extLst>
            <a:ext uri="{FF2B5EF4-FFF2-40B4-BE49-F238E27FC236}">
              <a16:creationId xmlns:a16="http://schemas.microsoft.com/office/drawing/2014/main" id="{F97759B6-53BE-47D3-8CF2-50D47F678DCB}"/>
            </a:ext>
          </a:extLst>
        </xdr:cNvPr>
        <xdr:cNvGrpSpPr/>
      </xdr:nvGrpSpPr>
      <xdr:grpSpPr>
        <a:xfrm>
          <a:off x="266700" y="455295"/>
          <a:ext cx="1526103" cy="218099"/>
          <a:chOff x="386197" y="438151"/>
          <a:chExt cx="1991590" cy="233795"/>
        </a:xfrm>
      </xdr:grpSpPr>
      <xdr:sp macro="" textlink="">
        <xdr:nvSpPr>
          <xdr:cNvPr id="3" name="Retângulo: Cantos Superiores Arredondados 2">
            <a:extLst>
              <a:ext uri="{FF2B5EF4-FFF2-40B4-BE49-F238E27FC236}">
                <a16:creationId xmlns:a16="http://schemas.microsoft.com/office/drawing/2014/main" id="{1D460CF2-8E5B-F8F8-528E-8B1A20CF906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Parameters</a:t>
            </a:r>
          </a:p>
        </xdr:txBody>
      </xdr:sp>
      <xdr:sp macro="" textlink="">
        <xdr:nvSpPr>
          <xdr:cNvPr id="4" name="Retângulo: Cantos Superiores Arredondados 3">
            <a:hlinkClick xmlns:r="http://schemas.openxmlformats.org/officeDocument/2006/relationships" r:id="rId1"/>
            <a:extLst>
              <a:ext uri="{FF2B5EF4-FFF2-40B4-BE49-F238E27FC236}">
                <a16:creationId xmlns:a16="http://schemas.microsoft.com/office/drawing/2014/main" id="{E81E82F4-FD6A-B321-DFF0-8DE19D3B287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561975</xdr:colOff>
      <xdr:row>1</xdr:row>
      <xdr:rowOff>9525</xdr:rowOff>
    </xdr:from>
    <xdr:to>
      <xdr:col>1</xdr:col>
      <xdr:colOff>1482288</xdr:colOff>
      <xdr:row>2</xdr:row>
      <xdr:rowOff>929</xdr:rowOff>
    </xdr:to>
    <xdr:grpSp>
      <xdr:nvGrpSpPr>
        <xdr:cNvPr id="9" name="Agrupar 8">
          <a:extLst>
            <a:ext uri="{FF2B5EF4-FFF2-40B4-BE49-F238E27FC236}">
              <a16:creationId xmlns:a16="http://schemas.microsoft.com/office/drawing/2014/main" id="{3895277D-AF0C-4EFB-9523-476E0444DBB5}"/>
            </a:ext>
          </a:extLst>
        </xdr:cNvPr>
        <xdr:cNvGrpSpPr/>
      </xdr:nvGrpSpPr>
      <xdr:grpSpPr>
        <a:xfrm>
          <a:off x="561975" y="436245"/>
          <a:ext cx="1522293" cy="220004"/>
          <a:chOff x="386197" y="438151"/>
          <a:chExt cx="1991590" cy="233795"/>
        </a:xfrm>
      </xdr:grpSpPr>
      <xdr:sp macro="" textlink="">
        <xdr:nvSpPr>
          <xdr:cNvPr id="10" name="Retângulo: Cantos Superiores Arredondados 9">
            <a:extLst>
              <a:ext uri="{FF2B5EF4-FFF2-40B4-BE49-F238E27FC236}">
                <a16:creationId xmlns:a16="http://schemas.microsoft.com/office/drawing/2014/main" id="{5BE3A6EE-9544-785C-C211-CC5DD64BE4AA}"/>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t>
            </a:r>
          </a:p>
        </xdr:txBody>
      </xdr:sp>
      <xdr:sp macro="" textlink="">
        <xdr:nvSpPr>
          <xdr:cNvPr id="11" name="Retângulo: Cantos Superiores Arredondados 10">
            <a:hlinkClick xmlns:r="http://schemas.openxmlformats.org/officeDocument/2006/relationships" r:id="rId1"/>
            <a:extLst>
              <a:ext uri="{FF2B5EF4-FFF2-40B4-BE49-F238E27FC236}">
                <a16:creationId xmlns:a16="http://schemas.microsoft.com/office/drawing/2014/main" id="{3D396CF9-7809-AA20-196D-065747FCC57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Personalizada 8">
      <a:dk1>
        <a:srgbClr val="000000"/>
      </a:dk1>
      <a:lt1>
        <a:sysClr val="window" lastClr="FFFFFF"/>
      </a:lt1>
      <a:dk2>
        <a:srgbClr val="1F4E79"/>
      </a:dk2>
      <a:lt2>
        <a:srgbClr val="E7E6E6"/>
      </a:lt2>
      <a:accent1>
        <a:srgbClr val="00B3BD"/>
      </a:accent1>
      <a:accent2>
        <a:srgbClr val="DFF7F7"/>
      </a:accent2>
      <a:accent3>
        <a:srgbClr val="1F4E79"/>
      </a:accent3>
      <a:accent4>
        <a:srgbClr val="FFC000"/>
      </a:accent4>
      <a:accent5>
        <a:srgbClr val="726C5A"/>
      </a:accent5>
      <a:accent6>
        <a:srgbClr val="DDCFAD"/>
      </a:accent6>
      <a:hlink>
        <a:srgbClr val="1F4E79"/>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2B289-91B4-4226-9BCF-0287F42FE247}">
  <sheetPr codeName="Planilha1">
    <tabColor rgb="FFDDCFAD"/>
  </sheetPr>
  <dimension ref="B1:M61"/>
  <sheetViews>
    <sheetView showGridLines="0" showRowColHeaders="0" zoomScaleNormal="100" workbookViewId="0">
      <selection activeCell="L24" sqref="L24"/>
    </sheetView>
  </sheetViews>
  <sheetFormatPr defaultColWidth="8.77734375" defaultRowHeight="14.4"/>
  <cols>
    <col min="1" max="1" width="5.77734375" style="1" customWidth="1"/>
    <col min="2" max="2" width="19.44140625" style="1" customWidth="1"/>
    <col min="3" max="3" width="4.6640625" style="1" customWidth="1"/>
    <col min="4" max="4" width="50.6640625" style="27" customWidth="1"/>
    <col min="5" max="5" width="9.6640625" style="1" customWidth="1"/>
    <col min="6" max="6" width="50.6640625" style="1" customWidth="1"/>
    <col min="7" max="11" width="8.77734375" style="1" customWidth="1"/>
    <col min="12" max="12" width="12.33203125" style="1" customWidth="1"/>
    <col min="13" max="13" width="4.44140625" style="1" customWidth="1"/>
    <col min="14" max="39" width="8.77734375" style="1" customWidth="1"/>
    <col min="40" max="16384" width="8.77734375" style="1"/>
  </cols>
  <sheetData>
    <row r="1" spans="2:12" s="18" customFormat="1" ht="33.6">
      <c r="B1" s="22" t="str">
        <f>Definitions!$E$8</f>
        <v>Budget impact analysis of treatments for Patients at high and very high cardiovascular risk</v>
      </c>
      <c r="C1" s="22"/>
      <c r="D1" s="25"/>
      <c r="E1" s="19"/>
      <c r="F1" s="19"/>
      <c r="G1" s="19"/>
      <c r="H1" s="19"/>
      <c r="I1" s="19"/>
      <c r="J1" s="19"/>
      <c r="K1" s="19"/>
      <c r="L1" s="19"/>
    </row>
    <row r="2" spans="2:12" s="18" customFormat="1" ht="18">
      <c r="B2" s="21"/>
      <c r="C2" s="21"/>
      <c r="D2" s="30"/>
      <c r="E2" s="20"/>
      <c r="F2" s="20"/>
      <c r="G2" s="20"/>
      <c r="H2" s="20"/>
      <c r="I2" s="20"/>
      <c r="J2" s="20"/>
      <c r="K2" s="20"/>
      <c r="L2" s="20"/>
    </row>
    <row r="3" spans="2:12" s="45" customFormat="1" ht="2.25" customHeight="1">
      <c r="D3" s="46"/>
    </row>
    <row r="4" spans="2:12">
      <c r="B4" s="8"/>
      <c r="C4" s="8"/>
      <c r="D4" s="26"/>
      <c r="E4" s="8"/>
      <c r="F4" s="8"/>
      <c r="G4" s="8"/>
      <c r="H4" s="8"/>
      <c r="I4" s="8"/>
      <c r="J4" s="8"/>
      <c r="K4" s="8"/>
      <c r="L4" s="8"/>
    </row>
    <row r="5" spans="2:12">
      <c r="B5" s="8"/>
      <c r="C5" s="8"/>
      <c r="D5" s="26"/>
      <c r="E5" s="8"/>
      <c r="F5" s="8"/>
      <c r="G5" s="8"/>
      <c r="H5" s="8"/>
      <c r="I5" s="8"/>
      <c r="J5" s="8"/>
      <c r="K5" s="8"/>
      <c r="L5" s="8"/>
    </row>
    <row r="6" spans="2:12">
      <c r="B6" s="8"/>
      <c r="C6" s="8"/>
      <c r="D6" s="26"/>
      <c r="E6" s="8"/>
      <c r="F6" s="8"/>
      <c r="G6" s="8"/>
      <c r="H6" s="8"/>
      <c r="I6" s="8"/>
      <c r="J6" s="8"/>
      <c r="K6" s="8"/>
      <c r="L6" s="8"/>
    </row>
    <row r="7" spans="2:12">
      <c r="B7" s="8"/>
      <c r="C7" s="8"/>
      <c r="D7" s="26"/>
      <c r="E7" s="8"/>
      <c r="F7" s="8"/>
      <c r="G7" s="8"/>
      <c r="H7" s="8"/>
      <c r="I7" s="8"/>
      <c r="J7" s="8"/>
      <c r="K7" s="8"/>
      <c r="L7" s="8"/>
    </row>
    <row r="8" spans="2:12">
      <c r="B8" s="8"/>
      <c r="C8" s="8"/>
      <c r="D8" s="26"/>
      <c r="E8" s="8"/>
      <c r="F8" s="8"/>
      <c r="G8" s="8"/>
      <c r="H8" s="8"/>
      <c r="I8" s="8"/>
      <c r="J8" s="8"/>
      <c r="K8" s="8"/>
      <c r="L8" s="8"/>
    </row>
    <row r="9" spans="2:12">
      <c r="B9" s="8"/>
      <c r="C9" s="8"/>
      <c r="D9" s="26"/>
      <c r="E9" s="8"/>
      <c r="F9" s="8"/>
      <c r="G9" s="8"/>
      <c r="H9" s="8"/>
      <c r="I9" s="8"/>
      <c r="J9" s="8"/>
      <c r="K9" s="8"/>
      <c r="L9" s="8"/>
    </row>
    <row r="10" spans="2:12">
      <c r="B10" s="8"/>
      <c r="C10" s="8"/>
      <c r="D10" s="26"/>
      <c r="E10" s="8"/>
      <c r="F10" s="8"/>
      <c r="G10" s="8"/>
      <c r="H10" s="8"/>
      <c r="I10" s="8"/>
      <c r="J10" s="8"/>
      <c r="K10" s="8"/>
      <c r="L10" s="8"/>
    </row>
    <row r="11" spans="2:12">
      <c r="B11" s="8"/>
      <c r="C11" s="8"/>
      <c r="D11" s="26"/>
      <c r="E11" s="8"/>
      <c r="F11" s="8"/>
      <c r="G11" s="8"/>
      <c r="H11" s="8"/>
      <c r="I11" s="8"/>
      <c r="J11" s="8"/>
      <c r="K11" s="8"/>
      <c r="L11" s="8"/>
    </row>
    <row r="12" spans="2:12">
      <c r="B12" s="8"/>
      <c r="C12" s="8"/>
      <c r="D12" s="26"/>
      <c r="E12" s="8"/>
      <c r="F12" s="8"/>
      <c r="G12" s="8"/>
      <c r="H12" s="8"/>
      <c r="I12" s="8"/>
      <c r="J12" s="8"/>
      <c r="K12" s="8"/>
      <c r="L12" s="8"/>
    </row>
    <row r="13" spans="2:12">
      <c r="B13" s="8"/>
      <c r="C13" s="8"/>
      <c r="D13" s="26"/>
      <c r="E13" s="8"/>
      <c r="F13" s="8"/>
      <c r="G13" s="8"/>
      <c r="H13" s="8"/>
      <c r="I13" s="8"/>
      <c r="J13" s="8"/>
      <c r="K13" s="8"/>
      <c r="L13" s="8"/>
    </row>
    <row r="14" spans="2:12">
      <c r="B14" s="8"/>
      <c r="C14" s="8"/>
      <c r="D14" s="8"/>
      <c r="E14" s="8"/>
      <c r="F14" s="8"/>
      <c r="G14" s="8"/>
      <c r="H14" s="8"/>
      <c r="I14" s="8"/>
      <c r="J14" s="8"/>
      <c r="K14" s="8"/>
      <c r="L14" s="8"/>
    </row>
    <row r="15" spans="2:12">
      <c r="B15" s="8"/>
      <c r="C15" s="8"/>
      <c r="D15" s="8"/>
      <c r="E15" s="8"/>
      <c r="F15" s="8"/>
      <c r="G15" s="8"/>
      <c r="H15" s="8"/>
      <c r="I15" s="8"/>
      <c r="J15" s="8"/>
      <c r="K15" s="8"/>
      <c r="L15" s="8"/>
    </row>
    <row r="16" spans="2:12">
      <c r="B16" s="8"/>
      <c r="C16" s="8"/>
      <c r="D16" s="8"/>
      <c r="E16" s="8"/>
      <c r="F16" s="8"/>
      <c r="G16" s="8"/>
      <c r="H16" s="8"/>
      <c r="I16" s="8"/>
      <c r="J16" s="8"/>
      <c r="K16" s="8"/>
      <c r="L16" s="8"/>
    </row>
    <row r="17" spans="2:13">
      <c r="B17" s="8"/>
      <c r="C17" s="8"/>
      <c r="D17" s="8"/>
      <c r="E17" s="8"/>
      <c r="F17" s="8"/>
      <c r="G17" s="8"/>
      <c r="H17" s="8"/>
      <c r="I17" s="8"/>
      <c r="J17" s="8"/>
      <c r="K17" s="8"/>
      <c r="L17" s="8"/>
    </row>
    <row r="18" spans="2:13">
      <c r="B18" s="8"/>
      <c r="C18" s="8"/>
      <c r="D18" s="8"/>
      <c r="E18" s="8"/>
      <c r="F18" s="8"/>
      <c r="G18" s="8"/>
      <c r="H18" s="8"/>
      <c r="I18" s="8"/>
      <c r="J18" s="8"/>
      <c r="K18" s="8"/>
      <c r="L18" s="8"/>
    </row>
    <row r="19" spans="2:13">
      <c r="B19" s="8"/>
      <c r="C19" s="8"/>
      <c r="D19" s="8"/>
      <c r="E19" s="8"/>
      <c r="F19" s="8"/>
      <c r="G19" s="8"/>
      <c r="H19" s="8"/>
      <c r="I19" s="8"/>
      <c r="J19" s="8"/>
      <c r="K19" s="8"/>
      <c r="L19" s="8"/>
    </row>
    <row r="20" spans="2:13">
      <c r="B20" s="8"/>
      <c r="C20" s="8"/>
      <c r="D20" s="8"/>
      <c r="E20" s="8"/>
      <c r="F20" s="8"/>
      <c r="G20" s="8"/>
      <c r="H20" s="8"/>
      <c r="I20" s="8"/>
      <c r="J20" s="8"/>
      <c r="K20" s="8"/>
      <c r="L20" s="8"/>
    </row>
    <row r="21" spans="2:13">
      <c r="B21" s="8"/>
      <c r="C21" s="8"/>
      <c r="D21" s="8"/>
      <c r="E21" s="8"/>
      <c r="F21" s="8"/>
      <c r="G21" s="8"/>
      <c r="H21" s="8"/>
      <c r="I21" s="8"/>
      <c r="J21" s="8"/>
      <c r="K21" s="8"/>
      <c r="L21" s="8"/>
    </row>
    <row r="22" spans="2:13">
      <c r="B22" s="8"/>
      <c r="C22" s="8"/>
      <c r="D22" s="8"/>
      <c r="E22" s="8"/>
      <c r="F22" s="8"/>
      <c r="G22" s="8"/>
      <c r="H22" s="8"/>
      <c r="I22" s="8"/>
      <c r="J22" s="8"/>
      <c r="K22" s="8"/>
      <c r="L22" s="8"/>
    </row>
    <row r="23" spans="2:13">
      <c r="B23" s="8"/>
      <c r="C23" s="8"/>
      <c r="D23" s="8"/>
      <c r="E23" s="8"/>
      <c r="F23" s="8"/>
      <c r="G23" s="8"/>
      <c r="H23" s="8"/>
      <c r="I23" s="8"/>
      <c r="J23" s="8"/>
      <c r="K23" s="8"/>
      <c r="L23" s="8"/>
    </row>
    <row r="24" spans="2:13">
      <c r="B24" s="8"/>
      <c r="C24" s="8"/>
      <c r="D24" s="8"/>
      <c r="E24" s="8"/>
      <c r="F24" s="8"/>
      <c r="G24" s="8"/>
      <c r="H24" s="8"/>
      <c r="I24" s="8"/>
      <c r="J24" s="8"/>
      <c r="K24" s="8"/>
      <c r="L24" s="8"/>
    </row>
    <row r="25" spans="2:13">
      <c r="B25" s="8"/>
      <c r="C25" s="8"/>
      <c r="D25" s="8"/>
      <c r="E25" s="8"/>
      <c r="F25" s="8"/>
      <c r="G25" s="8"/>
      <c r="H25" s="8"/>
      <c r="I25" s="8"/>
      <c r="J25" s="8"/>
      <c r="K25" s="8"/>
      <c r="L25" s="8"/>
    </row>
    <row r="26" spans="2:13">
      <c r="B26" s="24"/>
      <c r="C26" s="24"/>
      <c r="D26" s="26"/>
      <c r="E26" s="8"/>
      <c r="F26" s="8"/>
      <c r="G26" s="8"/>
      <c r="H26" s="8"/>
      <c r="I26" s="8"/>
      <c r="J26" s="8"/>
      <c r="K26" s="8"/>
      <c r="L26" s="16"/>
    </row>
    <row r="27" spans="2:13">
      <c r="B27" s="24"/>
      <c r="C27" s="24"/>
      <c r="D27" s="26"/>
      <c r="E27" s="8"/>
      <c r="F27" s="8"/>
      <c r="G27" s="8"/>
      <c r="H27" s="8"/>
      <c r="I27" s="8"/>
      <c r="J27" s="8"/>
      <c r="K27" s="8"/>
      <c r="L27" s="16"/>
    </row>
    <row r="28" spans="2:13">
      <c r="B28" s="8"/>
      <c r="C28" s="8"/>
      <c r="D28" s="26"/>
      <c r="E28" s="8"/>
      <c r="F28" s="8"/>
      <c r="G28" s="8"/>
      <c r="H28" s="8"/>
      <c r="I28" s="8"/>
      <c r="J28" s="8"/>
      <c r="K28" s="28"/>
      <c r="L28" s="16"/>
    </row>
    <row r="29" spans="2:13" ht="85.95" customHeight="1">
      <c r="B29" s="405" t="e" vm="1">
        <v>#VALUE!</v>
      </c>
      <c r="C29" s="405"/>
      <c r="D29" s="405"/>
      <c r="E29" s="405"/>
      <c r="F29" s="405"/>
      <c r="G29" s="405"/>
      <c r="H29" s="405"/>
      <c r="I29" s="405"/>
      <c r="J29" s="23"/>
      <c r="K29" s="23"/>
      <c r="L29" s="23"/>
      <c r="M29" s="23"/>
    </row>
    <row r="30" spans="2:13">
      <c r="B30" s="24"/>
      <c r="C30" s="24"/>
      <c r="D30" s="26"/>
      <c r="E30" s="8"/>
      <c r="F30" s="8"/>
      <c r="G30" s="8"/>
      <c r="H30" s="8"/>
      <c r="I30" s="8"/>
      <c r="J30" s="8"/>
      <c r="K30" s="8"/>
      <c r="L30" s="8"/>
    </row>
    <row r="31" spans="2:13">
      <c r="B31" s="24"/>
      <c r="C31" s="24"/>
      <c r="D31" s="26"/>
      <c r="E31" s="8"/>
      <c r="F31" s="8"/>
      <c r="G31" s="8"/>
      <c r="H31" s="8"/>
      <c r="I31" s="8"/>
      <c r="J31" s="8"/>
      <c r="K31" s="8"/>
      <c r="L31" s="8"/>
    </row>
    <row r="32" spans="2:13">
      <c r="B32" s="8"/>
      <c r="C32" s="8"/>
      <c r="D32" s="26"/>
      <c r="E32" s="8"/>
      <c r="F32" s="8"/>
      <c r="G32" s="8"/>
      <c r="H32" s="8"/>
      <c r="I32" s="8"/>
      <c r="J32" s="8"/>
      <c r="K32" s="8"/>
      <c r="L32" s="8"/>
    </row>
    <row r="33" spans="2:12">
      <c r="B33" s="23"/>
      <c r="C33" s="23"/>
      <c r="D33" s="16"/>
      <c r="E33" s="8"/>
      <c r="F33" s="8"/>
      <c r="G33" s="9"/>
      <c r="H33" s="9"/>
      <c r="I33" s="9"/>
      <c r="J33" s="9"/>
      <c r="K33" s="9"/>
      <c r="L33" s="9"/>
    </row>
    <row r="34" spans="2:12">
      <c r="B34" s="23"/>
      <c r="C34" s="23"/>
      <c r="D34" s="16"/>
      <c r="E34" s="8"/>
      <c r="F34" s="8"/>
      <c r="G34" s="9"/>
      <c r="H34" s="9"/>
      <c r="I34" s="9"/>
      <c r="J34" s="9"/>
      <c r="K34" s="9"/>
      <c r="L34" s="9"/>
    </row>
    <row r="35" spans="2:12">
      <c r="B35" s="23"/>
      <c r="C35" s="23"/>
      <c r="D35" s="16"/>
      <c r="E35" s="8"/>
      <c r="F35" s="8"/>
      <c r="G35" s="9"/>
      <c r="H35" s="9"/>
      <c r="I35" s="9"/>
      <c r="J35" s="9"/>
      <c r="K35" s="9"/>
      <c r="L35" s="9"/>
    </row>
    <row r="36" spans="2:12">
      <c r="B36" s="23"/>
      <c r="C36" s="23"/>
      <c r="D36" s="13"/>
      <c r="E36" s="8"/>
      <c r="F36" s="8"/>
      <c r="G36" s="9"/>
      <c r="H36" s="9"/>
      <c r="I36" s="9"/>
      <c r="J36" s="9"/>
      <c r="K36" s="9"/>
      <c r="L36" s="9"/>
    </row>
    <row r="37" spans="2:12">
      <c r="B37" s="23"/>
      <c r="C37" s="23"/>
      <c r="D37" s="13"/>
      <c r="E37" s="8"/>
      <c r="F37" s="8"/>
      <c r="G37" s="9"/>
      <c r="H37" s="9"/>
      <c r="I37" s="9"/>
      <c r="J37" s="9"/>
      <c r="K37" s="9"/>
      <c r="L37" s="9"/>
    </row>
    <row r="38" spans="2:12">
      <c r="B38" s="23"/>
      <c r="C38" s="23"/>
      <c r="D38" s="13"/>
      <c r="E38" s="8"/>
      <c r="F38" s="8"/>
      <c r="G38" s="9"/>
      <c r="H38" s="9"/>
      <c r="I38" s="9"/>
      <c r="J38" s="9"/>
      <c r="K38" s="9"/>
      <c r="L38" s="9"/>
    </row>
    <row r="39" spans="2:12">
      <c r="B39" s="23"/>
      <c r="C39" s="23"/>
      <c r="D39" s="13"/>
      <c r="E39" s="9"/>
      <c r="F39" s="8"/>
      <c r="G39" s="9"/>
      <c r="H39" s="9"/>
      <c r="I39" s="9"/>
      <c r="J39" s="9"/>
      <c r="K39" s="9"/>
      <c r="L39" s="9"/>
    </row>
    <row r="40" spans="2:12">
      <c r="B40" s="23"/>
      <c r="C40" s="23"/>
      <c r="D40" s="13"/>
      <c r="E40" s="8"/>
      <c r="F40" s="8"/>
      <c r="G40" s="9"/>
      <c r="H40" s="9"/>
      <c r="I40" s="9"/>
      <c r="J40" s="9"/>
      <c r="K40" s="9"/>
      <c r="L40" s="9"/>
    </row>
    <row r="41" spans="2:12">
      <c r="B41" s="23"/>
      <c r="C41" s="23"/>
      <c r="D41" s="13"/>
      <c r="E41" s="14"/>
      <c r="F41" s="8"/>
      <c r="G41" s="9"/>
      <c r="H41" s="9"/>
      <c r="I41" s="9"/>
      <c r="J41" s="9"/>
      <c r="K41" s="9"/>
      <c r="L41" s="9"/>
    </row>
    <row r="42" spans="2:12">
      <c r="B42" s="23"/>
      <c r="C42" s="23"/>
      <c r="D42" s="13"/>
      <c r="E42" s="8"/>
      <c r="F42" s="8"/>
      <c r="G42" s="9"/>
      <c r="H42" s="9"/>
      <c r="I42" s="9"/>
      <c r="J42" s="9"/>
      <c r="K42" s="9"/>
      <c r="L42" s="9"/>
    </row>
    <row r="43" spans="2:12">
      <c r="B43" s="23"/>
      <c r="C43" s="23"/>
      <c r="D43" s="13"/>
      <c r="E43" s="8"/>
      <c r="F43" s="8"/>
      <c r="G43" s="9"/>
      <c r="H43" s="9"/>
      <c r="I43" s="9"/>
      <c r="J43" s="9"/>
      <c r="K43" s="9"/>
      <c r="L43" s="9"/>
    </row>
    <row r="44" spans="2:12">
      <c r="B44" s="23"/>
      <c r="C44" s="23"/>
      <c r="D44" s="13"/>
      <c r="E44" s="8"/>
      <c r="F44" s="8"/>
      <c r="G44" s="9"/>
      <c r="H44" s="9"/>
      <c r="I44" s="9"/>
      <c r="J44" s="9"/>
      <c r="K44" s="9"/>
      <c r="L44" s="9"/>
    </row>
    <row r="45" spans="2:12">
      <c r="B45" s="23"/>
      <c r="C45" s="23"/>
      <c r="D45" s="13"/>
      <c r="E45" s="15"/>
      <c r="F45" s="8"/>
      <c r="G45" s="8"/>
      <c r="H45" s="8"/>
      <c r="I45" s="8"/>
      <c r="J45" s="8"/>
      <c r="K45" s="8"/>
      <c r="L45" s="8"/>
    </row>
    <row r="46" spans="2:12">
      <c r="B46" s="8"/>
      <c r="C46" s="8"/>
      <c r="D46" s="13"/>
      <c r="E46" s="8"/>
      <c r="F46" s="8"/>
      <c r="G46" s="8"/>
      <c r="H46" s="8"/>
      <c r="I46" s="8"/>
      <c r="J46" s="8"/>
      <c r="K46" s="8"/>
      <c r="L46" s="8"/>
    </row>
    <row r="47" spans="2:12">
      <c r="B47" s="8"/>
      <c r="C47" s="8"/>
      <c r="D47" s="13"/>
      <c r="E47" s="14"/>
      <c r="F47" s="8"/>
      <c r="G47" s="8"/>
      <c r="H47" s="8"/>
      <c r="I47" s="8"/>
      <c r="J47" s="8"/>
      <c r="K47" s="8"/>
      <c r="L47" s="8"/>
    </row>
    <row r="48" spans="2:12">
      <c r="B48" s="8"/>
      <c r="C48" s="8"/>
      <c r="D48" s="13"/>
      <c r="E48" s="14"/>
      <c r="F48" s="8"/>
      <c r="G48" s="8"/>
      <c r="H48" s="8"/>
      <c r="I48" s="8"/>
      <c r="J48" s="8"/>
      <c r="K48" s="8"/>
      <c r="L48" s="8"/>
    </row>
    <row r="49" spans="4:12">
      <c r="D49" s="13"/>
      <c r="E49" s="14"/>
      <c r="F49" s="8"/>
      <c r="G49" s="8"/>
      <c r="H49" s="8"/>
      <c r="I49" s="8"/>
      <c r="J49" s="8"/>
      <c r="K49" s="8"/>
      <c r="L49" s="8"/>
    </row>
    <row r="50" spans="4:12">
      <c r="D50" s="13"/>
      <c r="E50" s="14"/>
      <c r="F50" s="8"/>
      <c r="G50" s="8"/>
      <c r="H50" s="9"/>
      <c r="I50" s="8"/>
      <c r="J50" s="8"/>
      <c r="K50" s="8"/>
      <c r="L50" s="8"/>
    </row>
    <row r="51" spans="4:12">
      <c r="D51" s="13"/>
      <c r="E51" s="14"/>
      <c r="F51" s="8"/>
      <c r="G51" s="8"/>
      <c r="H51" s="8"/>
      <c r="I51" s="8"/>
      <c r="J51" s="8"/>
      <c r="K51" s="8"/>
      <c r="L51" s="8"/>
    </row>
    <row r="52" spans="4:12">
      <c r="D52" s="13"/>
      <c r="E52" s="14" t="str">
        <f>IF(comparador2=0," ",comparador2)</f>
        <v>Atorvastatin 20mg</v>
      </c>
      <c r="F52" s="8"/>
      <c r="G52" s="8"/>
      <c r="H52" s="8"/>
      <c r="I52" s="8"/>
      <c r="J52" s="8"/>
      <c r="K52" s="8"/>
      <c r="L52" s="8"/>
    </row>
    <row r="56" spans="4:12">
      <c r="D56" s="29"/>
      <c r="E56" s="17"/>
      <c r="F56" s="8"/>
      <c r="G56" s="8"/>
      <c r="H56" s="8"/>
      <c r="I56" s="8"/>
      <c r="J56" s="8"/>
      <c r="K56" s="8"/>
      <c r="L56" s="8"/>
    </row>
    <row r="57" spans="4:12">
      <c r="D57" s="29"/>
      <c r="E57" s="17"/>
      <c r="F57" s="8"/>
      <c r="G57" s="8"/>
      <c r="H57" s="8"/>
      <c r="I57" s="8"/>
      <c r="J57" s="8"/>
      <c r="K57" s="8"/>
      <c r="L57" s="8"/>
    </row>
    <row r="58" spans="4:12">
      <c r="D58" s="29"/>
      <c r="E58" s="17"/>
      <c r="F58" s="8"/>
      <c r="G58" s="8"/>
      <c r="H58" s="8"/>
      <c r="I58" s="8"/>
      <c r="J58" s="8"/>
      <c r="K58" s="8"/>
      <c r="L58" s="8"/>
    </row>
    <row r="59" spans="4:12">
      <c r="D59" s="29"/>
      <c r="E59" s="17"/>
      <c r="F59" s="8"/>
      <c r="G59" s="8"/>
      <c r="H59" s="8"/>
      <c r="I59" s="8"/>
      <c r="J59" s="8"/>
      <c r="K59" s="8"/>
      <c r="L59" s="8"/>
    </row>
    <row r="60" spans="4:12">
      <c r="D60" s="29"/>
      <c r="E60" s="17"/>
      <c r="F60" s="8"/>
      <c r="G60" s="8"/>
      <c r="H60" s="8"/>
      <c r="I60" s="8"/>
      <c r="J60" s="8"/>
      <c r="K60" s="8"/>
      <c r="L60" s="8"/>
    </row>
    <row r="61" spans="4:12">
      <c r="D61" s="29"/>
      <c r="E61" s="17"/>
      <c r="F61" s="8"/>
      <c r="G61" s="8"/>
      <c r="H61" s="8"/>
      <c r="I61" s="8"/>
      <c r="J61" s="8"/>
      <c r="K61" s="8"/>
      <c r="L61" s="8"/>
    </row>
  </sheetData>
  <sheetProtection algorithmName="SHA-512" hashValue="5XTL+Zn4mhPG27pr5oryYQ89qm6V5/a3w9xnhjiJZ08ieT3DsxQxVACe2kioIdHd0RBi7q4E8b2+9pd+fOt6ig==" saltValue="Yx9kTeRAQYp9bv9+xZBvGg==" spinCount="100000" sheet="1" objects="1" scenarios="1" selectLockedCells="1" selectUnlockedCells="1"/>
  <mergeCells count="1">
    <mergeCell ref="B29:I29"/>
  </mergeCells>
  <pageMargins left="0.511811024" right="0.511811024" top="0.78740157499999996" bottom="0.78740157499999996" header="0.31496062000000002" footer="0.31496062000000002"/>
  <ignoredErrors>
    <ignoredError sqref="B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91E3E-4A4F-49B5-90BF-CCBF09C7B5BA}">
  <sheetPr codeName="Planilha10">
    <tabColor rgb="FFDDCFAD"/>
  </sheetPr>
  <dimension ref="A1:U70"/>
  <sheetViews>
    <sheetView showGridLines="0" showRowColHeaders="0" topLeftCell="A29" zoomScaleNormal="100" workbookViewId="0">
      <selection activeCell="E10" sqref="E10"/>
    </sheetView>
  </sheetViews>
  <sheetFormatPr defaultColWidth="8.77734375" defaultRowHeight="14.4"/>
  <cols>
    <col min="1" max="1" width="5.77734375" style="142" customWidth="1"/>
    <col min="2" max="2" width="3.44140625" style="142" customWidth="1"/>
    <col min="3" max="3" width="39" style="142" customWidth="1"/>
    <col min="4" max="4" width="4.77734375" style="79" customWidth="1"/>
    <col min="5" max="5" width="37.109375" style="142" customWidth="1"/>
    <col min="6" max="6" width="12.109375" style="142" customWidth="1"/>
    <col min="7" max="7" width="4.6640625" style="142" customWidth="1"/>
    <col min="8" max="16" width="8.77734375" style="142" customWidth="1"/>
    <col min="17" max="17" width="4.44140625" style="142" customWidth="1"/>
    <col min="18" max="18" width="47.109375" style="142" hidden="1" customWidth="1"/>
    <col min="19" max="19" width="2.109375" style="142" hidden="1" customWidth="1"/>
    <col min="20" max="20" width="8.77734375" style="142" hidden="1" customWidth="1"/>
    <col min="21" max="43" width="8.77734375" style="142" customWidth="1"/>
    <col min="44" max="16384" width="8.77734375" style="142"/>
  </cols>
  <sheetData>
    <row r="1" spans="1:21" s="130" customFormat="1" ht="33.6">
      <c r="A1" s="127"/>
      <c r="B1" s="128" t="str">
        <f>Introduction!$B$1</f>
        <v>Budget impact analysis of treatments for Patients at high and very high cardiovascular risk</v>
      </c>
      <c r="C1" s="128"/>
      <c r="D1" s="129"/>
      <c r="E1" s="127"/>
      <c r="F1" s="127"/>
      <c r="G1" s="127"/>
      <c r="H1" s="127"/>
      <c r="I1" s="127"/>
      <c r="J1" s="127"/>
      <c r="K1" s="127"/>
      <c r="L1" s="127"/>
      <c r="M1" s="127"/>
      <c r="N1" s="127"/>
      <c r="O1" s="127"/>
      <c r="P1" s="127"/>
      <c r="Q1" s="127"/>
      <c r="R1" s="127"/>
      <c r="S1" s="127"/>
      <c r="T1" s="127"/>
      <c r="U1" s="127"/>
    </row>
    <row r="2" spans="1:21" s="130" customFormat="1" ht="18">
      <c r="A2" s="127"/>
      <c r="B2" s="131"/>
      <c r="C2" s="131"/>
      <c r="D2" s="132"/>
      <c r="E2" s="133"/>
      <c r="F2" s="133"/>
      <c r="G2" s="133"/>
      <c r="H2" s="133"/>
      <c r="I2" s="133"/>
      <c r="J2" s="133"/>
      <c r="K2" s="133"/>
      <c r="L2" s="133"/>
      <c r="M2" s="127"/>
      <c r="N2" s="127"/>
      <c r="O2" s="127"/>
      <c r="P2" s="127"/>
      <c r="Q2" s="127"/>
      <c r="R2" s="127"/>
      <c r="S2" s="127"/>
      <c r="T2" s="127"/>
      <c r="U2" s="127"/>
    </row>
    <row r="3" spans="1:21" s="134" customFormat="1" ht="2.25" customHeight="1">
      <c r="D3" s="135"/>
    </row>
    <row r="4" spans="1:21" s="137" customFormat="1">
      <c r="A4" s="136"/>
      <c r="D4" s="138"/>
      <c r="P4" s="139"/>
      <c r="Q4" s="139"/>
      <c r="R4" s="149" t="s">
        <v>60</v>
      </c>
      <c r="S4" s="149"/>
      <c r="T4" s="149"/>
      <c r="U4" s="139"/>
    </row>
    <row r="5" spans="1:21" ht="18">
      <c r="A5" s="136"/>
      <c r="B5" s="136"/>
      <c r="C5" s="140" t="s">
        <v>61</v>
      </c>
      <c r="D5" s="141"/>
      <c r="E5" s="83"/>
      <c r="F5" s="136"/>
      <c r="G5" s="136"/>
      <c r="H5" s="136"/>
      <c r="I5" s="136"/>
      <c r="J5" s="136"/>
      <c r="K5" s="136"/>
      <c r="L5" s="136"/>
      <c r="M5" s="136"/>
      <c r="N5" s="136"/>
      <c r="O5" s="136"/>
      <c r="P5" s="139"/>
      <c r="Q5" s="139">
        <v>1</v>
      </c>
      <c r="R5" s="149" t="str">
        <f>"Budget impact analysis of "&amp;E33&amp;" for treatment of "&amp;E27</f>
        <v>Budget impact analysis of Rosuvastatin 5mg for treatment of Patients at high and very high cardiovascular risk</v>
      </c>
      <c r="S5" s="149" t="str">
        <f>intervencao1</f>
        <v>Rosuvastatin 5mg</v>
      </c>
      <c r="T5" s="149"/>
      <c r="U5" s="139"/>
    </row>
    <row r="6" spans="1:21">
      <c r="A6" s="136"/>
      <c r="B6" s="136"/>
      <c r="C6" s="136" t="s">
        <v>62</v>
      </c>
      <c r="D6" s="136"/>
      <c r="E6" s="83"/>
      <c r="F6" s="136"/>
      <c r="G6" s="136"/>
      <c r="H6" s="136"/>
      <c r="I6" s="136"/>
      <c r="J6" s="136"/>
      <c r="K6" s="136"/>
      <c r="L6" s="136"/>
      <c r="M6" s="136"/>
      <c r="N6" s="136"/>
      <c r="O6" s="136"/>
      <c r="P6" s="139"/>
      <c r="Q6" s="139">
        <v>2</v>
      </c>
      <c r="R6" s="149" t="str">
        <f>"Budget impact analysis of treatments for "&amp;E27</f>
        <v>Budget impact analysis of treatments for Patients at high and very high cardiovascular risk</v>
      </c>
      <c r="S6" s="149" t="str">
        <f>intervencao2</f>
        <v>Rosuvastatin 10mg</v>
      </c>
      <c r="T6" s="149"/>
      <c r="U6" s="139"/>
    </row>
    <row r="7" spans="1:21">
      <c r="A7" s="136"/>
      <c r="B7" s="136"/>
      <c r="C7" s="136"/>
      <c r="D7" s="136"/>
      <c r="E7" s="83"/>
      <c r="F7" s="143"/>
      <c r="G7" s="136"/>
      <c r="H7" s="136"/>
      <c r="I7" s="136"/>
      <c r="J7" s="136"/>
      <c r="K7" s="136"/>
      <c r="L7" s="136"/>
      <c r="M7" s="136"/>
      <c r="N7" s="136"/>
      <c r="O7" s="136"/>
      <c r="P7" s="139"/>
      <c r="Q7" s="139">
        <v>3</v>
      </c>
      <c r="R7" s="149"/>
      <c r="S7" s="149" t="str">
        <f>intervencao3</f>
        <v>Rosuvastatin 20mg</v>
      </c>
      <c r="T7" s="149"/>
      <c r="U7" s="139"/>
    </row>
    <row r="8" spans="1:21" ht="57" customHeight="1">
      <c r="A8" s="136"/>
      <c r="B8" s="136"/>
      <c r="C8" s="144" t="s">
        <v>135</v>
      </c>
      <c r="D8" s="145"/>
      <c r="E8" s="146" t="str">
        <f>IF(AND(E33="",n_interv&lt;2),R4,IF(n_interv&lt;2,R5,R6))</f>
        <v>Budget impact analysis of treatments for Patients at high and very high cardiovascular risk</v>
      </c>
      <c r="F8" s="408" t="s">
        <v>63</v>
      </c>
      <c r="G8" s="409"/>
      <c r="H8" s="409"/>
      <c r="I8" s="409"/>
      <c r="J8" s="136"/>
      <c r="K8" s="136"/>
      <c r="L8" s="136"/>
      <c r="M8" s="136"/>
      <c r="N8" s="136"/>
      <c r="O8" s="136"/>
      <c r="P8" s="139"/>
      <c r="Q8" s="139">
        <v>4</v>
      </c>
      <c r="R8" s="149"/>
      <c r="S8" s="149" t="str">
        <f>intervencao4</f>
        <v>Rosuvastatin 40mg</v>
      </c>
      <c r="T8" s="149"/>
      <c r="U8" s="139"/>
    </row>
    <row r="9" spans="1:21">
      <c r="A9" s="136"/>
      <c r="B9" s="136"/>
      <c r="C9" s="42"/>
      <c r="D9" s="145"/>
      <c r="E9" s="145"/>
      <c r="F9" s="43"/>
      <c r="G9" s="136"/>
      <c r="H9" s="136"/>
      <c r="I9" s="136"/>
      <c r="J9" s="136"/>
      <c r="K9" s="136"/>
      <c r="L9" s="136"/>
      <c r="M9" s="136"/>
      <c r="N9" s="136"/>
      <c r="O9" s="136"/>
      <c r="P9" s="139"/>
      <c r="Q9" s="139">
        <v>5</v>
      </c>
      <c r="R9" s="149"/>
      <c r="S9" s="149" t="str">
        <f>comparador1</f>
        <v>Atorvastatin 10mg</v>
      </c>
      <c r="T9" s="149"/>
      <c r="U9" s="139"/>
    </row>
    <row r="10" spans="1:21">
      <c r="A10" s="136"/>
      <c r="B10" s="136"/>
      <c r="C10" s="42" t="s">
        <v>210</v>
      </c>
      <c r="D10" s="145"/>
      <c r="E10" s="44" t="s">
        <v>409</v>
      </c>
      <c r="F10" s="43"/>
      <c r="G10" s="136"/>
      <c r="H10" s="136"/>
      <c r="I10" s="136"/>
      <c r="J10" s="136"/>
      <c r="K10" s="136"/>
      <c r="L10" s="136"/>
      <c r="M10" s="136"/>
      <c r="N10" s="136"/>
      <c r="O10" s="136"/>
      <c r="P10" s="139"/>
      <c r="Q10" s="139">
        <v>6</v>
      </c>
      <c r="R10" s="149"/>
      <c r="S10" s="149" t="str">
        <f>comparador2</f>
        <v>Atorvastatin 20mg</v>
      </c>
      <c r="T10" s="149"/>
      <c r="U10" s="139"/>
    </row>
    <row r="11" spans="1:21">
      <c r="A11" s="136"/>
      <c r="B11" s="136"/>
      <c r="C11" s="42"/>
      <c r="D11" s="145"/>
      <c r="E11" s="145"/>
      <c r="F11" s="43"/>
      <c r="G11" s="136"/>
      <c r="H11" s="136"/>
      <c r="I11" s="136"/>
      <c r="J11" s="136"/>
      <c r="K11" s="136"/>
      <c r="L11" s="136"/>
      <c r="M11" s="136"/>
      <c r="N11" s="136"/>
      <c r="O11" s="136"/>
      <c r="P11" s="139"/>
      <c r="Q11" s="139">
        <v>7</v>
      </c>
      <c r="R11" s="149"/>
      <c r="S11" s="149" t="str">
        <f>comparador3</f>
        <v>Atorvastatin 40mg</v>
      </c>
      <c r="T11" s="149"/>
      <c r="U11" s="139"/>
    </row>
    <row r="12" spans="1:21">
      <c r="A12" s="136"/>
      <c r="B12" s="136"/>
      <c r="C12" s="42" t="s">
        <v>64</v>
      </c>
      <c r="D12" s="145"/>
      <c r="E12" s="44"/>
      <c r="F12" s="43"/>
      <c r="G12" s="136"/>
      <c r="H12" s="136"/>
      <c r="I12" s="136"/>
      <c r="J12" s="136"/>
      <c r="K12" s="136"/>
      <c r="L12" s="136"/>
      <c r="M12" s="136"/>
      <c r="N12" s="136"/>
      <c r="O12" s="136"/>
      <c r="P12" s="139"/>
      <c r="Q12" s="139">
        <v>8</v>
      </c>
      <c r="R12" s="149"/>
      <c r="S12" s="149" t="str">
        <f>comparador4</f>
        <v>Atorvastatin 80mg</v>
      </c>
      <c r="T12" s="149"/>
      <c r="U12" s="139"/>
    </row>
    <row r="13" spans="1:21">
      <c r="A13" s="136"/>
      <c r="B13" s="136"/>
      <c r="C13" s="42"/>
      <c r="D13" s="145"/>
      <c r="E13" s="145"/>
      <c r="F13" s="43"/>
      <c r="G13" s="136"/>
      <c r="H13" s="136"/>
      <c r="I13" s="136"/>
      <c r="J13" s="136"/>
      <c r="K13" s="136"/>
      <c r="L13" s="136"/>
      <c r="M13" s="136"/>
      <c r="N13" s="136"/>
      <c r="O13" s="136"/>
      <c r="P13" s="139"/>
      <c r="Q13" s="139">
        <v>9</v>
      </c>
      <c r="R13" s="149"/>
      <c r="S13" s="149" t="str">
        <f>comparador5</f>
        <v>Pravastatin</v>
      </c>
      <c r="T13" s="149"/>
      <c r="U13" s="139"/>
    </row>
    <row r="14" spans="1:21">
      <c r="A14" s="136"/>
      <c r="B14" s="136"/>
      <c r="C14" s="42" t="s">
        <v>65</v>
      </c>
      <c r="D14" s="145"/>
      <c r="E14" s="125"/>
      <c r="F14" s="43"/>
      <c r="G14" s="136"/>
      <c r="H14" s="136"/>
      <c r="I14" s="136"/>
      <c r="J14" s="136"/>
      <c r="K14" s="136"/>
      <c r="L14" s="136"/>
      <c r="M14" s="136"/>
      <c r="N14" s="136"/>
      <c r="O14" s="136"/>
      <c r="P14" s="139"/>
      <c r="Q14" s="139">
        <v>10</v>
      </c>
      <c r="R14" s="149"/>
      <c r="S14" s="149" t="str">
        <f>comparador6</f>
        <v>Simvastatin 5mg</v>
      </c>
      <c r="T14" s="149"/>
      <c r="U14" s="139"/>
    </row>
    <row r="15" spans="1:21">
      <c r="A15" s="136"/>
      <c r="B15" s="136"/>
      <c r="C15" s="42"/>
      <c r="D15" s="42"/>
      <c r="E15" s="42"/>
      <c r="F15" s="43"/>
      <c r="G15" s="136"/>
      <c r="H15" s="136"/>
      <c r="I15" s="136"/>
      <c r="J15" s="136"/>
      <c r="K15" s="136"/>
      <c r="L15" s="136"/>
      <c r="M15" s="136"/>
      <c r="N15" s="136"/>
      <c r="O15" s="136"/>
      <c r="P15" s="139"/>
      <c r="Q15" s="139" t="s">
        <v>0</v>
      </c>
      <c r="R15" s="149"/>
      <c r="S15" s="149" t="str">
        <f>comparador7</f>
        <v>Simvastatin 10mg</v>
      </c>
      <c r="T15" s="149"/>
      <c r="U15" s="139"/>
    </row>
    <row r="16" spans="1:21">
      <c r="A16" s="136"/>
      <c r="B16" s="136"/>
      <c r="C16" s="42" t="s">
        <v>66</v>
      </c>
      <c r="D16" s="145"/>
      <c r="E16" s="44"/>
      <c r="F16" s="43"/>
      <c r="G16" s="136"/>
      <c r="H16" s="136"/>
      <c r="I16" s="136"/>
      <c r="J16" s="136"/>
      <c r="K16" s="136"/>
      <c r="L16" s="136"/>
      <c r="M16" s="136"/>
      <c r="N16" s="136"/>
      <c r="O16" s="136"/>
      <c r="P16" s="139"/>
      <c r="Q16" s="139" t="s">
        <v>1</v>
      </c>
      <c r="R16" s="149"/>
      <c r="S16" s="149" t="str">
        <f>comparador8</f>
        <v>Simvastatin 20mg</v>
      </c>
      <c r="T16" s="149"/>
      <c r="U16" s="139"/>
    </row>
    <row r="17" spans="3:21">
      <c r="C17" s="136"/>
      <c r="D17" s="145"/>
      <c r="E17" s="44"/>
      <c r="F17" s="43"/>
      <c r="G17" s="136"/>
      <c r="H17" s="136"/>
      <c r="I17" s="136"/>
      <c r="J17" s="136"/>
      <c r="K17" s="136"/>
      <c r="L17" s="136"/>
      <c r="M17" s="136"/>
      <c r="N17" s="136"/>
      <c r="O17" s="136"/>
      <c r="P17" s="139"/>
      <c r="Q17" s="139"/>
      <c r="R17" s="149"/>
      <c r="S17" s="149" t="str">
        <f>comparador9</f>
        <v>Simvastatin 40mg</v>
      </c>
      <c r="T17" s="149"/>
      <c r="U17" s="139"/>
    </row>
    <row r="18" spans="3:21">
      <c r="C18" s="145"/>
      <c r="D18" s="145"/>
      <c r="E18" s="44"/>
      <c r="F18" s="43"/>
      <c r="G18" s="136"/>
      <c r="H18" s="136"/>
      <c r="I18" s="136"/>
      <c r="J18" s="136"/>
      <c r="K18" s="136"/>
      <c r="L18" s="136"/>
      <c r="M18" s="136"/>
      <c r="N18" s="136"/>
      <c r="O18" s="136"/>
      <c r="P18" s="139"/>
      <c r="Q18" s="139"/>
      <c r="R18" s="149"/>
      <c r="S18" s="149">
        <f>comparador10</f>
        <v>0</v>
      </c>
      <c r="T18" s="149"/>
      <c r="U18" s="139"/>
    </row>
    <row r="19" spans="3:21">
      <c r="C19" s="145"/>
      <c r="D19" s="145"/>
      <c r="E19" s="32"/>
      <c r="F19" s="43"/>
      <c r="G19" s="136"/>
      <c r="H19" s="136"/>
      <c r="I19" s="136"/>
      <c r="J19" s="136"/>
      <c r="K19" s="136"/>
      <c r="L19" s="136"/>
      <c r="M19" s="136"/>
      <c r="N19" s="136"/>
      <c r="O19" s="136"/>
      <c r="P19" s="139"/>
      <c r="Q19" s="139"/>
      <c r="R19" s="150"/>
      <c r="S19" s="151"/>
      <c r="T19" s="150"/>
      <c r="U19" s="139"/>
    </row>
    <row r="20" spans="3:21" customFormat="1">
      <c r="C20" s="63"/>
      <c r="D20" s="7"/>
      <c r="E20" s="7"/>
      <c r="F20" s="7"/>
      <c r="G20" s="7"/>
      <c r="H20" s="7"/>
      <c r="I20" s="7"/>
      <c r="J20" s="7"/>
      <c r="K20" s="7"/>
      <c r="L20" s="7"/>
      <c r="M20" s="7"/>
      <c r="N20" s="7"/>
      <c r="O20" s="7"/>
      <c r="P20" s="7"/>
      <c r="Q20" s="7"/>
      <c r="R20" s="152"/>
      <c r="S20" s="151"/>
      <c r="T20" s="152"/>
    </row>
    <row r="21" spans="3:21" customFormat="1">
      <c r="C21" s="64"/>
      <c r="D21" s="65"/>
      <c r="E21" s="65"/>
      <c r="F21" s="65"/>
      <c r="G21" s="65"/>
      <c r="H21" s="65"/>
      <c r="I21" s="65"/>
      <c r="J21" s="65"/>
      <c r="K21" s="65"/>
      <c r="L21" s="65"/>
      <c r="M21" s="65"/>
      <c r="N21" s="65"/>
      <c r="O21" s="7"/>
      <c r="P21" s="7"/>
      <c r="Q21" s="7"/>
      <c r="R21" s="7"/>
      <c r="S21" s="147"/>
      <c r="T21" s="7"/>
    </row>
    <row r="22" spans="3:21" customFormat="1">
      <c r="C22" s="63"/>
      <c r="D22" s="7"/>
      <c r="E22" s="7"/>
      <c r="F22" s="7"/>
      <c r="G22" s="7"/>
      <c r="H22" s="7"/>
      <c r="I22" s="7"/>
      <c r="J22" s="7"/>
      <c r="K22" s="7"/>
      <c r="L22" s="7"/>
      <c r="M22" s="7"/>
      <c r="N22" s="7"/>
      <c r="O22" s="7"/>
      <c r="P22" s="7"/>
      <c r="Q22" s="7"/>
      <c r="R22" s="7"/>
      <c r="S22" s="7"/>
      <c r="T22" s="7"/>
    </row>
    <row r="23" spans="3:21" ht="18">
      <c r="C23" s="140" t="s">
        <v>67</v>
      </c>
      <c r="D23" s="141"/>
      <c r="E23" s="83"/>
      <c r="F23" s="43"/>
      <c r="G23" s="136"/>
      <c r="H23" s="136"/>
      <c r="I23" s="136"/>
      <c r="J23" s="136"/>
      <c r="K23" s="136"/>
      <c r="L23" s="136"/>
      <c r="M23" s="136"/>
      <c r="N23" s="136"/>
      <c r="O23" s="136"/>
      <c r="P23" s="136"/>
      <c r="Q23" s="136"/>
      <c r="R23" s="136"/>
      <c r="S23" s="136"/>
      <c r="T23" s="136"/>
      <c r="U23" s="136"/>
    </row>
    <row r="24" spans="3:21">
      <c r="C24" s="136" t="s">
        <v>211</v>
      </c>
      <c r="D24" s="136"/>
      <c r="E24" s="83"/>
      <c r="F24" s="43"/>
      <c r="G24" s="136"/>
      <c r="H24" s="136"/>
      <c r="I24" s="136"/>
      <c r="J24" s="136"/>
      <c r="K24" s="136"/>
      <c r="L24" s="136"/>
      <c r="M24" s="136"/>
      <c r="N24" s="136"/>
      <c r="O24" s="136"/>
      <c r="P24" s="136"/>
      <c r="Q24" s="136"/>
      <c r="R24" s="136"/>
      <c r="S24" s="136"/>
      <c r="T24" s="136"/>
      <c r="U24" s="136"/>
    </row>
    <row r="25" spans="3:21">
      <c r="C25" s="136"/>
      <c r="D25" s="136"/>
      <c r="E25" s="83"/>
      <c r="F25" s="43"/>
      <c r="G25" s="136"/>
      <c r="H25" s="136"/>
      <c r="I25" s="136"/>
      <c r="J25" s="136"/>
      <c r="K25" s="136"/>
      <c r="L25" s="136"/>
      <c r="M25" s="136"/>
      <c r="N25" s="136"/>
      <c r="O25" s="136"/>
      <c r="P25" s="136"/>
      <c r="Q25" s="136"/>
      <c r="R25" s="136"/>
      <c r="S25" s="136"/>
      <c r="T25" s="136"/>
      <c r="U25" s="136"/>
    </row>
    <row r="26" spans="3:21">
      <c r="C26" s="42" t="s">
        <v>68</v>
      </c>
      <c r="D26" s="145"/>
      <c r="E26" s="136"/>
      <c r="F26" s="43"/>
      <c r="G26" s="136"/>
      <c r="H26" s="136"/>
      <c r="I26" s="136"/>
      <c r="J26" s="136"/>
      <c r="K26" s="136"/>
      <c r="L26" s="136"/>
      <c r="M26" s="136"/>
      <c r="N26" s="136"/>
      <c r="O26" s="136"/>
      <c r="P26" s="136"/>
      <c r="Q26" s="136"/>
      <c r="R26" s="136"/>
      <c r="S26" s="136"/>
      <c r="T26" s="136"/>
      <c r="U26" s="136"/>
    </row>
    <row r="27" spans="3:21">
      <c r="C27" s="407" t="s">
        <v>212</v>
      </c>
      <c r="D27" s="145"/>
      <c r="E27" s="44" t="s">
        <v>346</v>
      </c>
      <c r="F27" s="43"/>
      <c r="G27" s="136"/>
      <c r="H27" s="136"/>
      <c r="I27" s="136"/>
      <c r="J27" s="136"/>
      <c r="K27" s="136"/>
      <c r="L27" s="136"/>
      <c r="M27" s="136"/>
      <c r="N27" s="136"/>
      <c r="O27" s="136"/>
      <c r="P27" s="136"/>
      <c r="Q27" s="136"/>
      <c r="R27" s="136"/>
      <c r="S27" s="136"/>
      <c r="T27" s="136"/>
      <c r="U27" s="136"/>
    </row>
    <row r="28" spans="3:21">
      <c r="C28" s="407"/>
      <c r="D28" s="145"/>
      <c r="E28" s="145"/>
      <c r="F28" s="145"/>
      <c r="G28" s="145"/>
      <c r="H28" s="145"/>
      <c r="I28" s="136"/>
      <c r="J28" s="136"/>
      <c r="K28" s="136"/>
      <c r="L28" s="136"/>
      <c r="M28" s="136"/>
      <c r="N28" s="136"/>
      <c r="O28" s="136"/>
      <c r="P28" s="136"/>
      <c r="Q28" s="136"/>
      <c r="R28" s="136"/>
      <c r="S28" s="136"/>
      <c r="T28" s="136"/>
      <c r="U28" s="136"/>
    </row>
    <row r="29" spans="3:21">
      <c r="C29" s="42" t="s">
        <v>69</v>
      </c>
      <c r="D29" s="145"/>
      <c r="E29" s="145"/>
      <c r="F29" s="43"/>
      <c r="G29" s="136"/>
      <c r="H29" s="136"/>
      <c r="I29" s="136"/>
      <c r="J29" s="136"/>
      <c r="K29" s="136"/>
      <c r="L29" s="136"/>
      <c r="M29" s="136"/>
      <c r="N29" s="136"/>
      <c r="O29" s="136"/>
      <c r="P29" s="136"/>
      <c r="Q29" s="136"/>
      <c r="R29" s="136"/>
      <c r="S29" s="136"/>
      <c r="T29" s="136"/>
      <c r="U29" s="136"/>
    </row>
    <row r="30" spans="3:21">
      <c r="C30" s="148" t="s">
        <v>213</v>
      </c>
      <c r="D30" s="145"/>
      <c r="E30" s="145"/>
      <c r="F30" s="43"/>
      <c r="G30" s="136"/>
      <c r="H30" s="136"/>
      <c r="I30" s="136"/>
      <c r="J30" s="136"/>
      <c r="K30" s="136"/>
      <c r="L30" s="136"/>
      <c r="M30" s="136"/>
      <c r="N30" s="136"/>
      <c r="O30" s="136"/>
      <c r="P30" s="136"/>
      <c r="Q30" s="136"/>
      <c r="R30" s="136"/>
      <c r="S30" s="136"/>
      <c r="T30" s="136"/>
      <c r="U30" s="136"/>
    </row>
    <row r="31" spans="3:21">
      <c r="C31" s="48" t="s">
        <v>214</v>
      </c>
      <c r="D31" s="145"/>
      <c r="E31" s="44">
        <v>4</v>
      </c>
      <c r="F31" s="410" t="s">
        <v>72</v>
      </c>
      <c r="G31" s="410"/>
      <c r="H31" s="410"/>
      <c r="I31" s="410"/>
      <c r="J31" s="410"/>
      <c r="K31" s="410"/>
      <c r="L31" s="136"/>
      <c r="M31" s="136"/>
      <c r="N31" s="136"/>
      <c r="O31" s="136"/>
      <c r="P31" s="136"/>
      <c r="Q31" s="136"/>
      <c r="R31" s="136"/>
      <c r="S31" s="136"/>
      <c r="T31" s="136"/>
      <c r="U31" s="136"/>
    </row>
    <row r="32" spans="3:21">
      <c r="C32" s="48"/>
      <c r="D32" s="145"/>
      <c r="E32" s="145"/>
      <c r="F32" s="410"/>
      <c r="G32" s="410"/>
      <c r="H32" s="410"/>
      <c r="I32" s="410"/>
      <c r="J32" s="410"/>
      <c r="K32" s="410"/>
      <c r="L32" s="136"/>
      <c r="M32" s="136"/>
      <c r="N32" s="136"/>
      <c r="O32" s="136"/>
      <c r="P32" s="136"/>
      <c r="Q32" s="136"/>
      <c r="R32" s="136"/>
      <c r="S32" s="136"/>
      <c r="T32" s="136"/>
      <c r="U32" s="136"/>
    </row>
    <row r="33" spans="3:21">
      <c r="C33" s="48" t="s">
        <v>215</v>
      </c>
      <c r="D33" s="145">
        <v>1</v>
      </c>
      <c r="E33" s="44" t="s">
        <v>347</v>
      </c>
      <c r="F33" s="43"/>
      <c r="G33" s="136"/>
      <c r="H33" s="136"/>
      <c r="I33" s="136"/>
      <c r="J33" s="136"/>
      <c r="K33" s="136"/>
      <c r="L33" s="136"/>
      <c r="M33" s="136"/>
      <c r="N33" s="136"/>
      <c r="O33" s="136"/>
      <c r="P33" s="136"/>
      <c r="Q33" s="136"/>
      <c r="R33" s="136"/>
      <c r="S33" s="136"/>
      <c r="T33" s="136"/>
      <c r="U33" s="136"/>
    </row>
    <row r="34" spans="3:21">
      <c r="C34" s="48" t="s">
        <v>215</v>
      </c>
      <c r="D34" s="145">
        <v>2</v>
      </c>
      <c r="E34" s="44" t="s">
        <v>348</v>
      </c>
      <c r="F34" s="43"/>
      <c r="G34" s="136"/>
      <c r="H34" s="136"/>
      <c r="I34" s="136"/>
      <c r="J34" s="136"/>
      <c r="K34" s="136"/>
      <c r="L34" s="136"/>
      <c r="M34" s="136"/>
      <c r="N34" s="136"/>
      <c r="O34" s="136"/>
      <c r="P34" s="136"/>
      <c r="Q34" s="136"/>
      <c r="R34" s="136"/>
      <c r="S34" s="136"/>
      <c r="T34" s="136"/>
      <c r="U34" s="136"/>
    </row>
    <row r="35" spans="3:21">
      <c r="C35" s="48" t="s">
        <v>215</v>
      </c>
      <c r="D35" s="145">
        <v>3</v>
      </c>
      <c r="E35" s="44" t="s">
        <v>349</v>
      </c>
      <c r="F35" s="43"/>
      <c r="G35" s="136"/>
      <c r="H35" s="136"/>
      <c r="I35" s="136"/>
      <c r="J35" s="136"/>
      <c r="K35" s="136"/>
      <c r="L35" s="136"/>
      <c r="M35" s="136"/>
      <c r="N35" s="136"/>
      <c r="O35" s="136"/>
      <c r="P35" s="136"/>
      <c r="Q35" s="136"/>
      <c r="R35" s="136"/>
      <c r="S35" s="136"/>
      <c r="T35" s="136"/>
      <c r="U35" s="136"/>
    </row>
    <row r="36" spans="3:21">
      <c r="C36" s="48" t="s">
        <v>215</v>
      </c>
      <c r="D36" s="145">
        <v>4</v>
      </c>
      <c r="E36" s="44" t="s">
        <v>350</v>
      </c>
      <c r="F36" s="43"/>
      <c r="G36" s="136"/>
      <c r="H36" s="136"/>
      <c r="I36" s="136"/>
      <c r="J36" s="136"/>
      <c r="K36" s="136"/>
      <c r="L36" s="136"/>
      <c r="M36" s="136"/>
      <c r="N36" s="136"/>
      <c r="O36" s="136"/>
      <c r="P36" s="136"/>
      <c r="Q36" s="136"/>
      <c r="R36" s="136"/>
      <c r="S36" s="136"/>
      <c r="T36" s="136"/>
      <c r="U36" s="136"/>
    </row>
    <row r="37" spans="3:21">
      <c r="C37" s="136"/>
      <c r="D37" s="136"/>
      <c r="E37" s="136"/>
      <c r="F37" s="43"/>
      <c r="G37" s="136"/>
      <c r="H37" s="136"/>
      <c r="I37" s="136"/>
      <c r="J37" s="136"/>
      <c r="K37" s="136"/>
      <c r="L37" s="136"/>
      <c r="M37" s="136"/>
      <c r="N37" s="136"/>
      <c r="O37" s="136"/>
      <c r="P37" s="136"/>
      <c r="Q37" s="136"/>
      <c r="R37" s="136"/>
      <c r="S37" s="136"/>
      <c r="T37" s="136"/>
      <c r="U37" s="136"/>
    </row>
    <row r="38" spans="3:21">
      <c r="C38" s="42" t="s">
        <v>70</v>
      </c>
      <c r="D38" s="145"/>
      <c r="E38" s="145"/>
      <c r="F38" s="43"/>
      <c r="G38" s="136"/>
      <c r="H38" s="136"/>
      <c r="I38" s="136"/>
      <c r="J38" s="136"/>
      <c r="K38" s="136"/>
      <c r="L38" s="136"/>
      <c r="M38" s="136"/>
      <c r="N38" s="136"/>
      <c r="O38" s="136"/>
      <c r="P38" s="136"/>
      <c r="Q38" s="136"/>
      <c r="R38" s="136"/>
      <c r="S38" s="136"/>
      <c r="T38" s="136"/>
      <c r="U38" s="136"/>
    </row>
    <row r="39" spans="3:21">
      <c r="C39" s="148" t="s">
        <v>71</v>
      </c>
      <c r="D39" s="145"/>
      <c r="E39" s="145"/>
      <c r="F39" s="43"/>
      <c r="G39" s="136"/>
      <c r="H39" s="136"/>
      <c r="I39" s="136"/>
      <c r="J39" s="136"/>
      <c r="K39" s="136"/>
      <c r="L39" s="136"/>
      <c r="M39" s="136"/>
      <c r="N39" s="136"/>
      <c r="O39" s="136"/>
      <c r="P39" s="136"/>
      <c r="Q39" s="136"/>
      <c r="R39" s="136"/>
      <c r="S39" s="136"/>
      <c r="T39" s="136"/>
      <c r="U39" s="136"/>
    </row>
    <row r="40" spans="3:21">
      <c r="C40" s="48" t="s">
        <v>217</v>
      </c>
      <c r="D40" s="145"/>
      <c r="E40" s="44">
        <v>9</v>
      </c>
      <c r="F40" s="410" t="s">
        <v>73</v>
      </c>
      <c r="G40" s="410"/>
      <c r="H40" s="410"/>
      <c r="I40" s="410"/>
      <c r="J40" s="410"/>
      <c r="K40" s="136"/>
      <c r="L40" s="136"/>
      <c r="M40" s="136"/>
      <c r="N40" s="136"/>
      <c r="O40" s="136"/>
      <c r="P40" s="136"/>
      <c r="Q40" s="136"/>
      <c r="R40" s="136"/>
      <c r="S40" s="136"/>
      <c r="T40" s="136"/>
      <c r="U40" s="136"/>
    </row>
    <row r="41" spans="3:21">
      <c r="C41" s="48"/>
      <c r="D41" s="145"/>
      <c r="E41" s="145"/>
      <c r="F41" s="410"/>
      <c r="G41" s="410"/>
      <c r="H41" s="410"/>
      <c r="I41" s="410"/>
      <c r="J41" s="410"/>
      <c r="K41" s="136"/>
      <c r="L41" s="136"/>
      <c r="M41" s="136"/>
      <c r="N41" s="136"/>
      <c r="O41" s="136"/>
      <c r="P41" s="136"/>
      <c r="Q41" s="136"/>
      <c r="R41" s="136"/>
      <c r="S41" s="136"/>
      <c r="T41" s="136"/>
      <c r="U41" s="136"/>
    </row>
    <row r="42" spans="3:21">
      <c r="C42" s="48" t="s">
        <v>216</v>
      </c>
      <c r="D42" s="145">
        <v>1</v>
      </c>
      <c r="E42" s="44" t="s">
        <v>351</v>
      </c>
      <c r="F42" s="43"/>
      <c r="G42" s="136"/>
      <c r="H42" s="136"/>
      <c r="I42" s="136"/>
      <c r="J42" s="136"/>
      <c r="K42" s="136"/>
      <c r="L42" s="136"/>
      <c r="M42" s="136"/>
      <c r="N42" s="136"/>
      <c r="O42" s="136"/>
      <c r="P42" s="136"/>
      <c r="Q42" s="136"/>
      <c r="R42" s="136"/>
      <c r="S42" s="136"/>
      <c r="T42" s="136"/>
      <c r="U42" s="136"/>
    </row>
    <row r="43" spans="3:21">
      <c r="C43" s="48" t="s">
        <v>216</v>
      </c>
      <c r="D43" s="145">
        <v>2</v>
      </c>
      <c r="E43" s="44" t="s">
        <v>352</v>
      </c>
      <c r="F43" s="43"/>
      <c r="G43" s="136"/>
      <c r="H43" s="136"/>
      <c r="I43" s="136"/>
      <c r="J43" s="136"/>
      <c r="K43" s="136"/>
      <c r="L43" s="136"/>
      <c r="M43" s="136"/>
      <c r="N43" s="136"/>
      <c r="O43" s="136"/>
      <c r="P43" s="136"/>
      <c r="Q43" s="136"/>
      <c r="R43" s="136"/>
      <c r="S43" s="136"/>
      <c r="T43" s="136"/>
      <c r="U43" s="136"/>
    </row>
    <row r="44" spans="3:21">
      <c r="C44" s="48" t="s">
        <v>216</v>
      </c>
      <c r="D44" s="145">
        <v>3</v>
      </c>
      <c r="E44" s="44" t="s">
        <v>353</v>
      </c>
      <c r="F44" s="43"/>
      <c r="G44" s="136"/>
      <c r="H44" s="136"/>
      <c r="I44" s="136"/>
      <c r="J44" s="136"/>
      <c r="K44" s="136"/>
      <c r="L44" s="136"/>
      <c r="M44" s="136"/>
      <c r="N44" s="136"/>
      <c r="O44" s="136"/>
      <c r="P44" s="136"/>
      <c r="Q44" s="136"/>
      <c r="R44" s="136"/>
      <c r="S44" s="136"/>
      <c r="T44" s="136"/>
      <c r="U44" s="136"/>
    </row>
    <row r="45" spans="3:21">
      <c r="C45" s="48" t="s">
        <v>216</v>
      </c>
      <c r="D45" s="145">
        <v>4</v>
      </c>
      <c r="E45" s="44" t="s">
        <v>354</v>
      </c>
      <c r="F45" s="43"/>
      <c r="G45" s="136"/>
      <c r="H45" s="136"/>
      <c r="I45" s="136"/>
      <c r="J45" s="136"/>
      <c r="K45" s="136"/>
      <c r="L45" s="136"/>
      <c r="M45" s="136"/>
      <c r="N45" s="136"/>
      <c r="O45" s="136"/>
      <c r="P45" s="136"/>
      <c r="Q45" s="136"/>
      <c r="R45" s="136"/>
      <c r="S45" s="136"/>
      <c r="T45" s="136"/>
      <c r="U45" s="136"/>
    </row>
    <row r="46" spans="3:21">
      <c r="C46" s="48" t="s">
        <v>216</v>
      </c>
      <c r="D46" s="145">
        <v>5</v>
      </c>
      <c r="E46" s="44" t="s">
        <v>355</v>
      </c>
      <c r="F46" s="43"/>
      <c r="G46" s="136"/>
      <c r="H46" s="136"/>
      <c r="I46" s="136"/>
      <c r="J46" s="136"/>
      <c r="K46" s="136"/>
      <c r="L46" s="136"/>
      <c r="M46" s="136"/>
      <c r="N46" s="136"/>
      <c r="O46" s="136"/>
      <c r="P46" s="136"/>
      <c r="Q46" s="136"/>
      <c r="R46" s="136"/>
      <c r="S46" s="136"/>
      <c r="T46" s="136"/>
      <c r="U46" s="136"/>
    </row>
    <row r="47" spans="3:21">
      <c r="C47" s="48" t="s">
        <v>216</v>
      </c>
      <c r="D47" s="145">
        <v>6</v>
      </c>
      <c r="E47" s="44" t="s">
        <v>356</v>
      </c>
      <c r="F47" s="43"/>
      <c r="G47" s="136"/>
      <c r="H47" s="136"/>
      <c r="I47" s="136"/>
      <c r="J47" s="136"/>
      <c r="K47" s="136"/>
      <c r="L47" s="136"/>
      <c r="M47" s="136"/>
      <c r="N47" s="136"/>
      <c r="O47" s="136"/>
      <c r="P47" s="136"/>
      <c r="Q47" s="136"/>
      <c r="R47" s="136"/>
      <c r="S47" s="136"/>
      <c r="T47" s="136"/>
      <c r="U47" s="136"/>
    </row>
    <row r="48" spans="3:21">
      <c r="C48" s="48" t="s">
        <v>216</v>
      </c>
      <c r="D48" s="145">
        <v>7</v>
      </c>
      <c r="E48" s="44" t="s">
        <v>357</v>
      </c>
      <c r="F48" s="43"/>
      <c r="G48" s="136"/>
      <c r="H48" s="136"/>
      <c r="I48" s="136"/>
      <c r="J48" s="136"/>
      <c r="K48" s="136"/>
      <c r="L48" s="136"/>
      <c r="M48" s="136"/>
      <c r="N48" s="136"/>
      <c r="O48" s="136"/>
      <c r="P48" s="136"/>
      <c r="Q48" s="136"/>
      <c r="R48" s="136"/>
      <c r="S48" s="136"/>
      <c r="T48" s="136"/>
      <c r="U48" s="136"/>
    </row>
    <row r="49" spans="3:12">
      <c r="C49" s="48" t="s">
        <v>216</v>
      </c>
      <c r="D49" s="145">
        <v>8</v>
      </c>
      <c r="E49" s="44" t="s">
        <v>358</v>
      </c>
      <c r="F49" s="43"/>
      <c r="G49" s="136"/>
      <c r="H49" s="136"/>
      <c r="I49" s="136"/>
      <c r="J49" s="136"/>
      <c r="K49" s="136"/>
      <c r="L49" s="136"/>
    </row>
    <row r="50" spans="3:12">
      <c r="C50" s="48" t="s">
        <v>216</v>
      </c>
      <c r="D50" s="145">
        <v>9</v>
      </c>
      <c r="E50" s="44" t="s">
        <v>359</v>
      </c>
      <c r="F50" s="43"/>
      <c r="G50" s="136"/>
      <c r="H50" s="136"/>
      <c r="I50" s="136"/>
      <c r="J50" s="136"/>
      <c r="K50" s="136"/>
      <c r="L50" s="136"/>
    </row>
    <row r="51" spans="3:12">
      <c r="C51" s="48" t="s">
        <v>216</v>
      </c>
      <c r="D51" s="145">
        <v>10</v>
      </c>
      <c r="E51" s="44"/>
      <c r="F51" s="43"/>
      <c r="G51" s="136"/>
      <c r="H51" s="136"/>
      <c r="I51" s="136"/>
      <c r="J51" s="136"/>
      <c r="K51" s="136"/>
      <c r="L51" s="136"/>
    </row>
    <row r="52" spans="3:12">
      <c r="C52" s="42"/>
      <c r="D52" s="42"/>
      <c r="E52" s="42"/>
      <c r="F52" s="43"/>
      <c r="G52" s="136"/>
      <c r="H52" s="136"/>
      <c r="I52" s="136"/>
      <c r="J52" s="136"/>
      <c r="K52" s="136"/>
      <c r="L52" s="136"/>
    </row>
    <row r="53" spans="3:12">
      <c r="C53" s="42" t="s">
        <v>218</v>
      </c>
      <c r="D53" s="42"/>
      <c r="E53" s="42"/>
      <c r="F53" s="43"/>
      <c r="G53" s="136"/>
      <c r="H53" s="136"/>
      <c r="I53" s="136"/>
      <c r="J53" s="136"/>
      <c r="K53" s="136"/>
      <c r="L53" s="136"/>
    </row>
    <row r="54" spans="3:12">
      <c r="C54" s="148" t="s">
        <v>219</v>
      </c>
      <c r="D54" s="42"/>
      <c r="E54" s="42"/>
      <c r="F54" s="43"/>
      <c r="G54" s="136"/>
      <c r="H54" s="136"/>
      <c r="I54" s="136"/>
      <c r="J54" s="136"/>
      <c r="K54" s="136"/>
      <c r="L54" s="136"/>
    </row>
    <row r="55" spans="3:12" ht="15" customHeight="1">
      <c r="C55" s="48" t="s">
        <v>220</v>
      </c>
      <c r="D55" s="42"/>
      <c r="E55" s="44" t="s">
        <v>360</v>
      </c>
      <c r="F55" s="410" t="s">
        <v>74</v>
      </c>
      <c r="G55" s="410"/>
      <c r="H55" s="410"/>
      <c r="I55" s="410"/>
      <c r="J55" s="410"/>
      <c r="K55" s="307"/>
      <c r="L55" s="307"/>
    </row>
    <row r="56" spans="3:12">
      <c r="C56" s="48"/>
      <c r="D56" s="48"/>
      <c r="E56" s="48"/>
      <c r="F56" s="410"/>
      <c r="G56" s="410"/>
      <c r="H56" s="410"/>
      <c r="I56" s="410"/>
      <c r="J56" s="410"/>
      <c r="K56" s="307"/>
      <c r="L56" s="307"/>
    </row>
    <row r="57" spans="3:12">
      <c r="C57" s="48" t="s">
        <v>221</v>
      </c>
      <c r="D57" s="42"/>
      <c r="E57" s="44" t="s">
        <v>361</v>
      </c>
      <c r="F57" s="408" t="s">
        <v>75</v>
      </c>
      <c r="G57" s="409"/>
      <c r="H57" s="409"/>
      <c r="I57" s="409"/>
      <c r="J57" s="409"/>
      <c r="K57" s="409"/>
      <c r="L57" s="136"/>
    </row>
    <row r="58" spans="3:12">
      <c r="C58" s="48" t="s">
        <v>222</v>
      </c>
      <c r="D58" s="42"/>
      <c r="E58" s="44" t="s">
        <v>362</v>
      </c>
      <c r="F58" s="408"/>
      <c r="G58" s="409"/>
      <c r="H58" s="409"/>
      <c r="I58" s="409"/>
      <c r="J58" s="409"/>
      <c r="K58" s="409"/>
      <c r="L58" s="136"/>
    </row>
    <row r="59" spans="3:12">
      <c r="C59" s="48" t="s">
        <v>223</v>
      </c>
      <c r="D59" s="42"/>
      <c r="E59" s="44" t="s">
        <v>363</v>
      </c>
      <c r="F59" s="43" t="s">
        <v>76</v>
      </c>
      <c r="G59" s="136"/>
      <c r="H59" s="136"/>
      <c r="I59" s="136"/>
      <c r="J59" s="136"/>
      <c r="K59" s="136"/>
      <c r="L59" s="136"/>
    </row>
    <row r="60" spans="3:12">
      <c r="C60" s="136"/>
      <c r="D60" s="83"/>
      <c r="E60" s="136"/>
      <c r="F60" s="43"/>
      <c r="G60" s="136"/>
      <c r="H60" s="136"/>
      <c r="I60" s="136"/>
      <c r="J60" s="136"/>
      <c r="K60" s="136"/>
      <c r="L60" s="136"/>
    </row>
    <row r="61" spans="3:12">
      <c r="C61" s="136"/>
      <c r="D61" s="83"/>
      <c r="E61" s="136"/>
      <c r="F61" s="43"/>
      <c r="G61" s="136"/>
      <c r="H61" s="136"/>
      <c r="I61" s="136"/>
      <c r="J61" s="136"/>
      <c r="K61" s="136"/>
      <c r="L61" s="136"/>
    </row>
    <row r="62" spans="3:12">
      <c r="C62" s="136"/>
      <c r="D62" s="83"/>
      <c r="E62" s="136"/>
      <c r="F62" s="43"/>
      <c r="G62" s="136"/>
      <c r="H62" s="136"/>
      <c r="I62" s="136"/>
      <c r="J62" s="136"/>
      <c r="K62" s="136"/>
      <c r="L62" s="136"/>
    </row>
    <row r="63" spans="3:12">
      <c r="C63" s="136"/>
      <c r="D63" s="83"/>
      <c r="E63" s="136"/>
      <c r="F63" s="43"/>
      <c r="G63" s="136"/>
      <c r="H63" s="136"/>
      <c r="I63" s="136"/>
      <c r="J63" s="136"/>
      <c r="K63" s="136"/>
      <c r="L63" s="136"/>
    </row>
    <row r="66" spans="2:14">
      <c r="C66" s="7"/>
      <c r="D66" s="7"/>
      <c r="E66" s="7"/>
      <c r="F66" s="7"/>
      <c r="G66" s="7"/>
      <c r="H66" s="7"/>
      <c r="I66" s="7"/>
      <c r="J66" s="7"/>
      <c r="K66" s="7"/>
      <c r="L66" s="7"/>
    </row>
    <row r="67" spans="2:14">
      <c r="C67" s="65"/>
      <c r="D67" s="65"/>
      <c r="E67" s="65"/>
      <c r="F67" s="65"/>
      <c r="G67" s="65"/>
      <c r="H67" s="65"/>
      <c r="I67" s="65"/>
      <c r="J67" s="65"/>
      <c r="K67" s="65"/>
      <c r="L67" s="65"/>
      <c r="M67" s="65"/>
      <c r="N67" s="65"/>
    </row>
    <row r="68" spans="2:14" ht="15" customHeight="1">
      <c r="C68" s="406" t="s">
        <v>224</v>
      </c>
      <c r="D68" s="406"/>
      <c r="E68" s="406"/>
      <c r="F68" s="406"/>
      <c r="G68" s="406"/>
      <c r="H68" s="406"/>
      <c r="I68" s="406"/>
      <c r="J68" s="406"/>
      <c r="K68" s="406"/>
      <c r="L68" s="406"/>
      <c r="M68" s="406"/>
      <c r="N68" s="406"/>
    </row>
    <row r="69" spans="2:14">
      <c r="C69" s="406"/>
      <c r="D69" s="406"/>
      <c r="E69" s="406"/>
      <c r="F69" s="406"/>
      <c r="G69" s="406"/>
      <c r="H69" s="406"/>
      <c r="I69" s="406"/>
      <c r="J69" s="406"/>
      <c r="K69" s="406"/>
      <c r="L69" s="406"/>
      <c r="M69" s="406"/>
      <c r="N69" s="406"/>
    </row>
    <row r="70" spans="2:14" s="1" customFormat="1" ht="85.95" customHeight="1">
      <c r="B70" s="405" t="e" vm="1">
        <v>#VALUE!</v>
      </c>
      <c r="C70" s="405"/>
      <c r="D70" s="405"/>
      <c r="E70" s="405"/>
      <c r="F70" s="405"/>
      <c r="G70" s="405"/>
      <c r="H70" s="405"/>
      <c r="I70" s="405"/>
      <c r="J70" s="405"/>
      <c r="K70" s="405"/>
      <c r="L70" s="405"/>
      <c r="M70" s="405"/>
      <c r="N70" s="405"/>
    </row>
  </sheetData>
  <sheetProtection algorithmName="SHA-512" hashValue="4NoPnzzsXKJV4cOIQhPZbzxuNg9aTJZyQAZOD/F5reEZDv5hMJgquJG7jIIfRAMepcdY8wv4QezNunUn/j+hWQ==" saltValue="YjL0cm/yPCU3Blpx+C8dNw==" spinCount="100000" sheet="1" objects="1" scenarios="1" formatCells="0" formatColumns="0" formatRows="0"/>
  <protectedRanges>
    <protectedRange sqref="E9:E26 E28:E32 E37:E41 E51:E54 E56 E59:E64" name="Intervalo2"/>
    <protectedRange sqref="E27" name="Intervalo2_1"/>
    <protectedRange sqref="E33:E36" name="Intervalo2_2"/>
    <protectedRange sqref="E42:E50" name="Intervalo2_3"/>
    <protectedRange sqref="E55" name="Intervalo2_4"/>
    <protectedRange sqref="E57:E58" name="Intervalo2_5"/>
  </protectedRanges>
  <mergeCells count="8">
    <mergeCell ref="B70:N70"/>
    <mergeCell ref="C68:N69"/>
    <mergeCell ref="C27:C28"/>
    <mergeCell ref="F8:I8"/>
    <mergeCell ref="F40:J41"/>
    <mergeCell ref="F31:K32"/>
    <mergeCell ref="F55:J56"/>
    <mergeCell ref="F57:K58"/>
  </mergeCells>
  <phoneticPr fontId="2" type="noConversion"/>
  <conditionalFormatting sqref="E51">
    <cfRule type="expression" dxfId="102" priority="5" stopIfTrue="1">
      <formula>$E$40&lt;D51</formula>
    </cfRule>
  </conditionalFormatting>
  <conditionalFormatting sqref="E34 E36">
    <cfRule type="expression" dxfId="101" priority="2">
      <formula>$E$31&lt;D34</formula>
    </cfRule>
  </conditionalFormatting>
  <conditionalFormatting sqref="E43:E50">
    <cfRule type="expression" dxfId="100" priority="1" stopIfTrue="1">
      <formula>$E$40&lt;D43</formula>
    </cfRule>
  </conditionalFormatting>
  <dataValidations count="2">
    <dataValidation type="list" allowBlank="1" showInputMessage="1" showErrorMessage="1" sqref="E31" xr:uid="{002524FC-CAD6-491E-9DDB-3B3214DCB9EF}">
      <formula1>$Q$5:$Q$8</formula1>
    </dataValidation>
    <dataValidation type="list" allowBlank="1" showInputMessage="1" showErrorMessage="1" sqref="E40" xr:uid="{0F1A0210-B0E6-4BCD-A10C-84A0CDA1BFA3}">
      <formula1>$Q$5:$Q$14</formula1>
    </dataValidation>
  </dataValidations>
  <pageMargins left="0.511811024" right="0.511811024" top="0.78740157499999996" bottom="0.78740157499999996" header="0.31496062000000002" footer="0.31496062000000002"/>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E63D5-D22D-4DA2-93AE-98035830CD08}">
  <sheetPr codeName="Planilha11">
    <tabColor rgb="FFDDCFAD"/>
  </sheetPr>
  <dimension ref="A1:Z269"/>
  <sheetViews>
    <sheetView showGridLines="0" showRowColHeaders="0" topLeftCell="A76" zoomScaleNormal="100" workbookViewId="0">
      <selection activeCell="H76" sqref="H76"/>
    </sheetView>
  </sheetViews>
  <sheetFormatPr defaultColWidth="8.77734375" defaultRowHeight="14.4"/>
  <cols>
    <col min="1" max="1" width="6.77734375" style="3" customWidth="1"/>
    <col min="2" max="2" width="21.6640625" style="3" customWidth="1"/>
    <col min="3" max="7" width="13.44140625" style="3" customWidth="1"/>
    <col min="8" max="8" width="33.77734375" style="182" customWidth="1"/>
    <col min="9" max="9" width="8.77734375" style="3" customWidth="1"/>
    <col min="10" max="14" width="15.109375" style="3" hidden="1" customWidth="1"/>
    <col min="15" max="15" width="8.77734375" style="3" hidden="1" customWidth="1"/>
    <col min="16" max="16" width="13" style="172" hidden="1" customWidth="1"/>
    <col min="17" max="18" width="8.77734375" style="3" hidden="1" customWidth="1"/>
    <col min="19" max="38" width="8.77734375" style="3" customWidth="1"/>
    <col min="39" max="16384" width="8.77734375" style="3"/>
  </cols>
  <sheetData>
    <row r="1" spans="1:20" s="157" customFormat="1" ht="33.6">
      <c r="A1" s="153"/>
      <c r="B1" s="154" t="str">
        <f>Definitions!$E$8</f>
        <v>Budget impact analysis of treatments for Patients at high and very high cardiovascular risk</v>
      </c>
      <c r="C1" s="154"/>
      <c r="D1" s="155"/>
      <c r="E1" s="153"/>
      <c r="F1" s="153"/>
      <c r="G1" s="153"/>
      <c r="H1" s="156"/>
      <c r="I1" s="153"/>
      <c r="J1" s="153"/>
      <c r="K1" s="153"/>
      <c r="L1" s="153"/>
      <c r="M1" s="153"/>
      <c r="N1" s="153"/>
      <c r="O1" s="153"/>
      <c r="P1" s="153"/>
      <c r="Q1" s="153"/>
      <c r="R1" s="153"/>
      <c r="S1" s="153"/>
      <c r="T1" s="153"/>
    </row>
    <row r="2" spans="1:20" s="157" customFormat="1" ht="18">
      <c r="A2" s="153"/>
      <c r="B2" s="158"/>
      <c r="C2" s="158"/>
      <c r="D2" s="159"/>
      <c r="E2" s="160"/>
      <c r="F2" s="160"/>
      <c r="G2" s="160"/>
      <c r="H2" s="161"/>
      <c r="I2" s="160"/>
      <c r="J2" s="160"/>
      <c r="K2" s="160"/>
      <c r="L2" s="160"/>
      <c r="M2" s="153"/>
      <c r="N2" s="153"/>
      <c r="O2" s="153"/>
      <c r="P2" s="153"/>
      <c r="Q2" s="153"/>
      <c r="R2" s="153"/>
      <c r="S2" s="153"/>
      <c r="T2" s="153"/>
    </row>
    <row r="3" spans="1:20" s="134" customFormat="1" ht="2.25" customHeight="1">
      <c r="D3" s="135"/>
      <c r="H3" s="162"/>
    </row>
    <row r="4" spans="1:20" s="142" customFormat="1">
      <c r="A4" s="136"/>
      <c r="B4" s="136"/>
      <c r="C4" s="136"/>
      <c r="D4" s="163"/>
      <c r="E4" s="136"/>
      <c r="F4" s="43"/>
      <c r="G4" s="136"/>
      <c r="H4" s="136"/>
      <c r="I4" s="136"/>
      <c r="J4" s="136"/>
      <c r="K4" s="136"/>
      <c r="L4" s="136"/>
      <c r="M4" s="136"/>
      <c r="N4" s="136"/>
      <c r="O4" s="136"/>
      <c r="P4" s="136"/>
      <c r="Q4" s="136"/>
      <c r="R4" s="136"/>
      <c r="S4" s="136"/>
      <c r="T4" s="136"/>
    </row>
    <row r="5" spans="1:20" s="137" customFormat="1" ht="18">
      <c r="A5" s="136"/>
      <c r="B5" s="140" t="s">
        <v>78</v>
      </c>
      <c r="D5" s="138"/>
      <c r="F5" s="43"/>
    </row>
    <row r="6" spans="1:20" s="137" customFormat="1">
      <c r="A6" s="136"/>
      <c r="B6" s="136" t="s">
        <v>84</v>
      </c>
      <c r="D6" s="138"/>
      <c r="F6" s="43"/>
    </row>
    <row r="7" spans="1:20" s="142" customFormat="1">
      <c r="A7" s="136"/>
      <c r="B7" s="136"/>
      <c r="C7" s="136"/>
      <c r="D7" s="163"/>
      <c r="E7" s="136"/>
      <c r="F7" s="43"/>
      <c r="G7" s="136"/>
      <c r="H7" s="136"/>
      <c r="I7" s="136"/>
      <c r="J7" s="136"/>
      <c r="K7" s="136"/>
      <c r="L7" s="136"/>
      <c r="M7" s="136"/>
      <c r="N7" s="136"/>
      <c r="O7" s="136"/>
      <c r="P7" s="136"/>
      <c r="Q7" s="136"/>
      <c r="R7" s="136"/>
      <c r="S7" s="136"/>
      <c r="T7" s="136"/>
    </row>
    <row r="8" spans="1:20" s="142" customFormat="1">
      <c r="A8" s="136"/>
      <c r="B8" s="136"/>
      <c r="C8" s="42" t="s">
        <v>80</v>
      </c>
      <c r="D8" s="83"/>
      <c r="E8" s="164" t="s">
        <v>79</v>
      </c>
      <c r="F8" s="43" t="s">
        <v>86</v>
      </c>
      <c r="G8" s="136"/>
      <c r="I8" s="136"/>
      <c r="J8" s="136"/>
      <c r="K8" s="136"/>
      <c r="L8" s="136"/>
      <c r="M8" s="139">
        <f>IF(E8="5 anos",5,IF(E8="4 anos",4,3))</f>
        <v>3</v>
      </c>
      <c r="N8" s="136"/>
      <c r="O8" s="136"/>
      <c r="P8" s="136"/>
      <c r="Q8" s="136"/>
      <c r="R8" s="136"/>
      <c r="S8" s="136"/>
      <c r="T8" s="136"/>
    </row>
    <row r="9" spans="1:20" s="142" customFormat="1">
      <c r="A9" s="136"/>
      <c r="B9" s="136"/>
      <c r="C9" s="136"/>
      <c r="D9" s="83"/>
      <c r="E9" s="136"/>
      <c r="F9" s="43"/>
      <c r="G9" s="136"/>
      <c r="H9" s="136"/>
      <c r="I9" s="136"/>
      <c r="J9" s="136"/>
      <c r="K9" s="136"/>
      <c r="L9" s="136"/>
      <c r="M9" s="136"/>
      <c r="N9" s="136"/>
      <c r="O9" s="136"/>
      <c r="P9" s="136"/>
      <c r="Q9" s="136"/>
      <c r="R9" s="136"/>
      <c r="S9" s="136"/>
      <c r="T9" s="136"/>
    </row>
    <row r="10" spans="1:20" s="142" customFormat="1">
      <c r="A10" s="136"/>
      <c r="B10" s="136"/>
      <c r="C10" s="42" t="s">
        <v>87</v>
      </c>
      <c r="D10" s="83"/>
      <c r="E10" s="44">
        <v>2026</v>
      </c>
      <c r="F10" s="43" t="s">
        <v>85</v>
      </c>
      <c r="G10" s="136"/>
      <c r="H10" s="136"/>
      <c r="I10" s="136"/>
      <c r="J10" s="136"/>
      <c r="K10" s="136"/>
      <c r="L10" s="136"/>
      <c r="M10" s="136"/>
      <c r="N10" s="136"/>
      <c r="O10" s="136"/>
      <c r="P10" s="136"/>
      <c r="Q10" s="136"/>
      <c r="R10" s="136"/>
      <c r="S10" s="136"/>
      <c r="T10" s="136"/>
    </row>
    <row r="11" spans="1:20" s="142" customFormat="1">
      <c r="A11" s="136"/>
      <c r="B11" s="136"/>
      <c r="C11" s="136"/>
      <c r="D11" s="83"/>
      <c r="E11" s="136"/>
      <c r="F11" s="43"/>
      <c r="G11" s="136"/>
      <c r="H11" s="136"/>
      <c r="I11" s="136"/>
      <c r="J11" s="136"/>
      <c r="K11" s="136"/>
      <c r="L11" s="136"/>
      <c r="M11" s="136"/>
      <c r="N11" s="136"/>
      <c r="O11" s="136"/>
      <c r="P11" s="136"/>
      <c r="Q11" s="136"/>
      <c r="R11" s="136"/>
      <c r="S11" s="136"/>
      <c r="T11" s="136"/>
    </row>
    <row r="12" spans="1:20" customFormat="1">
      <c r="B12" s="63"/>
      <c r="C12" s="63"/>
      <c r="D12" s="7"/>
      <c r="E12" s="7"/>
      <c r="F12" s="7"/>
      <c r="G12" s="7"/>
      <c r="H12" s="7"/>
      <c r="I12" s="7"/>
      <c r="J12" s="7"/>
      <c r="K12" s="7"/>
      <c r="L12" s="7"/>
      <c r="M12" s="7"/>
      <c r="N12" s="7"/>
      <c r="O12" s="7"/>
      <c r="P12" s="7"/>
      <c r="Q12" s="7"/>
      <c r="R12" s="7"/>
      <c r="S12" s="7"/>
      <c r="T12" s="7"/>
    </row>
    <row r="13" spans="1:20" customFormat="1">
      <c r="B13" s="64"/>
      <c r="C13" s="64"/>
      <c r="D13" s="65"/>
      <c r="E13" s="65"/>
      <c r="F13" s="65"/>
      <c r="G13" s="65"/>
      <c r="H13" s="65"/>
      <c r="I13" s="65"/>
      <c r="J13" s="65"/>
      <c r="K13" s="65"/>
      <c r="L13" s="65"/>
      <c r="M13" s="65"/>
      <c r="N13" s="65"/>
      <c r="O13" s="7"/>
      <c r="P13" s="7"/>
      <c r="Q13" s="7"/>
      <c r="R13" s="7"/>
      <c r="S13" s="7"/>
      <c r="T13" s="7"/>
    </row>
    <row r="14" spans="1:20" s="142" customFormat="1">
      <c r="A14" s="136"/>
      <c r="B14" s="136"/>
      <c r="C14" s="136"/>
      <c r="D14" s="163"/>
      <c r="E14" s="136"/>
      <c r="F14" s="43"/>
      <c r="G14" s="136"/>
      <c r="H14" s="136"/>
      <c r="I14" s="136"/>
      <c r="J14" s="136"/>
      <c r="K14" s="136"/>
      <c r="L14" s="136"/>
      <c r="M14" s="136"/>
      <c r="N14" s="136"/>
      <c r="O14" s="136"/>
      <c r="P14" s="136"/>
      <c r="Q14" s="136"/>
      <c r="R14" s="136"/>
      <c r="S14" s="136"/>
      <c r="T14" s="136"/>
    </row>
    <row r="15" spans="1:20" s="137" customFormat="1" ht="18">
      <c r="A15" s="136"/>
      <c r="B15" s="140" t="s">
        <v>2</v>
      </c>
      <c r="D15" s="138"/>
      <c r="F15" s="43"/>
    </row>
    <row r="16" spans="1:20" s="137" customFormat="1">
      <c r="A16" s="136"/>
      <c r="B16" s="136" t="s">
        <v>88</v>
      </c>
      <c r="D16" s="138"/>
      <c r="F16" s="43"/>
    </row>
    <row r="17" spans="1:18" s="142" customFormat="1">
      <c r="A17" s="136"/>
      <c r="B17" s="136" t="s">
        <v>339</v>
      </c>
      <c r="C17" s="136"/>
      <c r="D17" s="163"/>
      <c r="E17" s="136"/>
      <c r="F17" s="43"/>
      <c r="G17" s="136"/>
      <c r="H17" s="136"/>
      <c r="I17" s="136"/>
      <c r="J17" s="136"/>
      <c r="K17" s="136"/>
      <c r="L17" s="136"/>
      <c r="M17" s="136"/>
      <c r="N17" s="136"/>
      <c r="O17" s="136"/>
      <c r="P17" s="136"/>
      <c r="Q17" s="136"/>
      <c r="R17" s="136"/>
    </row>
    <row r="18" spans="1:18" s="142" customFormat="1" ht="15.6">
      <c r="A18" s="136"/>
      <c r="B18" s="136" t="s">
        <v>340</v>
      </c>
      <c r="C18" s="83"/>
      <c r="D18" s="83"/>
      <c r="E18" s="83"/>
      <c r="F18" s="43"/>
      <c r="G18" s="136"/>
      <c r="H18" s="136"/>
      <c r="I18" s="136"/>
      <c r="J18" s="165" t="s">
        <v>3</v>
      </c>
      <c r="K18" s="136"/>
      <c r="L18" s="136"/>
      <c r="M18" s="136"/>
      <c r="N18" s="136"/>
      <c r="O18" s="136"/>
      <c r="P18" s="136"/>
      <c r="Q18" s="136"/>
      <c r="R18" s="136"/>
    </row>
    <row r="19" spans="1:18" s="166" customFormat="1" ht="18">
      <c r="B19" s="167" t="s">
        <v>83</v>
      </c>
      <c r="C19" s="168" t="str">
        <f>cen_atual</f>
        <v>without rosuvastatin</v>
      </c>
      <c r="D19" s="140"/>
      <c r="E19" s="140"/>
      <c r="F19" s="169"/>
      <c r="G19" s="140"/>
      <c r="H19" s="170"/>
      <c r="J19" s="171" t="str">
        <f>cen_atual</f>
        <v>without rosuvastatin</v>
      </c>
      <c r="K19" s="9"/>
      <c r="L19" s="9"/>
      <c r="M19" s="9"/>
      <c r="N19" s="9"/>
      <c r="O19" s="9"/>
      <c r="P19" s="172"/>
      <c r="Q19" s="9"/>
      <c r="R19" s="9"/>
    </row>
    <row r="20" spans="1:18">
      <c r="A20" s="9"/>
      <c r="B20" s="9"/>
      <c r="C20" s="9"/>
      <c r="D20" s="9"/>
      <c r="E20" s="9"/>
      <c r="F20" s="9"/>
      <c r="G20" s="9"/>
      <c r="H20" s="173"/>
      <c r="I20" s="9"/>
      <c r="J20" s="9"/>
      <c r="K20" s="9"/>
      <c r="L20" s="9"/>
      <c r="M20" s="9"/>
      <c r="N20" s="9"/>
      <c r="O20" s="9"/>
      <c r="Q20" s="9"/>
      <c r="R20" s="9"/>
    </row>
    <row r="21" spans="1:18">
      <c r="A21" s="9"/>
      <c r="B21" s="174" t="s">
        <v>81</v>
      </c>
      <c r="C21" s="174">
        <f>ano_1</f>
        <v>2026</v>
      </c>
      <c r="D21" s="174">
        <f>ano_1+1</f>
        <v>2027</v>
      </c>
      <c r="E21" s="174">
        <f>ano_1+2</f>
        <v>2028</v>
      </c>
      <c r="F21" s="174">
        <f>ano_1+3</f>
        <v>2029</v>
      </c>
      <c r="G21" s="174">
        <f>ano_1+4</f>
        <v>2030</v>
      </c>
      <c r="H21" s="173" t="s">
        <v>93</v>
      </c>
      <c r="I21" s="9"/>
      <c r="J21" s="174">
        <f>ano_1</f>
        <v>2026</v>
      </c>
      <c r="K21" s="174">
        <f>ano_1+1</f>
        <v>2027</v>
      </c>
      <c r="L21" s="174">
        <f>ano_1+2</f>
        <v>2028</v>
      </c>
      <c r="M21" s="174">
        <f>ano_1+3</f>
        <v>2029</v>
      </c>
      <c r="N21" s="174">
        <f>ano_1+4</f>
        <v>2030</v>
      </c>
      <c r="O21" s="9"/>
      <c r="P21" s="174" t="s">
        <v>4</v>
      </c>
      <c r="Q21" s="9"/>
      <c r="R21" s="9"/>
    </row>
    <row r="22" spans="1:18" ht="15" customHeight="1">
      <c r="A22" s="412" t="s">
        <v>91</v>
      </c>
      <c r="B22" s="175" t="str">
        <f>IF(intervencao1=0,"Do not fill this line",intervencao1)</f>
        <v>Rosuvastatin 5mg</v>
      </c>
      <c r="C22" s="51"/>
      <c r="D22" s="51"/>
      <c r="E22" s="51"/>
      <c r="F22" s="51"/>
      <c r="G22" s="51"/>
      <c r="H22" s="411" t="s">
        <v>95</v>
      </c>
      <c r="I22" s="9"/>
      <c r="J22" s="164">
        <f>C22*Results!$D$9</f>
        <v>0</v>
      </c>
      <c r="K22" s="164">
        <f>D22*Results!$E$9</f>
        <v>0</v>
      </c>
      <c r="L22" s="164">
        <f>E22*Results!$F$9</f>
        <v>0</v>
      </c>
      <c r="M22" s="164">
        <f>F22*Results!$G$9</f>
        <v>0</v>
      </c>
      <c r="N22" s="164">
        <f>G22*Results!$H$9</f>
        <v>0</v>
      </c>
      <c r="O22" s="9"/>
      <c r="P22" s="176" t="str">
        <f t="shared" ref="P22:P37" si="0">IF(B22="Do not fill this line","Não","Sim")</f>
        <v>Sim</v>
      </c>
      <c r="Q22" s="9"/>
      <c r="R22" s="9"/>
    </row>
    <row r="23" spans="1:18">
      <c r="A23" s="412"/>
      <c r="B23" s="175" t="str">
        <f>IF(intervencao2=0,"Do not fill this line",intervencao2)</f>
        <v>Rosuvastatin 10mg</v>
      </c>
      <c r="C23" s="51"/>
      <c r="D23" s="51"/>
      <c r="E23" s="51"/>
      <c r="F23" s="51"/>
      <c r="G23" s="51"/>
      <c r="H23" s="411"/>
      <c r="I23" s="9"/>
      <c r="J23" s="164">
        <f>C23*Results!$D$9</f>
        <v>0</v>
      </c>
      <c r="K23" s="164">
        <f>D23*Results!$E$9</f>
        <v>0</v>
      </c>
      <c r="L23" s="164">
        <f>E23*Results!$F$9</f>
        <v>0</v>
      </c>
      <c r="M23" s="164">
        <f>F23*Results!$G$9</f>
        <v>0</v>
      </c>
      <c r="N23" s="164">
        <f>G23*Results!$H$9</f>
        <v>0</v>
      </c>
      <c r="O23" s="9"/>
      <c r="P23" s="176" t="str">
        <f t="shared" si="0"/>
        <v>Sim</v>
      </c>
      <c r="Q23" s="9"/>
      <c r="R23" s="9"/>
    </row>
    <row r="24" spans="1:18">
      <c r="A24" s="412"/>
      <c r="B24" s="175" t="str">
        <f>IF(intervencao3=0,"Do not fill this line",intervencao3)</f>
        <v>Rosuvastatin 20mg</v>
      </c>
      <c r="C24" s="51"/>
      <c r="D24" s="51"/>
      <c r="E24" s="51"/>
      <c r="F24" s="51"/>
      <c r="G24" s="51"/>
      <c r="H24" s="411"/>
      <c r="I24" s="9"/>
      <c r="J24" s="164">
        <f>C24*Results!$D$9</f>
        <v>0</v>
      </c>
      <c r="K24" s="164">
        <f>D24*Results!$E$9</f>
        <v>0</v>
      </c>
      <c r="L24" s="164">
        <f>E24*Results!$F$9</f>
        <v>0</v>
      </c>
      <c r="M24" s="164">
        <f>F24*Results!$G$9</f>
        <v>0</v>
      </c>
      <c r="N24" s="164">
        <f>G24*Results!$H$9</f>
        <v>0</v>
      </c>
      <c r="O24" s="9"/>
      <c r="P24" s="176" t="str">
        <f t="shared" si="0"/>
        <v>Sim</v>
      </c>
      <c r="Q24" s="9"/>
      <c r="R24" s="9"/>
    </row>
    <row r="25" spans="1:18">
      <c r="A25" s="412"/>
      <c r="B25" s="175" t="str">
        <f>IF(intervencao4=0,"Do not fill this line",intervencao4)</f>
        <v>Rosuvastatin 40mg</v>
      </c>
      <c r="C25" s="51"/>
      <c r="D25" s="51"/>
      <c r="E25" s="51"/>
      <c r="F25" s="51"/>
      <c r="G25" s="51"/>
      <c r="H25" s="411"/>
      <c r="I25" s="9"/>
      <c r="J25" s="164">
        <f>C25*Results!$D$9</f>
        <v>0</v>
      </c>
      <c r="K25" s="164">
        <f>D25*Results!$E$9</f>
        <v>0</v>
      </c>
      <c r="L25" s="164">
        <f>E25*Results!$F$9</f>
        <v>0</v>
      </c>
      <c r="M25" s="164">
        <f>F25*Results!$G$9</f>
        <v>0</v>
      </c>
      <c r="N25" s="164">
        <f>G25*Results!$H$9</f>
        <v>0</v>
      </c>
      <c r="O25" s="9"/>
      <c r="P25" s="176" t="str">
        <f t="shared" si="0"/>
        <v>Sim</v>
      </c>
      <c r="Q25" s="9"/>
      <c r="R25" s="9"/>
    </row>
    <row r="26" spans="1:18" ht="15" customHeight="1">
      <c r="A26" s="413" t="s">
        <v>92</v>
      </c>
      <c r="B26" s="11" t="str">
        <f>IF(comparador1=0,"Do not fill this line",comparador1)</f>
        <v>Atorvastatin 10mg</v>
      </c>
      <c r="C26" s="385">
        <v>1.9239918684646976E-2</v>
      </c>
      <c r="D26" s="385">
        <v>1.9239918684646976E-2</v>
      </c>
      <c r="E26" s="385">
        <v>1.9239918684646976E-2</v>
      </c>
      <c r="F26" s="385">
        <v>1.9239918684646976E-2</v>
      </c>
      <c r="G26" s="385">
        <v>1.9239918684646976E-2</v>
      </c>
      <c r="H26" s="173"/>
      <c r="I26" s="9"/>
      <c r="J26" s="164">
        <f>C26*Results!$D$9</f>
        <v>202357.96436503023</v>
      </c>
      <c r="K26" s="164">
        <f>D26*Results!$E$9</f>
        <v>204017.70448443759</v>
      </c>
      <c r="L26" s="164">
        <f>E26*Results!$F$9</f>
        <v>205607.89906896092</v>
      </c>
      <c r="M26" s="164">
        <f>F26*Results!$G$9</f>
        <v>207201.87239264962</v>
      </c>
      <c r="N26" s="164">
        <f>G26*Results!$H$9</f>
        <v>208804.57582196468</v>
      </c>
      <c r="O26" s="9"/>
      <c r="P26" s="176" t="str">
        <f t="shared" si="0"/>
        <v>Sim</v>
      </c>
      <c r="Q26" s="9"/>
      <c r="R26" s="9"/>
    </row>
    <row r="27" spans="1:18">
      <c r="A27" s="413"/>
      <c r="B27" s="11" t="str">
        <f>IF(comparador2=0,"Do not fill this line",comparador2)</f>
        <v>Atorvastatin 20mg</v>
      </c>
      <c r="C27" s="385">
        <v>9.6501775051201194E-2</v>
      </c>
      <c r="D27" s="385">
        <v>9.6501775051201194E-2</v>
      </c>
      <c r="E27" s="385">
        <v>9.6501775051201194E-2</v>
      </c>
      <c r="F27" s="385">
        <v>9.6501775051201194E-2</v>
      </c>
      <c r="G27" s="385">
        <v>9.6501775051201194E-2</v>
      </c>
      <c r="H27" s="177"/>
      <c r="I27" s="9"/>
      <c r="J27" s="164">
        <f>C27*Results!$D$9</f>
        <v>1014968.0503876538</v>
      </c>
      <c r="K27" s="164">
        <f>D27*Results!$E$9</f>
        <v>1023292.8188168631</v>
      </c>
      <c r="L27" s="164">
        <f>E27*Results!$F$9</f>
        <v>1031268.7672914148</v>
      </c>
      <c r="M27" s="164">
        <f>F27*Results!$G$9</f>
        <v>1039263.6688105656</v>
      </c>
      <c r="N27" s="164">
        <f>G27*Results!$H$9</f>
        <v>1047302.3579726446</v>
      </c>
      <c r="O27" s="9"/>
      <c r="P27" s="176" t="str">
        <f t="shared" si="0"/>
        <v>Sim</v>
      </c>
      <c r="Q27" s="9"/>
      <c r="R27" s="9"/>
    </row>
    <row r="28" spans="1:18">
      <c r="A28" s="413"/>
      <c r="B28" s="11" t="str">
        <f>IF(comparador3=0,"Do not fill this line",comparador3)</f>
        <v>Atorvastatin 40mg</v>
      </c>
      <c r="C28" s="385">
        <v>0.10626468855397952</v>
      </c>
      <c r="D28" s="385">
        <v>0.10626468855397952</v>
      </c>
      <c r="E28" s="385">
        <v>0.10626468855397952</v>
      </c>
      <c r="F28" s="385">
        <v>0.10626468855397952</v>
      </c>
      <c r="G28" s="385">
        <v>0.10626468855397952</v>
      </c>
      <c r="H28" s="173"/>
      <c r="I28" s="9"/>
      <c r="J28" s="164">
        <f>C28*Results!$D$9</f>
        <v>1117650.5687015476</v>
      </c>
      <c r="K28" s="164">
        <f>D28*Results!$E$9</f>
        <v>1126817.539194521</v>
      </c>
      <c r="L28" s="164">
        <f>E28*Results!$F$9</f>
        <v>1135600.4002364152</v>
      </c>
      <c r="M28" s="164">
        <f>F28*Results!$G$9</f>
        <v>1144404.1317688304</v>
      </c>
      <c r="N28" s="164">
        <f>G28*Results!$H$9</f>
        <v>1153256.0808623817</v>
      </c>
      <c r="O28" s="9"/>
      <c r="P28" s="176" t="str">
        <f t="shared" si="0"/>
        <v>Sim</v>
      </c>
      <c r="Q28" s="9"/>
      <c r="R28" s="9"/>
    </row>
    <row r="29" spans="1:18">
      <c r="A29" s="413"/>
      <c r="B29" s="11" t="str">
        <f>IF(comparador4=0,"Do not fill this line",comparador4)</f>
        <v>Atorvastatin 80mg</v>
      </c>
      <c r="C29" s="385">
        <v>1.8986571033393667E-2</v>
      </c>
      <c r="D29" s="385">
        <v>1.8986571033393667E-2</v>
      </c>
      <c r="E29" s="385">
        <v>1.8986571033393667E-2</v>
      </c>
      <c r="F29" s="385">
        <v>1.8986571033393667E-2</v>
      </c>
      <c r="G29" s="385">
        <v>1.8986571033393667E-2</v>
      </c>
      <c r="H29" s="173"/>
      <c r="I29" s="9"/>
      <c r="J29" s="164">
        <f>C29*Results!$D$9</f>
        <v>199693.35253248693</v>
      </c>
      <c r="K29" s="164">
        <f>D29*Results!$E$9</f>
        <v>201331.23750438381</v>
      </c>
      <c r="L29" s="164">
        <f>E29*Results!$F$9</f>
        <v>202900.49270399453</v>
      </c>
      <c r="M29" s="164">
        <f>F29*Results!$G$9</f>
        <v>204473.47688503997</v>
      </c>
      <c r="N29" s="164">
        <f>G29*Results!$H$9</f>
        <v>206055.07621531349</v>
      </c>
      <c r="O29" s="9"/>
      <c r="P29" s="176" t="str">
        <f t="shared" si="0"/>
        <v>Sim</v>
      </c>
      <c r="Q29" s="9"/>
      <c r="R29" s="9"/>
    </row>
    <row r="30" spans="1:18">
      <c r="A30" s="413"/>
      <c r="B30" s="11" t="str">
        <f>IF(comparador5=0,"Do not fill this line",comparador5)</f>
        <v>Pravastatin</v>
      </c>
      <c r="C30" s="385">
        <v>1.8381789123068847E-4</v>
      </c>
      <c r="D30" s="385">
        <v>1.8381789123068847E-4</v>
      </c>
      <c r="E30" s="385">
        <v>1.8381789123068847E-4</v>
      </c>
      <c r="F30" s="385">
        <v>1.8381789123068847E-4</v>
      </c>
      <c r="G30" s="385">
        <v>1.8381789123068847E-4</v>
      </c>
      <c r="H30" s="173"/>
      <c r="I30" s="9"/>
      <c r="J30" s="164">
        <f>C30*Results!$D$9</f>
        <v>1933.3249216378988</v>
      </c>
      <c r="K30" s="164">
        <f>D30*Results!$E$9</f>
        <v>1949.1820535593495</v>
      </c>
      <c r="L30" s="164">
        <f>E30*Results!$F$9</f>
        <v>1964.3747484955704</v>
      </c>
      <c r="M30" s="164">
        <f>F30*Results!$G$9</f>
        <v>1979.6035454484513</v>
      </c>
      <c r="N30" s="164">
        <f>G30*Results!$H$9</f>
        <v>1994.9157496980451</v>
      </c>
      <c r="O30" s="9"/>
      <c r="P30" s="176" t="str">
        <f t="shared" si="0"/>
        <v>Sim</v>
      </c>
      <c r="Q30" s="9"/>
      <c r="R30" s="9"/>
    </row>
    <row r="31" spans="1:18">
      <c r="A31" s="413"/>
      <c r="B31" s="11" t="str">
        <f>IF(comparador6=0,"Do not fill this line",comparador6)</f>
        <v>Simvastatin 5mg</v>
      </c>
      <c r="C31" s="385">
        <v>1.2549592091296458E-4</v>
      </c>
      <c r="D31" s="385">
        <v>1.2549592091296458E-4</v>
      </c>
      <c r="E31" s="385">
        <v>1.2549592091296458E-4</v>
      </c>
      <c r="F31" s="385">
        <v>1.2549592091296458E-4</v>
      </c>
      <c r="G31" s="385">
        <v>1.2549592091296458E-4</v>
      </c>
      <c r="H31" s="173"/>
      <c r="I31" s="9"/>
      <c r="J31" s="164">
        <f>C31*Results!$D$9</f>
        <v>1319.9171736794842</v>
      </c>
      <c r="K31" s="164">
        <f>D31*Results!$E$9</f>
        <v>1330.743134962129</v>
      </c>
      <c r="L31" s="164">
        <f>E31*Results!$F$9</f>
        <v>1341.1154726568204</v>
      </c>
      <c r="M31" s="164">
        <f>F31*Results!$G$9</f>
        <v>1351.5124578751957</v>
      </c>
      <c r="N31" s="164">
        <f>G31*Results!$H$9</f>
        <v>1361.9663868189161</v>
      </c>
      <c r="O31" s="9"/>
      <c r="P31" s="176" t="str">
        <f t="shared" si="0"/>
        <v>Sim</v>
      </c>
      <c r="Q31" s="9"/>
      <c r="R31" s="9"/>
    </row>
    <row r="32" spans="1:18">
      <c r="A32" s="413"/>
      <c r="B32" s="11" t="str">
        <f>IF(comparador7=0,"Do not fill this line",comparador7)</f>
        <v>Simvastatin 10mg</v>
      </c>
      <c r="C32" s="385">
        <v>2.7185437909540033E-2</v>
      </c>
      <c r="D32" s="385">
        <v>2.7185437909540033E-2</v>
      </c>
      <c r="E32" s="385">
        <v>2.7185437909540033E-2</v>
      </c>
      <c r="F32" s="385">
        <v>2.7185437909540033E-2</v>
      </c>
      <c r="G32" s="385">
        <v>2.7185437909540033E-2</v>
      </c>
      <c r="H32" s="173"/>
      <c r="I32" s="9"/>
      <c r="J32" s="164">
        <f>C32*Results!$D$9</f>
        <v>285925.83814484987</v>
      </c>
      <c r="K32" s="164">
        <f>D32*Results!$E$9</f>
        <v>288271.00200451456</v>
      </c>
      <c r="L32" s="164">
        <f>E32*Results!$F$9</f>
        <v>290517.90007358708</v>
      </c>
      <c r="M32" s="164">
        <f>F32*Results!$G$9</f>
        <v>292770.13738970319</v>
      </c>
      <c r="N32" s="164">
        <f>G32*Results!$H$9</f>
        <v>295034.71008770633</v>
      </c>
      <c r="O32" s="9"/>
      <c r="P32" s="176" t="str">
        <f t="shared" si="0"/>
        <v>Sim</v>
      </c>
      <c r="Q32" s="9"/>
      <c r="R32" s="9"/>
    </row>
    <row r="33" spans="1:18">
      <c r="A33" s="413"/>
      <c r="B33" s="11" t="str">
        <f>IF(comparador8=0,"Do not fill this line",comparador8)</f>
        <v>Simvastatin 20mg</v>
      </c>
      <c r="C33" s="385">
        <v>0.58243510619357652</v>
      </c>
      <c r="D33" s="385">
        <v>0.58243510619357652</v>
      </c>
      <c r="E33" s="385">
        <v>0.58243510619357652</v>
      </c>
      <c r="F33" s="385">
        <v>0.58243510619357652</v>
      </c>
      <c r="G33" s="385">
        <v>0.58243510619357652</v>
      </c>
      <c r="H33" s="173"/>
      <c r="I33" s="9"/>
      <c r="J33" s="164">
        <f>C33*Results!$D$9</f>
        <v>6125825.394371978</v>
      </c>
      <c r="K33" s="164">
        <f>D33*Results!$E$9</f>
        <v>6176069.4171532262</v>
      </c>
      <c r="L33" s="164">
        <f>E33*Results!$F$9</f>
        <v>6224208.1420036787</v>
      </c>
      <c r="M33" s="164">
        <f>F33*Results!$G$9</f>
        <v>6272461.2576882672</v>
      </c>
      <c r="N33" s="164">
        <f>G33*Results!$H$9</f>
        <v>6320978.653075953</v>
      </c>
      <c r="O33" s="9"/>
      <c r="P33" s="176" t="str">
        <f t="shared" si="0"/>
        <v>Sim</v>
      </c>
      <c r="Q33" s="9"/>
      <c r="R33" s="9"/>
    </row>
    <row r="34" spans="1:18">
      <c r="A34" s="413"/>
      <c r="B34" s="11" t="str">
        <f>IF(comparador9=0,"Do not fill this line",comparador9)</f>
        <v>Simvastatin 40mg</v>
      </c>
      <c r="C34" s="385">
        <v>0.1490771887615184</v>
      </c>
      <c r="D34" s="385">
        <v>0.1490771887615184</v>
      </c>
      <c r="E34" s="385">
        <v>0.1490771887615184</v>
      </c>
      <c r="F34" s="385">
        <v>0.1490771887615184</v>
      </c>
      <c r="G34" s="385">
        <v>0.1490771887615184</v>
      </c>
      <c r="H34" s="173"/>
      <c r="I34" s="9"/>
      <c r="J34" s="164">
        <f>C34*Results!$D$9</f>
        <v>1567935.75614822</v>
      </c>
      <c r="K34" s="164">
        <f>D34*Results!$E$9</f>
        <v>1580795.9659615494</v>
      </c>
      <c r="L34" s="164">
        <f>E34*Results!$F$9</f>
        <v>1593117.3142026779</v>
      </c>
      <c r="M34" s="164">
        <f>F34*Results!$G$9</f>
        <v>1605467.9413519488</v>
      </c>
      <c r="N34" s="164">
        <f>G34*Results!$H$9</f>
        <v>1617886.2122176876</v>
      </c>
      <c r="O34" s="9"/>
      <c r="P34" s="176" t="str">
        <f t="shared" si="0"/>
        <v>Sim</v>
      </c>
      <c r="Q34" s="9"/>
      <c r="R34" s="9"/>
    </row>
    <row r="35" spans="1:18" ht="15" customHeight="1">
      <c r="A35" s="413"/>
      <c r="B35" s="11" t="str">
        <f>IF(comparador10=0,"Do not fill this line",comparador10)</f>
        <v>Do not fill this line</v>
      </c>
      <c r="C35" s="50"/>
      <c r="D35" s="50"/>
      <c r="E35" s="50"/>
      <c r="F35" s="50"/>
      <c r="G35" s="50"/>
      <c r="H35" s="173"/>
      <c r="I35" s="9"/>
      <c r="J35" s="164">
        <f>C35*Results!$D$9</f>
        <v>0</v>
      </c>
      <c r="K35" s="164">
        <f>D35*Results!$E$9</f>
        <v>0</v>
      </c>
      <c r="L35" s="164">
        <f>E35*Results!$F$9</f>
        <v>0</v>
      </c>
      <c r="M35" s="164">
        <f>F35*Results!$G$9</f>
        <v>0</v>
      </c>
      <c r="N35" s="164">
        <f>G35*Results!$H$9</f>
        <v>0</v>
      </c>
      <c r="O35" s="9"/>
      <c r="P35" s="176" t="str">
        <f t="shared" si="0"/>
        <v>Não</v>
      </c>
      <c r="Q35" s="9"/>
      <c r="R35" s="9"/>
    </row>
    <row r="36" spans="1:18">
      <c r="A36" s="9"/>
      <c r="B36" s="9"/>
      <c r="C36" s="178">
        <f>SUM(C22:C35)</f>
        <v>1</v>
      </c>
      <c r="D36" s="178">
        <f t="shared" ref="D36:G36" si="1">SUM(D22:D35)</f>
        <v>1</v>
      </c>
      <c r="E36" s="178">
        <f t="shared" si="1"/>
        <v>1</v>
      </c>
      <c r="F36" s="178">
        <f t="shared" si="1"/>
        <v>1</v>
      </c>
      <c r="G36" s="178">
        <f t="shared" si="1"/>
        <v>1</v>
      </c>
      <c r="H36" s="173"/>
      <c r="I36" s="9"/>
      <c r="J36" s="9"/>
      <c r="K36" s="9"/>
      <c r="L36" s="9"/>
      <c r="M36" s="9"/>
      <c r="N36" s="9"/>
      <c r="O36" s="9"/>
      <c r="P36" s="176" t="str">
        <f t="shared" si="0"/>
        <v>Sim</v>
      </c>
      <c r="Q36" s="9"/>
      <c r="R36" s="9"/>
    </row>
    <row r="37" spans="1:18" ht="15.6">
      <c r="A37" s="9"/>
      <c r="B37" s="9"/>
      <c r="C37" s="179" t="str">
        <f>IF(C36=1,"ok","check")</f>
        <v>ok</v>
      </c>
      <c r="D37" s="179" t="str">
        <f>IF(D36=1,"ok","check")</f>
        <v>ok</v>
      </c>
      <c r="E37" s="179" t="str">
        <f>IF(E36=1,"ok","check")</f>
        <v>ok</v>
      </c>
      <c r="F37" s="179" t="str">
        <f>IF(F36=1,"ok","check")</f>
        <v>ok</v>
      </c>
      <c r="G37" s="179" t="str">
        <f>IF(G36=1,"ok","check")</f>
        <v>ok</v>
      </c>
      <c r="H37" s="173" t="s">
        <v>94</v>
      </c>
      <c r="I37" s="9"/>
      <c r="J37" s="165" t="s">
        <v>3</v>
      </c>
      <c r="K37" s="9"/>
      <c r="L37" s="9"/>
      <c r="M37" s="9"/>
      <c r="N37" s="9"/>
      <c r="O37" s="9"/>
      <c r="P37" s="176" t="str">
        <f t="shared" si="0"/>
        <v>Sim</v>
      </c>
      <c r="Q37" s="9"/>
      <c r="R37" s="9"/>
    </row>
    <row r="38" spans="1:18" ht="15.6">
      <c r="A38" s="9"/>
      <c r="B38" s="9"/>
      <c r="C38" s="179"/>
      <c r="D38" s="179"/>
      <c r="E38" s="179"/>
      <c r="F38" s="179"/>
      <c r="G38" s="179"/>
      <c r="H38" s="173"/>
      <c r="I38" s="9"/>
      <c r="J38" s="165"/>
      <c r="K38" s="9"/>
      <c r="L38" s="9"/>
      <c r="M38" s="9"/>
      <c r="N38" s="9"/>
      <c r="O38" s="9"/>
      <c r="P38" s="176"/>
      <c r="Q38" s="9"/>
      <c r="R38" s="9"/>
    </row>
    <row r="39" spans="1:18" s="166" customFormat="1" ht="18">
      <c r="B39" s="167" t="s">
        <v>82</v>
      </c>
      <c r="C39" s="168" t="str">
        <f>cen_prop1</f>
        <v>all options</v>
      </c>
      <c r="D39" s="168"/>
      <c r="E39" s="168"/>
      <c r="F39" s="168"/>
      <c r="G39" s="168"/>
      <c r="H39" s="170"/>
      <c r="J39" s="171" t="str">
        <f>cen_prop1</f>
        <v>all options</v>
      </c>
      <c r="K39" s="9"/>
      <c r="L39" s="9"/>
      <c r="M39" s="9"/>
      <c r="N39" s="9"/>
      <c r="O39" s="9"/>
      <c r="P39" s="176" t="str">
        <f t="shared" ref="P39:P57" si="2">IF(B39="Do not fill this line","Não","Sim")</f>
        <v>Sim</v>
      </c>
      <c r="Q39" s="9"/>
      <c r="R39" s="9"/>
    </row>
    <row r="40" spans="1:18">
      <c r="A40" s="9"/>
      <c r="B40" s="9"/>
      <c r="C40" s="9"/>
      <c r="D40" s="9"/>
      <c r="E40" s="9"/>
      <c r="F40" s="9"/>
      <c r="G40" s="9"/>
      <c r="H40" s="173"/>
      <c r="I40" s="9"/>
      <c r="J40" s="9"/>
      <c r="K40" s="9"/>
      <c r="L40" s="9"/>
      <c r="M40" s="9"/>
      <c r="N40" s="9"/>
      <c r="O40" s="9"/>
      <c r="P40" s="176" t="str">
        <f t="shared" si="2"/>
        <v>Sim</v>
      </c>
      <c r="Q40" s="9"/>
      <c r="R40" s="9"/>
    </row>
    <row r="41" spans="1:18">
      <c r="A41" s="9"/>
      <c r="B41" s="174" t="s">
        <v>81</v>
      </c>
      <c r="C41" s="174">
        <f>ano_1</f>
        <v>2026</v>
      </c>
      <c r="D41" s="174">
        <f>ano_1+1</f>
        <v>2027</v>
      </c>
      <c r="E41" s="174">
        <f>ano_1+2</f>
        <v>2028</v>
      </c>
      <c r="F41" s="174">
        <f>ano_1+3</f>
        <v>2029</v>
      </c>
      <c r="G41" s="174">
        <f>ano_1+4</f>
        <v>2030</v>
      </c>
      <c r="H41" s="173" t="s">
        <v>93</v>
      </c>
      <c r="I41" s="9"/>
      <c r="J41" s="174">
        <f>ano_1</f>
        <v>2026</v>
      </c>
      <c r="K41" s="174">
        <f>ano_1+1</f>
        <v>2027</v>
      </c>
      <c r="L41" s="174">
        <f>ano_1+2</f>
        <v>2028</v>
      </c>
      <c r="M41" s="174">
        <f>ano_1+3</f>
        <v>2029</v>
      </c>
      <c r="N41" s="174">
        <f>ano_1+4</f>
        <v>2030</v>
      </c>
      <c r="O41" s="9"/>
      <c r="P41" s="176" t="str">
        <f t="shared" si="2"/>
        <v>Sim</v>
      </c>
      <c r="Q41" s="9"/>
      <c r="R41" s="9"/>
    </row>
    <row r="42" spans="1:18" ht="15" customHeight="1">
      <c r="A42" s="412" t="s">
        <v>91</v>
      </c>
      <c r="B42" s="175" t="str">
        <f>IF(intervencao1=0,"Do not fill this line",intervencao1)</f>
        <v>Rosuvastatin 5mg</v>
      </c>
      <c r="C42" s="385">
        <v>1.6307180081065433E-2</v>
      </c>
      <c r="D42" s="385">
        <v>3.2614360162130866E-2</v>
      </c>
      <c r="E42" s="385">
        <v>4.8921540243196289E-2</v>
      </c>
      <c r="F42" s="385">
        <v>6.5228720324261732E-2</v>
      </c>
      <c r="G42" s="385">
        <v>8.1535900405327155E-2</v>
      </c>
      <c r="H42" s="173"/>
      <c r="I42" s="9"/>
      <c r="J42" s="164">
        <f>C42*Results!$D$9</f>
        <v>171512.56301158934</v>
      </c>
      <c r="K42" s="164">
        <f>D42*Results!$E$9</f>
        <v>345838.61826902092</v>
      </c>
      <c r="L42" s="164">
        <f>E42*Results!$F$9</f>
        <v>522801.3316214165</v>
      </c>
      <c r="M42" s="164">
        <f>F42*Results!$G$9</f>
        <v>702472.45877128292</v>
      </c>
      <c r="N42" s="164">
        <f>G42*Results!$H$9</f>
        <v>884882.59110896965</v>
      </c>
      <c r="O42" s="9"/>
      <c r="P42" s="176" t="str">
        <f t="shared" si="2"/>
        <v>Sim</v>
      </c>
      <c r="Q42" s="9"/>
      <c r="R42" s="9"/>
    </row>
    <row r="43" spans="1:18">
      <c r="A43" s="412"/>
      <c r="B43" s="175" t="str">
        <f>IF(intervencao2=0,"Do not fill this line",intervencao2)</f>
        <v>Rosuvastatin 10mg</v>
      </c>
      <c r="C43" s="385">
        <v>5.4089461493920091E-2</v>
      </c>
      <c r="D43" s="385">
        <v>0.10817892298784018</v>
      </c>
      <c r="E43" s="385">
        <v>0.16226838448176026</v>
      </c>
      <c r="F43" s="385">
        <v>0.21635784597568036</v>
      </c>
      <c r="G43" s="385">
        <v>0.27044730746960044</v>
      </c>
      <c r="H43" s="173"/>
      <c r="I43" s="9"/>
      <c r="J43" s="164">
        <f>C43*Results!$D$9</f>
        <v>568891.87012232887</v>
      </c>
      <c r="K43" s="164">
        <f>D43*Results!$E$9</f>
        <v>1147115.8430201479</v>
      </c>
      <c r="L43" s="164">
        <f>E43*Results!$F$9</f>
        <v>1734085.3755911433</v>
      </c>
      <c r="M43" s="164">
        <f>F43*Results!$G$9</f>
        <v>2330038.4750988889</v>
      </c>
      <c r="N43" s="164">
        <f>G43*Results!$H$9</f>
        <v>2935076.6104559829</v>
      </c>
      <c r="O43" s="9"/>
      <c r="P43" s="176" t="str">
        <f t="shared" si="2"/>
        <v>Sim</v>
      </c>
      <c r="Q43" s="9"/>
      <c r="R43" s="9"/>
    </row>
    <row r="44" spans="1:18">
      <c r="A44" s="412"/>
      <c r="B44" s="175" t="str">
        <f>IF(intervencao3=0,"Do not fill this line",intervencao3)</f>
        <v>Rosuvastatin 20mg</v>
      </c>
      <c r="C44" s="385">
        <v>2.5861320208453966E-2</v>
      </c>
      <c r="D44" s="385">
        <v>5.1722640416907932E-2</v>
      </c>
      <c r="E44" s="385">
        <v>7.7583960625361895E-2</v>
      </c>
      <c r="F44" s="385">
        <v>0.10344528083381586</v>
      </c>
      <c r="G44" s="385">
        <v>0.12930660104226982</v>
      </c>
      <c r="H44" s="173"/>
      <c r="I44" s="9"/>
      <c r="J44" s="164">
        <f>C44*Results!$D$9</f>
        <v>271999.28434993722</v>
      </c>
      <c r="K44" s="164">
        <f>D44*Results!$E$9</f>
        <v>548460.4452175817</v>
      </c>
      <c r="L44" s="164">
        <f>E44*Results!$F$9</f>
        <v>829103.04388962337</v>
      </c>
      <c r="M44" s="164">
        <f>F44*Results!$G$9</f>
        <v>1114040.8766932061</v>
      </c>
      <c r="N44" s="164">
        <f>G44*Results!$H$9</f>
        <v>1403322.4580702833</v>
      </c>
      <c r="O44" s="9"/>
      <c r="P44" s="176" t="str">
        <f t="shared" si="2"/>
        <v>Sim</v>
      </c>
      <c r="Q44" s="9"/>
      <c r="R44" s="9"/>
    </row>
    <row r="45" spans="1:18">
      <c r="A45" s="412"/>
      <c r="B45" s="175" t="str">
        <f>IF(intervencao4=0,"Do not fill this line",intervencao4)</f>
        <v>Rosuvastatin 40mg</v>
      </c>
      <c r="C45" s="385">
        <v>3.7420382165605096E-3</v>
      </c>
      <c r="D45" s="385">
        <v>7.4840764331210192E-3</v>
      </c>
      <c r="E45" s="385">
        <v>1.1226114649681528E-2</v>
      </c>
      <c r="F45" s="385">
        <v>1.4968152866242038E-2</v>
      </c>
      <c r="G45" s="385">
        <v>1.8710191082802547E-2</v>
      </c>
      <c r="H45" s="173"/>
      <c r="I45" s="9"/>
      <c r="J45" s="164">
        <f>C45*Results!$D$9</f>
        <v>39357.299190852944</v>
      </c>
      <c r="K45" s="164">
        <f>D45*Results!$E$9</f>
        <v>79360.215554852999</v>
      </c>
      <c r="L45" s="164">
        <f>E45*Results!$F$9</f>
        <v>119968.17063838098</v>
      </c>
      <c r="M45" s="164">
        <f>F45*Results!$G$9</f>
        <v>161197.63035275333</v>
      </c>
      <c r="N45" s="164">
        <f>G45*Results!$H$9</f>
        <v>203055.61455984789</v>
      </c>
      <c r="O45" s="9"/>
      <c r="P45" s="176" t="str">
        <f t="shared" si="2"/>
        <v>Sim</v>
      </c>
      <c r="Q45" s="9"/>
      <c r="R45" s="9"/>
    </row>
    <row r="46" spans="1:18" s="180" customFormat="1" ht="15" customHeight="1">
      <c r="A46" s="413" t="s">
        <v>92</v>
      </c>
      <c r="B46" s="11" t="str">
        <f>IF(comparador1=0,"Do not fill this line",comparador1)</f>
        <v>Atorvastatin 10mg</v>
      </c>
      <c r="C46" s="385">
        <v>1.731592681618228E-2</v>
      </c>
      <c r="D46" s="385">
        <v>1.5391934947717581E-2</v>
      </c>
      <c r="E46" s="385">
        <v>1.3467943079252883E-2</v>
      </c>
      <c r="F46" s="385">
        <v>1.1543951210788186E-2</v>
      </c>
      <c r="G46" s="385">
        <v>9.6199593423234881E-3</v>
      </c>
      <c r="H46" s="173"/>
      <c r="I46" s="7"/>
      <c r="J46" s="164">
        <f>C46*Results!$D$9</f>
        <v>182122.16792852723</v>
      </c>
      <c r="K46" s="164">
        <f>D46*Results!$E$9</f>
        <v>163214.16358755008</v>
      </c>
      <c r="L46" s="164">
        <f>E46*Results!$F$9</f>
        <v>143925.52934827263</v>
      </c>
      <c r="M46" s="164">
        <f>F46*Results!$G$9</f>
        <v>124321.12343558976</v>
      </c>
      <c r="N46" s="164">
        <f>G46*Results!$H$9</f>
        <v>104402.28791098234</v>
      </c>
      <c r="O46" s="7"/>
      <c r="P46" s="176" t="str">
        <f t="shared" si="2"/>
        <v>Sim</v>
      </c>
      <c r="Q46" s="7"/>
      <c r="R46" s="7"/>
    </row>
    <row r="47" spans="1:18" s="180" customFormat="1">
      <c r="A47" s="413"/>
      <c r="B47" s="11" t="str">
        <f>IF(comparador2=0,"Do not fill this line",comparador2)</f>
        <v>Atorvastatin 20mg</v>
      </c>
      <c r="C47" s="385">
        <v>8.6851597546081072E-2</v>
      </c>
      <c r="D47" s="385">
        <v>7.7201420040960964E-2</v>
      </c>
      <c r="E47" s="385">
        <v>6.7551242535840827E-2</v>
      </c>
      <c r="F47" s="385">
        <v>5.7901065030720712E-2</v>
      </c>
      <c r="G47" s="385">
        <v>4.8250887525600597E-2</v>
      </c>
      <c r="H47" s="177"/>
      <c r="I47" s="7"/>
      <c r="J47" s="164">
        <f>C47*Results!$D$9</f>
        <v>913471.24534888833</v>
      </c>
      <c r="K47" s="164">
        <f>D47*Results!$E$9</f>
        <v>818634.25505349052</v>
      </c>
      <c r="L47" s="164">
        <f>E47*Results!$F$9</f>
        <v>721888.13710399019</v>
      </c>
      <c r="M47" s="164">
        <f>F47*Results!$G$9</f>
        <v>623558.20128633932</v>
      </c>
      <c r="N47" s="164">
        <f>G47*Results!$H$9</f>
        <v>523651.17898632231</v>
      </c>
      <c r="O47" s="7"/>
      <c r="P47" s="176" t="str">
        <f t="shared" si="2"/>
        <v>Sim</v>
      </c>
      <c r="Q47" s="7"/>
      <c r="R47" s="7"/>
    </row>
    <row r="48" spans="1:18">
      <c r="A48" s="413"/>
      <c r="B48" s="11" t="str">
        <f>IF(comparador3=0,"Do not fill this line",comparador3)</f>
        <v>Atorvastatin 40mg</v>
      </c>
      <c r="C48" s="385">
        <v>9.5638219698581578E-2</v>
      </c>
      <c r="D48" s="385">
        <v>8.5011750843183631E-2</v>
      </c>
      <c r="E48" s="385">
        <v>7.4385281987785656E-2</v>
      </c>
      <c r="F48" s="385">
        <v>6.3758813132387709E-2</v>
      </c>
      <c r="G48" s="385">
        <v>5.3132344276989762E-2</v>
      </c>
      <c r="H48" s="173"/>
      <c r="I48" s="9"/>
      <c r="J48" s="164">
        <f>C48*Results!$D$9</f>
        <v>1005885.5118313929</v>
      </c>
      <c r="K48" s="164">
        <f>D48*Results!$E$9</f>
        <v>901454.03135561699</v>
      </c>
      <c r="L48" s="164">
        <f>E48*Results!$F$9</f>
        <v>794920.28016549046</v>
      </c>
      <c r="M48" s="164">
        <f>F48*Results!$G$9</f>
        <v>686642.47906129819</v>
      </c>
      <c r="N48" s="164">
        <f>G48*Results!$H$9</f>
        <v>576628.04043119086</v>
      </c>
      <c r="O48" s="9"/>
      <c r="P48" s="176" t="str">
        <f t="shared" si="2"/>
        <v>Sim</v>
      </c>
      <c r="Q48" s="9"/>
      <c r="R48" s="9"/>
    </row>
    <row r="49" spans="1:18">
      <c r="A49" s="413"/>
      <c r="B49" s="11" t="str">
        <f>IF(comparador4=0,"Do not fill this line",comparador4)</f>
        <v>Atorvastatin 80mg</v>
      </c>
      <c r="C49" s="385">
        <v>1.7087913930054301E-2</v>
      </c>
      <c r="D49" s="385">
        <v>1.5189256826714934E-2</v>
      </c>
      <c r="E49" s="385">
        <v>1.3290599723375566E-2</v>
      </c>
      <c r="F49" s="385">
        <v>1.13919426200362E-2</v>
      </c>
      <c r="G49" s="385">
        <v>9.4932855166968335E-3</v>
      </c>
      <c r="H49" s="173"/>
      <c r="I49" s="9"/>
      <c r="J49" s="164">
        <f>C49*Results!$D$9</f>
        <v>179724.01727923824</v>
      </c>
      <c r="K49" s="164">
        <f>D49*Results!$E$9</f>
        <v>161064.99000350706</v>
      </c>
      <c r="L49" s="164">
        <f>E49*Results!$F$9</f>
        <v>142030.34489279616</v>
      </c>
      <c r="M49" s="164">
        <f>F49*Results!$G$9</f>
        <v>122684.08613102397</v>
      </c>
      <c r="N49" s="164">
        <f>G49*Results!$H$9</f>
        <v>103027.53810765674</v>
      </c>
      <c r="O49" s="9"/>
      <c r="P49" s="176" t="str">
        <f t="shared" si="2"/>
        <v>Sim</v>
      </c>
      <c r="Q49" s="9"/>
      <c r="R49" s="9"/>
    </row>
    <row r="50" spans="1:18">
      <c r="A50" s="413"/>
      <c r="B50" s="11" t="str">
        <f>IF(comparador5=0,"Do not fill this line",comparador5)</f>
        <v>Pravastatin</v>
      </c>
      <c r="C50" s="385">
        <v>1.6543610210761962E-4</v>
      </c>
      <c r="D50" s="385">
        <v>1.6543610210761962E-4</v>
      </c>
      <c r="E50" s="385">
        <v>1.6543610210761962E-4</v>
      </c>
      <c r="F50" s="385">
        <v>1.6543610210761962E-4</v>
      </c>
      <c r="G50" s="385">
        <v>1.6543610210761962E-4</v>
      </c>
      <c r="H50" s="173"/>
      <c r="I50" s="9"/>
      <c r="J50" s="164">
        <f>C50*Results!$D$9</f>
        <v>1739.9924294741088</v>
      </c>
      <c r="K50" s="164">
        <f>D50*Results!$E$9</f>
        <v>1754.2638482034145</v>
      </c>
      <c r="L50" s="164">
        <f>E50*Results!$F$9</f>
        <v>1767.9372736460134</v>
      </c>
      <c r="M50" s="164">
        <f>F50*Results!$G$9</f>
        <v>1781.6431909036062</v>
      </c>
      <c r="N50" s="164">
        <f>G50*Results!$H$9</f>
        <v>1795.4241747282406</v>
      </c>
      <c r="O50" s="9"/>
      <c r="P50" s="176" t="str">
        <f t="shared" si="2"/>
        <v>Sim</v>
      </c>
      <c r="Q50" s="9"/>
      <c r="R50" s="9"/>
    </row>
    <row r="51" spans="1:18">
      <c r="A51" s="413"/>
      <c r="B51" s="11" t="str">
        <f>IF(comparador6=0,"Do not fill this line",comparador6)</f>
        <v>Simvastatin 5mg</v>
      </c>
      <c r="C51" s="385">
        <v>1.1294632882166812E-4</v>
      </c>
      <c r="D51" s="385">
        <v>1.0039673673037167E-4</v>
      </c>
      <c r="E51" s="385">
        <v>8.78471446390752E-5</v>
      </c>
      <c r="F51" s="385">
        <v>7.5297552547778752E-5</v>
      </c>
      <c r="G51" s="385">
        <v>6.2747960456482291E-5</v>
      </c>
      <c r="H51" s="173"/>
      <c r="I51" s="9"/>
      <c r="J51" s="164">
        <f>C51*Results!$D$9</f>
        <v>1187.9254563115358</v>
      </c>
      <c r="K51" s="164">
        <f>D51*Results!$E$9</f>
        <v>1064.5945079697033</v>
      </c>
      <c r="L51" s="164">
        <f>E51*Results!$F$9</f>
        <v>938.78083085977426</v>
      </c>
      <c r="M51" s="164">
        <f>F51*Results!$G$9</f>
        <v>810.90747472511737</v>
      </c>
      <c r="N51" s="164">
        <f>G51*Results!$H$9</f>
        <v>680.98319340945807</v>
      </c>
      <c r="O51" s="9"/>
      <c r="P51" s="176" t="str">
        <f t="shared" si="2"/>
        <v>Sim</v>
      </c>
      <c r="Q51" s="9"/>
      <c r="R51" s="9"/>
    </row>
    <row r="52" spans="1:18">
      <c r="A52" s="413"/>
      <c r="B52" s="11" t="str">
        <f>IF(comparador7=0,"Do not fill this line",comparador7)</f>
        <v>Simvastatin 10mg</v>
      </c>
      <c r="C52" s="385">
        <v>2.4466894118586029E-2</v>
      </c>
      <c r="D52" s="385">
        <v>2.1748350327632029E-2</v>
      </c>
      <c r="E52" s="385">
        <v>1.9029806536678021E-2</v>
      </c>
      <c r="F52" s="385">
        <v>1.6311262745724021E-2</v>
      </c>
      <c r="G52" s="385">
        <v>1.3592718954770017E-2</v>
      </c>
      <c r="H52" s="173"/>
      <c r="I52" s="9"/>
      <c r="J52" s="164">
        <f>C52*Results!$D$9</f>
        <v>257333.25433036484</v>
      </c>
      <c r="K52" s="164">
        <f>D52*Results!$E$9</f>
        <v>230616.80160361165</v>
      </c>
      <c r="L52" s="164">
        <f>E52*Results!$F$9</f>
        <v>203362.53005151093</v>
      </c>
      <c r="M52" s="164">
        <f>F52*Results!$G$9</f>
        <v>175662.08243382192</v>
      </c>
      <c r="N52" s="164">
        <f>G52*Results!$H$9</f>
        <v>147517.35504385317</v>
      </c>
      <c r="O52" s="9"/>
      <c r="P52" s="176" t="str">
        <f t="shared" si="2"/>
        <v>Sim</v>
      </c>
      <c r="Q52" s="9"/>
      <c r="R52" s="9"/>
    </row>
    <row r="53" spans="1:18">
      <c r="A53" s="413"/>
      <c r="B53" s="11" t="str">
        <f>IF(comparador8=0,"Do not fill this line",comparador8)</f>
        <v>Simvastatin 20mg</v>
      </c>
      <c r="C53" s="385">
        <v>0.5241915955742189</v>
      </c>
      <c r="D53" s="385">
        <v>0.46594808495486123</v>
      </c>
      <c r="E53" s="385">
        <v>0.40770457433550356</v>
      </c>
      <c r="F53" s="385">
        <v>0.34946106371614588</v>
      </c>
      <c r="G53" s="385">
        <v>0.29121755309678826</v>
      </c>
      <c r="H53" s="173"/>
      <c r="I53" s="9"/>
      <c r="J53" s="164">
        <f>C53*Results!$D$9</f>
        <v>5513242.8549347809</v>
      </c>
      <c r="K53" s="164">
        <f>D53*Results!$E$9</f>
        <v>4940855.5337225813</v>
      </c>
      <c r="L53" s="164">
        <f>E53*Results!$F$9</f>
        <v>4356945.6994025744</v>
      </c>
      <c r="M53" s="164">
        <f>F53*Results!$G$9</f>
        <v>3763476.7546129599</v>
      </c>
      <c r="N53" s="164">
        <f>G53*Results!$H$9</f>
        <v>3160489.3265379765</v>
      </c>
      <c r="O53" s="9"/>
      <c r="P53" s="176" t="str">
        <f t="shared" si="2"/>
        <v>Sim</v>
      </c>
      <c r="Q53" s="9"/>
      <c r="R53" s="9"/>
    </row>
    <row r="54" spans="1:18">
      <c r="A54" s="413"/>
      <c r="B54" s="11" t="str">
        <f>IF(comparador9=0,"Do not fill this line",comparador9)</f>
        <v>Simvastatin 40mg</v>
      </c>
      <c r="C54" s="385">
        <f>1-SUM(C42:C53)</f>
        <v>0.13416946988536649</v>
      </c>
      <c r="D54" s="385">
        <f t="shared" ref="D54:G54" si="3">1-SUM(D42:D53)</f>
        <v>0.1192433692200916</v>
      </c>
      <c r="E54" s="385">
        <f t="shared" si="3"/>
        <v>0.10431726855481682</v>
      </c>
      <c r="F54" s="385">
        <f t="shared" si="3"/>
        <v>8.9391167889541823E-2</v>
      </c>
      <c r="G54" s="385">
        <f t="shared" si="3"/>
        <v>7.4465067224267045E-2</v>
      </c>
      <c r="H54" s="173"/>
      <c r="I54" s="9"/>
      <c r="J54" s="164">
        <f>C54*Results!$D$9</f>
        <v>1411142.1805333972</v>
      </c>
      <c r="K54" s="164">
        <f>D54*Results!$E$9</f>
        <v>1264441.854563883</v>
      </c>
      <c r="L54" s="164">
        <f>E54*Results!$F$9</f>
        <v>1114789.2449921763</v>
      </c>
      <c r="M54" s="164">
        <f>F54*Results!$G$9</f>
        <v>962686.88374753459</v>
      </c>
      <c r="N54" s="164">
        <f>G54*Results!$H$9</f>
        <v>808145.13980896596</v>
      </c>
      <c r="O54" s="9"/>
      <c r="P54" s="176" t="str">
        <f t="shared" si="2"/>
        <v>Sim</v>
      </c>
      <c r="Q54" s="9"/>
      <c r="R54" s="9"/>
    </row>
    <row r="55" spans="1:18">
      <c r="A55" s="413"/>
      <c r="B55" s="11" t="str">
        <f>IF(comparador10=0,"Do not fill this line",comparador10)</f>
        <v>Do not fill this line</v>
      </c>
      <c r="C55" s="50"/>
      <c r="D55" s="50"/>
      <c r="E55" s="50"/>
      <c r="F55" s="50"/>
      <c r="G55" s="50"/>
      <c r="H55" s="173"/>
      <c r="I55" s="9"/>
      <c r="J55" s="164">
        <f>C55*Results!$D$9</f>
        <v>0</v>
      </c>
      <c r="K55" s="164">
        <f>D55*Results!$E$9</f>
        <v>0</v>
      </c>
      <c r="L55" s="164">
        <f>E55*Results!$F$9</f>
        <v>0</v>
      </c>
      <c r="M55" s="164">
        <f>F55*Results!$G$9</f>
        <v>0</v>
      </c>
      <c r="N55" s="164">
        <f>G55*Results!$H$9</f>
        <v>0</v>
      </c>
      <c r="O55" s="9"/>
      <c r="P55" s="176" t="str">
        <f t="shared" si="2"/>
        <v>Não</v>
      </c>
      <c r="Q55" s="9"/>
      <c r="R55" s="9"/>
    </row>
    <row r="56" spans="1:18">
      <c r="A56" s="9"/>
      <c r="B56" s="9"/>
      <c r="C56" s="178">
        <f>SUM(C42:C55)</f>
        <v>1</v>
      </c>
      <c r="D56" s="178">
        <f t="shared" ref="D56:G56" si="4">SUM(D42:D55)</f>
        <v>1</v>
      </c>
      <c r="E56" s="178">
        <f t="shared" si="4"/>
        <v>1</v>
      </c>
      <c r="F56" s="178">
        <f t="shared" si="4"/>
        <v>1</v>
      </c>
      <c r="G56" s="178">
        <f t="shared" si="4"/>
        <v>1</v>
      </c>
      <c r="H56" s="173"/>
      <c r="I56" s="9"/>
      <c r="J56" s="9"/>
      <c r="K56" s="9"/>
      <c r="L56" s="9"/>
      <c r="M56" s="9"/>
      <c r="N56" s="9"/>
      <c r="O56" s="9"/>
      <c r="P56" s="176" t="str">
        <f t="shared" si="2"/>
        <v>Sim</v>
      </c>
      <c r="Q56" s="9"/>
      <c r="R56" s="9"/>
    </row>
    <row r="57" spans="1:18" ht="15.6">
      <c r="A57" s="9"/>
      <c r="B57" s="9"/>
      <c r="C57" s="179" t="str">
        <f>IF(C56=1,"ok","check")</f>
        <v>ok</v>
      </c>
      <c r="D57" s="179" t="str">
        <f>IF(D56=1,"ok","check")</f>
        <v>ok</v>
      </c>
      <c r="E57" s="179" t="str">
        <f>IF(E56=1,"ok","check")</f>
        <v>ok</v>
      </c>
      <c r="F57" s="179" t="str">
        <f>IF(F56=1,"ok","check")</f>
        <v>ok</v>
      </c>
      <c r="G57" s="179" t="str">
        <f>IF(G56=1,"ok","check")</f>
        <v>ok</v>
      </c>
      <c r="H57" s="173" t="s">
        <v>94</v>
      </c>
      <c r="I57" s="9"/>
      <c r="J57" s="165" t="s">
        <v>3</v>
      </c>
      <c r="K57" s="9"/>
      <c r="L57" s="9"/>
      <c r="M57" s="9"/>
      <c r="N57" s="9"/>
      <c r="O57" s="9"/>
      <c r="P57" s="176" t="str">
        <f t="shared" si="2"/>
        <v>Sim</v>
      </c>
      <c r="Q57" s="9"/>
      <c r="R57" s="9"/>
    </row>
    <row r="58" spans="1:18" ht="15.6">
      <c r="A58" s="9"/>
      <c r="B58" s="9"/>
      <c r="C58" s="179"/>
      <c r="D58" s="179"/>
      <c r="E58" s="179"/>
      <c r="F58" s="179"/>
      <c r="G58" s="179"/>
      <c r="H58" s="173"/>
      <c r="I58" s="9"/>
      <c r="J58" s="165"/>
      <c r="K58" s="9"/>
      <c r="L58" s="9"/>
      <c r="M58" s="9"/>
      <c r="N58" s="9"/>
      <c r="O58" s="9"/>
      <c r="P58" s="176"/>
      <c r="Q58" s="9"/>
      <c r="R58" s="9"/>
    </row>
    <row r="59" spans="1:18" s="166" customFormat="1" ht="18">
      <c r="B59" s="167" t="s">
        <v>89</v>
      </c>
      <c r="C59" s="168" t="str">
        <f>cen_prop2</f>
        <v>high intensity only</v>
      </c>
      <c r="D59" s="168"/>
      <c r="E59" s="168"/>
      <c r="F59" s="168"/>
      <c r="G59" s="168"/>
      <c r="H59" s="170"/>
      <c r="J59" s="171" t="str">
        <f>cen_prop2</f>
        <v>high intensity only</v>
      </c>
      <c r="K59" s="9"/>
      <c r="L59" s="9"/>
      <c r="M59" s="9"/>
      <c r="N59" s="9"/>
      <c r="O59" s="9"/>
      <c r="P59" s="176" t="str">
        <f t="shared" ref="P59:P76" si="5">IF(B59="Do not fill this line","Não","Sim")</f>
        <v>Sim</v>
      </c>
      <c r="Q59" s="9"/>
      <c r="R59" s="9"/>
    </row>
    <row r="60" spans="1:18">
      <c r="A60" s="9"/>
      <c r="B60" s="9"/>
      <c r="C60" s="9"/>
      <c r="D60" s="9"/>
      <c r="E60" s="9"/>
      <c r="F60" s="9"/>
      <c r="G60" s="9"/>
      <c r="H60" s="173"/>
      <c r="I60" s="9"/>
      <c r="J60" s="9"/>
      <c r="K60" s="9"/>
      <c r="L60" s="9"/>
      <c r="M60" s="9"/>
      <c r="N60" s="9"/>
      <c r="O60" s="9"/>
      <c r="P60" s="176" t="str">
        <f t="shared" si="5"/>
        <v>Sim</v>
      </c>
      <c r="Q60" s="9"/>
      <c r="R60" s="9"/>
    </row>
    <row r="61" spans="1:18">
      <c r="A61" s="9"/>
      <c r="B61" s="174" t="s">
        <v>81</v>
      </c>
      <c r="C61" s="174">
        <f>ano_1</f>
        <v>2026</v>
      </c>
      <c r="D61" s="174">
        <f>ano_1+1</f>
        <v>2027</v>
      </c>
      <c r="E61" s="174">
        <f>ano_1+2</f>
        <v>2028</v>
      </c>
      <c r="F61" s="174">
        <f>ano_1+3</f>
        <v>2029</v>
      </c>
      <c r="G61" s="174">
        <f>ano_1+4</f>
        <v>2030</v>
      </c>
      <c r="H61" s="173" t="s">
        <v>93</v>
      </c>
      <c r="I61" s="9"/>
      <c r="J61" s="174">
        <f>ano_1</f>
        <v>2026</v>
      </c>
      <c r="K61" s="174">
        <f>ano_1+1</f>
        <v>2027</v>
      </c>
      <c r="L61" s="174">
        <f>ano_1+2</f>
        <v>2028</v>
      </c>
      <c r="M61" s="174">
        <f>ano_1+3</f>
        <v>2029</v>
      </c>
      <c r="N61" s="174">
        <f>ano_1+4</f>
        <v>2030</v>
      </c>
      <c r="O61" s="9"/>
      <c r="P61" s="176" t="str">
        <f t="shared" si="5"/>
        <v>Sim</v>
      </c>
      <c r="Q61" s="9"/>
      <c r="R61" s="9"/>
    </row>
    <row r="62" spans="1:18" ht="15" customHeight="1">
      <c r="A62" s="412" t="s">
        <v>91</v>
      </c>
      <c r="B62" s="175" t="str">
        <f>IF(intervencao1=0,"Do not fill this line",intervencao1)</f>
        <v>Rosuvastatin 5mg</v>
      </c>
      <c r="C62" s="385">
        <v>0</v>
      </c>
      <c r="D62" s="385">
        <v>0</v>
      </c>
      <c r="E62" s="385">
        <v>0</v>
      </c>
      <c r="F62" s="385">
        <v>0</v>
      </c>
      <c r="G62" s="385">
        <v>0</v>
      </c>
      <c r="H62" s="173"/>
      <c r="I62" s="9"/>
      <c r="J62" s="164">
        <f>C62*Results!$D$9</f>
        <v>0</v>
      </c>
      <c r="K62" s="164">
        <f>D62*Results!$E$9</f>
        <v>0</v>
      </c>
      <c r="L62" s="164">
        <f>E62*Results!$F$9</f>
        <v>0</v>
      </c>
      <c r="M62" s="164">
        <f>F62*Results!$G$9</f>
        <v>0</v>
      </c>
      <c r="N62" s="164">
        <f>G62*Results!$H$9</f>
        <v>0</v>
      </c>
      <c r="O62" s="9"/>
      <c r="P62" s="176" t="str">
        <f t="shared" si="5"/>
        <v>Sim</v>
      </c>
      <c r="Q62" s="9"/>
      <c r="R62" s="9"/>
    </row>
    <row r="63" spans="1:18">
      <c r="A63" s="412"/>
      <c r="B63" s="175" t="str">
        <f>IF(intervencao2=0,"Do not fill this line",intervencao2)</f>
        <v>Rosuvastatin 10mg</v>
      </c>
      <c r="C63" s="385">
        <v>0</v>
      </c>
      <c r="D63" s="385">
        <v>0</v>
      </c>
      <c r="E63" s="385">
        <v>0</v>
      </c>
      <c r="F63" s="385">
        <v>0</v>
      </c>
      <c r="G63" s="385">
        <v>0</v>
      </c>
      <c r="H63" s="173"/>
      <c r="I63" s="9"/>
      <c r="J63" s="164">
        <f>C63*Results!$D$9</f>
        <v>0</v>
      </c>
      <c r="K63" s="164">
        <f>D63*Results!$E$9</f>
        <v>0</v>
      </c>
      <c r="L63" s="164">
        <f>E63*Results!$F$9</f>
        <v>0</v>
      </c>
      <c r="M63" s="164">
        <f>F63*Results!$G$9</f>
        <v>0</v>
      </c>
      <c r="N63" s="164">
        <f>G63*Results!$H$9</f>
        <v>0</v>
      </c>
      <c r="O63" s="9"/>
      <c r="P63" s="176" t="str">
        <f t="shared" si="5"/>
        <v>Sim</v>
      </c>
      <c r="Q63" s="9"/>
      <c r="R63" s="9"/>
    </row>
    <row r="64" spans="1:18">
      <c r="A64" s="412"/>
      <c r="B64" s="175" t="str">
        <f>IF(intervencao3=0,"Do not fill this line",intervencao3)</f>
        <v>Rosuvastatin 20mg</v>
      </c>
      <c r="C64" s="385">
        <v>8.7359413202934E-2</v>
      </c>
      <c r="D64" s="385">
        <v>0.174718826405868</v>
      </c>
      <c r="E64" s="385">
        <v>0.26207823960880194</v>
      </c>
      <c r="F64" s="385">
        <v>0.349437652811736</v>
      </c>
      <c r="G64" s="385">
        <v>0.43679706601466994</v>
      </c>
      <c r="H64" s="173"/>
      <c r="I64" s="9"/>
      <c r="J64" s="164">
        <f>C64*Results!$D$9</f>
        <v>918812.25246423809</v>
      </c>
      <c r="K64" s="164">
        <f>D64*Results!$E$9</f>
        <v>1852696.7019868242</v>
      </c>
      <c r="L64" s="164">
        <f>E64*Results!$F$9</f>
        <v>2800706.0279655345</v>
      </c>
      <c r="M64" s="164">
        <f>F64*Results!$G$9</f>
        <v>3763224.6338370023</v>
      </c>
      <c r="N64" s="164">
        <f>G64*Results!$H$9</f>
        <v>4740416.4011489088</v>
      </c>
      <c r="O64" s="9"/>
      <c r="P64" s="176" t="str">
        <f t="shared" si="5"/>
        <v>Sim</v>
      </c>
      <c r="Q64" s="9"/>
      <c r="R64" s="9"/>
    </row>
    <row r="65" spans="1:18">
      <c r="A65" s="412"/>
      <c r="B65" s="175" t="str">
        <f>IF(intervencao4=0,"Do not fill this line",intervencao4)</f>
        <v>Rosuvastatin 40mg</v>
      </c>
      <c r="C65" s="385">
        <v>1.2640586797066014E-2</v>
      </c>
      <c r="D65" s="385">
        <v>2.5281173594132029E-2</v>
      </c>
      <c r="E65" s="385">
        <v>3.7921760391198038E-2</v>
      </c>
      <c r="F65" s="385">
        <v>5.0562347188264058E-2</v>
      </c>
      <c r="G65" s="385">
        <v>6.320293398533007E-2</v>
      </c>
      <c r="H65" s="173"/>
      <c r="I65" s="9"/>
      <c r="J65" s="164">
        <f>C65*Results!$D$9</f>
        <v>132948.76421047046</v>
      </c>
      <c r="K65" s="164">
        <f>D65*Results!$E$9</f>
        <v>268078.42007477971</v>
      </c>
      <c r="L65" s="164">
        <f>E65*Results!$F$9</f>
        <v>405251.89377502969</v>
      </c>
      <c r="M65" s="164">
        <f>F65*Results!$G$9</f>
        <v>544524.80707912962</v>
      </c>
      <c r="N65" s="164">
        <f>G65*Results!$H$9</f>
        <v>685920.87304617569</v>
      </c>
      <c r="O65" s="9"/>
      <c r="P65" s="176" t="str">
        <f t="shared" si="5"/>
        <v>Sim</v>
      </c>
      <c r="Q65" s="9"/>
      <c r="R65" s="9"/>
    </row>
    <row r="66" spans="1:18" s="180" customFormat="1" ht="15" customHeight="1">
      <c r="A66" s="413" t="s">
        <v>92</v>
      </c>
      <c r="B66" s="11" t="str">
        <f>IF(comparador1=0,"Do not fill this line",comparador1)</f>
        <v>Atorvastatin 10mg</v>
      </c>
      <c r="C66" s="385">
        <v>1.731592681618228E-2</v>
      </c>
      <c r="D66" s="385">
        <v>1.5391934947717581E-2</v>
      </c>
      <c r="E66" s="385">
        <v>1.3467943079252883E-2</v>
      </c>
      <c r="F66" s="385">
        <v>1.1543951210788186E-2</v>
      </c>
      <c r="G66" s="385">
        <v>9.6199593423234881E-3</v>
      </c>
      <c r="H66" s="173"/>
      <c r="I66" s="7"/>
      <c r="J66" s="164">
        <f>C66*Results!$D$9</f>
        <v>182122.16792852723</v>
      </c>
      <c r="K66" s="164">
        <f>D66*Results!$E$9</f>
        <v>163214.16358755008</v>
      </c>
      <c r="L66" s="164">
        <f>E66*Results!$F$9</f>
        <v>143925.52934827263</v>
      </c>
      <c r="M66" s="164">
        <f>F66*Results!$G$9</f>
        <v>124321.12343558976</v>
      </c>
      <c r="N66" s="164">
        <f>G66*Results!$H$9</f>
        <v>104402.28791098234</v>
      </c>
      <c r="O66" s="7"/>
      <c r="P66" s="176" t="str">
        <f t="shared" si="5"/>
        <v>Sim</v>
      </c>
      <c r="Q66" s="7"/>
      <c r="R66" s="7"/>
    </row>
    <row r="67" spans="1:18" s="180" customFormat="1">
      <c r="A67" s="413"/>
      <c r="B67" s="11" t="str">
        <f>IF(comparador2=0,"Do not fill this line",comparador2)</f>
        <v>Atorvastatin 20mg</v>
      </c>
      <c r="C67" s="385">
        <v>8.6851597546081072E-2</v>
      </c>
      <c r="D67" s="385">
        <v>7.7201420040960964E-2</v>
      </c>
      <c r="E67" s="385">
        <v>6.7551242535840827E-2</v>
      </c>
      <c r="F67" s="385">
        <v>5.7901065030720712E-2</v>
      </c>
      <c r="G67" s="385">
        <v>4.8250887525600597E-2</v>
      </c>
      <c r="H67" s="177"/>
      <c r="I67" s="7"/>
      <c r="J67" s="164">
        <f>C67*Results!$D$9</f>
        <v>913471.24534888833</v>
      </c>
      <c r="K67" s="164">
        <f>D67*Results!$E$9</f>
        <v>818634.25505349052</v>
      </c>
      <c r="L67" s="164">
        <f>E67*Results!$F$9</f>
        <v>721888.13710399019</v>
      </c>
      <c r="M67" s="164">
        <f>F67*Results!$G$9</f>
        <v>623558.20128633932</v>
      </c>
      <c r="N67" s="164">
        <f>G67*Results!$H$9</f>
        <v>523651.17898632231</v>
      </c>
      <c r="O67" s="7"/>
      <c r="P67" s="176" t="str">
        <f t="shared" si="5"/>
        <v>Sim</v>
      </c>
      <c r="Q67" s="7"/>
      <c r="R67" s="7"/>
    </row>
    <row r="68" spans="1:18">
      <c r="A68" s="413"/>
      <c r="B68" s="11" t="str">
        <f>IF(comparador3=0,"Do not fill this line",comparador3)</f>
        <v>Atorvastatin 40mg</v>
      </c>
      <c r="C68" s="385">
        <v>9.5638219698581578E-2</v>
      </c>
      <c r="D68" s="385">
        <v>8.5011750843183631E-2</v>
      </c>
      <c r="E68" s="385">
        <v>7.4385281987785656E-2</v>
      </c>
      <c r="F68" s="385">
        <v>6.3758813132387709E-2</v>
      </c>
      <c r="G68" s="385">
        <v>5.3132344276989762E-2</v>
      </c>
      <c r="H68" s="173"/>
      <c r="I68" s="9"/>
      <c r="J68" s="164">
        <f>C68*Results!$D$9</f>
        <v>1005885.5118313929</v>
      </c>
      <c r="K68" s="164">
        <f>D68*Results!$E$9</f>
        <v>901454.03135561699</v>
      </c>
      <c r="L68" s="164">
        <f>E68*Results!$F$9</f>
        <v>794920.28016549046</v>
      </c>
      <c r="M68" s="164">
        <f>F68*Results!$G$9</f>
        <v>686642.47906129819</v>
      </c>
      <c r="N68" s="164">
        <f>G68*Results!$H$9</f>
        <v>576628.04043119086</v>
      </c>
      <c r="O68" s="9"/>
      <c r="P68" s="176" t="str">
        <f t="shared" si="5"/>
        <v>Sim</v>
      </c>
      <c r="Q68" s="9"/>
      <c r="R68" s="9"/>
    </row>
    <row r="69" spans="1:18">
      <c r="A69" s="413"/>
      <c r="B69" s="11" t="str">
        <f>IF(comparador4=0,"Do not fill this line",comparador4)</f>
        <v>Atorvastatin 80mg</v>
      </c>
      <c r="C69" s="385">
        <v>1.7087913930054301E-2</v>
      </c>
      <c r="D69" s="385">
        <v>1.5189256826714934E-2</v>
      </c>
      <c r="E69" s="385">
        <v>1.3290599723375566E-2</v>
      </c>
      <c r="F69" s="385">
        <v>1.13919426200362E-2</v>
      </c>
      <c r="G69" s="385">
        <v>9.4932855166968335E-3</v>
      </c>
      <c r="H69" s="173"/>
      <c r="I69" s="9"/>
      <c r="J69" s="164">
        <f>C69*Results!$D$9</f>
        <v>179724.01727923824</v>
      </c>
      <c r="K69" s="164">
        <f>D69*Results!$E$9</f>
        <v>161064.99000350706</v>
      </c>
      <c r="L69" s="164">
        <f>E69*Results!$F$9</f>
        <v>142030.34489279616</v>
      </c>
      <c r="M69" s="164">
        <f>F69*Results!$G$9</f>
        <v>122684.08613102397</v>
      </c>
      <c r="N69" s="164">
        <f>G69*Results!$H$9</f>
        <v>103027.53810765674</v>
      </c>
      <c r="O69" s="9"/>
      <c r="P69" s="176" t="str">
        <f t="shared" si="5"/>
        <v>Sim</v>
      </c>
      <c r="Q69" s="9"/>
      <c r="R69" s="9"/>
    </row>
    <row r="70" spans="1:18">
      <c r="A70" s="413"/>
      <c r="B70" s="11" t="str">
        <f>IF(comparador5=0,"Do not fill this line",comparador5)</f>
        <v>Pravastatin</v>
      </c>
      <c r="C70" s="385">
        <v>1.6543610210761962E-4</v>
      </c>
      <c r="D70" s="385">
        <v>1.6543610210761962E-4</v>
      </c>
      <c r="E70" s="385">
        <v>1.6543610210761962E-4</v>
      </c>
      <c r="F70" s="385">
        <v>1.6543610210761962E-4</v>
      </c>
      <c r="G70" s="385">
        <v>1.6543610210761962E-4</v>
      </c>
      <c r="H70" s="173"/>
      <c r="I70" s="9"/>
      <c r="J70" s="164">
        <f>C70*Results!$D$9</f>
        <v>1739.9924294741088</v>
      </c>
      <c r="K70" s="164">
        <f>D70*Results!$E$9</f>
        <v>1754.2638482034145</v>
      </c>
      <c r="L70" s="164">
        <f>E70*Results!$F$9</f>
        <v>1767.9372736460134</v>
      </c>
      <c r="M70" s="164">
        <f>F70*Results!$G$9</f>
        <v>1781.6431909036062</v>
      </c>
      <c r="N70" s="164">
        <f>G70*Results!$H$9</f>
        <v>1795.4241747282406</v>
      </c>
      <c r="O70" s="9"/>
      <c r="P70" s="176" t="str">
        <f t="shared" si="5"/>
        <v>Sim</v>
      </c>
      <c r="Q70" s="9"/>
      <c r="R70" s="9"/>
    </row>
    <row r="71" spans="1:18">
      <c r="A71" s="413"/>
      <c r="B71" s="11" t="str">
        <f>IF(comparador6=0,"Do not fill this line",comparador6)</f>
        <v>Simvastatin 5mg</v>
      </c>
      <c r="C71" s="385">
        <v>1.1294632882166812E-4</v>
      </c>
      <c r="D71" s="385">
        <v>1.0039673673037167E-4</v>
      </c>
      <c r="E71" s="385">
        <v>8.78471446390752E-5</v>
      </c>
      <c r="F71" s="385">
        <v>7.5297552547778752E-5</v>
      </c>
      <c r="G71" s="385">
        <v>6.2747960456482291E-5</v>
      </c>
      <c r="H71" s="173"/>
      <c r="I71" s="9"/>
      <c r="J71" s="164">
        <f>C71*Results!$D$9</f>
        <v>1187.9254563115358</v>
      </c>
      <c r="K71" s="164">
        <f>D71*Results!$E$9</f>
        <v>1064.5945079697033</v>
      </c>
      <c r="L71" s="164">
        <f>E71*Results!$F$9</f>
        <v>938.78083085977426</v>
      </c>
      <c r="M71" s="164">
        <f>F71*Results!$G$9</f>
        <v>810.90747472511737</v>
      </c>
      <c r="N71" s="164">
        <f>G71*Results!$H$9</f>
        <v>680.98319340945807</v>
      </c>
      <c r="O71" s="9"/>
      <c r="P71" s="176" t="str">
        <f t="shared" si="5"/>
        <v>Sim</v>
      </c>
      <c r="Q71" s="9"/>
      <c r="R71" s="9"/>
    </row>
    <row r="72" spans="1:18">
      <c r="A72" s="413"/>
      <c r="B72" s="11" t="str">
        <f>IF(comparador7=0,"Do not fill this line",comparador7)</f>
        <v>Simvastatin 10mg</v>
      </c>
      <c r="C72" s="385">
        <v>2.4466894118586029E-2</v>
      </c>
      <c r="D72" s="385">
        <v>2.1748350327632029E-2</v>
      </c>
      <c r="E72" s="385">
        <v>1.9029806536678021E-2</v>
      </c>
      <c r="F72" s="385">
        <v>1.6311262745724021E-2</v>
      </c>
      <c r="G72" s="385">
        <v>1.3592718954770017E-2</v>
      </c>
      <c r="H72" s="173"/>
      <c r="I72" s="9"/>
      <c r="J72" s="164">
        <f>C72*Results!$D$9</f>
        <v>257333.25433036484</v>
      </c>
      <c r="K72" s="164">
        <f>D72*Results!$E$9</f>
        <v>230616.80160361165</v>
      </c>
      <c r="L72" s="164">
        <f>E72*Results!$F$9</f>
        <v>203362.53005151093</v>
      </c>
      <c r="M72" s="164">
        <f>F72*Results!$G$9</f>
        <v>175662.08243382192</v>
      </c>
      <c r="N72" s="164">
        <f>G72*Results!$H$9</f>
        <v>147517.35504385317</v>
      </c>
      <c r="O72" s="9"/>
      <c r="P72" s="176" t="str">
        <f t="shared" si="5"/>
        <v>Sim</v>
      </c>
      <c r="Q72" s="9"/>
      <c r="R72" s="9"/>
    </row>
    <row r="73" spans="1:18">
      <c r="A73" s="413"/>
      <c r="B73" s="11" t="str">
        <f>IF(comparador8=0,"Do not fill this line",comparador8)</f>
        <v>Simvastatin 20mg</v>
      </c>
      <c r="C73" s="385">
        <v>0.5241915955742189</v>
      </c>
      <c r="D73" s="385">
        <v>0.46594808495486123</v>
      </c>
      <c r="E73" s="385">
        <v>0.40770457433550356</v>
      </c>
      <c r="F73" s="385">
        <v>0.34946106371614588</v>
      </c>
      <c r="G73" s="385">
        <v>0.29121755309678826</v>
      </c>
      <c r="H73" s="173"/>
      <c r="I73" s="9"/>
      <c r="J73" s="164">
        <f>C73*Results!$D$9</f>
        <v>5513242.8549347809</v>
      </c>
      <c r="K73" s="164">
        <f>D73*Results!$E$9</f>
        <v>4940855.5337225813</v>
      </c>
      <c r="L73" s="164">
        <f>E73*Results!$F$9</f>
        <v>4356945.6994025744</v>
      </c>
      <c r="M73" s="164">
        <f>F73*Results!$G$9</f>
        <v>3763476.7546129599</v>
      </c>
      <c r="N73" s="164">
        <f>G73*Results!$H$9</f>
        <v>3160489.3265379765</v>
      </c>
      <c r="O73" s="9"/>
      <c r="P73" s="176" t="str">
        <f t="shared" si="5"/>
        <v>Sim</v>
      </c>
      <c r="Q73" s="9"/>
      <c r="R73" s="9"/>
    </row>
    <row r="74" spans="1:18">
      <c r="A74" s="413"/>
      <c r="B74" s="11" t="str">
        <f>IF(comparador9=0,"Do not fill this line",comparador9)</f>
        <v>Simvastatin 40mg</v>
      </c>
      <c r="C74" s="385">
        <f>1-SUM(C62:C73)</f>
        <v>0.13416946988536649</v>
      </c>
      <c r="D74" s="385">
        <f t="shared" ref="D74" si="6">1-SUM(D62:D73)</f>
        <v>0.1192433692200916</v>
      </c>
      <c r="E74" s="385">
        <f t="shared" ref="E74:G74" si="7">1-SUM(E62:E73)</f>
        <v>0.10431726855481682</v>
      </c>
      <c r="F74" s="385">
        <f t="shared" si="7"/>
        <v>8.9391167889541823E-2</v>
      </c>
      <c r="G74" s="385">
        <f t="shared" si="7"/>
        <v>7.4465067224267045E-2</v>
      </c>
      <c r="H74" s="173"/>
      <c r="I74" s="9"/>
      <c r="J74" s="164">
        <f>C74*Results!$D$9</f>
        <v>1411142.1805333972</v>
      </c>
      <c r="K74" s="164">
        <f>D74*Results!$E$9</f>
        <v>1264441.854563883</v>
      </c>
      <c r="L74" s="164">
        <f>E74*Results!$F$9</f>
        <v>1114789.2449921763</v>
      </c>
      <c r="M74" s="164">
        <f>F74*Results!$G$9</f>
        <v>962686.88374753459</v>
      </c>
      <c r="N74" s="164">
        <f>G74*Results!$H$9</f>
        <v>808145.13980896596</v>
      </c>
      <c r="O74" s="9"/>
      <c r="P74" s="176" t="str">
        <f t="shared" si="5"/>
        <v>Sim</v>
      </c>
      <c r="Q74" s="9"/>
      <c r="R74" s="9"/>
    </row>
    <row r="75" spans="1:18">
      <c r="A75" s="413"/>
      <c r="B75" s="11" t="str">
        <f>IF(comparador10=0,"Do not fill this line",comparador10)</f>
        <v>Do not fill this line</v>
      </c>
      <c r="C75" s="50"/>
      <c r="D75" s="50"/>
      <c r="E75" s="50"/>
      <c r="F75" s="50"/>
      <c r="G75" s="50"/>
      <c r="H75" s="173"/>
      <c r="I75" s="9"/>
      <c r="J75" s="164">
        <f>C75*Results!$D$9</f>
        <v>0</v>
      </c>
      <c r="K75" s="164">
        <f>D75*Results!$E$9</f>
        <v>0</v>
      </c>
      <c r="L75" s="164">
        <f>E75*Results!$F$9</f>
        <v>0</v>
      </c>
      <c r="M75" s="164">
        <f>F75*Results!$G$9</f>
        <v>0</v>
      </c>
      <c r="N75" s="164">
        <f>G75*Results!$H$9</f>
        <v>0</v>
      </c>
      <c r="O75" s="9"/>
      <c r="P75" s="176" t="str">
        <f t="shared" si="5"/>
        <v>Não</v>
      </c>
      <c r="Q75" s="9"/>
      <c r="R75" s="9"/>
    </row>
    <row r="76" spans="1:18">
      <c r="A76" s="9"/>
      <c r="B76" s="9"/>
      <c r="C76" s="178">
        <f>SUM(C62:C75)</f>
        <v>1</v>
      </c>
      <c r="D76" s="178">
        <f t="shared" ref="D76:G76" si="8">SUM(D62:D75)</f>
        <v>1</v>
      </c>
      <c r="E76" s="178">
        <f t="shared" si="8"/>
        <v>1</v>
      </c>
      <c r="F76" s="178">
        <f t="shared" si="8"/>
        <v>1</v>
      </c>
      <c r="G76" s="178">
        <f t="shared" si="8"/>
        <v>1</v>
      </c>
      <c r="H76" s="173"/>
      <c r="I76" s="9"/>
      <c r="J76" s="9"/>
      <c r="K76" s="9"/>
      <c r="L76" s="9"/>
      <c r="M76" s="9"/>
      <c r="N76" s="9"/>
      <c r="O76" s="9"/>
      <c r="P76" s="176" t="str">
        <f t="shared" si="5"/>
        <v>Sim</v>
      </c>
      <c r="Q76" s="9"/>
      <c r="R76" s="9"/>
    </row>
    <row r="77" spans="1:18">
      <c r="A77" s="9"/>
      <c r="B77" s="9"/>
      <c r="C77" s="179" t="str">
        <f>IF(C76=1,"ok","check")</f>
        <v>ok</v>
      </c>
      <c r="D77" s="179" t="str">
        <f>IF(D76=1,"ok","check")</f>
        <v>ok</v>
      </c>
      <c r="E77" s="179" t="str">
        <f>IF(E76=1,"ok","check")</f>
        <v>ok</v>
      </c>
      <c r="F77" s="179" t="str">
        <f>IF(F76=1,"ok","check")</f>
        <v>ok</v>
      </c>
      <c r="G77" s="179" t="str">
        <f>IF(G76=1,"ok","check")</f>
        <v>ok</v>
      </c>
      <c r="H77" s="173" t="s">
        <v>94</v>
      </c>
      <c r="I77" s="9"/>
      <c r="J77" s="9"/>
      <c r="K77" s="9"/>
      <c r="L77" s="9"/>
      <c r="M77" s="9"/>
      <c r="N77" s="9"/>
      <c r="O77" s="9"/>
      <c r="P77" s="176"/>
      <c r="Q77" s="9"/>
      <c r="R77" s="9"/>
    </row>
    <row r="78" spans="1:18" ht="15.6">
      <c r="A78" s="9"/>
      <c r="B78" s="9"/>
      <c r="C78" s="9"/>
      <c r="D78" s="9"/>
      <c r="E78" s="9"/>
      <c r="F78" s="9"/>
      <c r="G78" s="9"/>
      <c r="H78" s="173"/>
      <c r="I78" s="9"/>
      <c r="J78" s="165" t="s">
        <v>3</v>
      </c>
      <c r="K78" s="9"/>
      <c r="L78" s="9"/>
      <c r="M78" s="9"/>
      <c r="N78" s="9"/>
      <c r="O78" s="9"/>
      <c r="P78" s="176" t="str">
        <f t="shared" ref="P78:P96" si="9">IF(B78="Do not fill this line","Não","Sim")</f>
        <v>Sim</v>
      </c>
      <c r="Q78" s="9"/>
      <c r="R78" s="9"/>
    </row>
    <row r="79" spans="1:18" s="166" customFormat="1" ht="18">
      <c r="B79" s="167" t="s">
        <v>90</v>
      </c>
      <c r="C79" s="168" t="str">
        <f>cen_prop3</f>
        <v>moderate intensity only</v>
      </c>
      <c r="D79" s="168"/>
      <c r="E79" s="168"/>
      <c r="F79" s="168"/>
      <c r="G79" s="168"/>
      <c r="H79" s="170"/>
      <c r="J79" s="171" t="str">
        <f>cen_prop3</f>
        <v>moderate intensity only</v>
      </c>
      <c r="K79" s="9"/>
      <c r="L79" s="9"/>
      <c r="M79" s="9"/>
      <c r="N79" s="9"/>
      <c r="O79" s="9"/>
      <c r="P79" s="176" t="str">
        <f t="shared" si="9"/>
        <v>Sim</v>
      </c>
      <c r="Q79" s="9"/>
      <c r="R79" s="9"/>
    </row>
    <row r="80" spans="1:18" ht="15.6">
      <c r="A80" s="9"/>
      <c r="B80" s="181"/>
      <c r="C80" s="181"/>
      <c r="D80" s="9"/>
      <c r="E80" s="9"/>
      <c r="F80" s="9"/>
      <c r="G80" s="9"/>
      <c r="H80" s="173"/>
      <c r="I80" s="9"/>
      <c r="J80" s="9"/>
      <c r="K80" s="9"/>
      <c r="L80" s="9"/>
      <c r="M80" s="9"/>
      <c r="N80" s="9"/>
      <c r="O80" s="9"/>
      <c r="P80" s="176" t="str">
        <f t="shared" si="9"/>
        <v>Sim</v>
      </c>
      <c r="Q80" s="9"/>
      <c r="R80" s="9"/>
    </row>
    <row r="81" spans="1:16">
      <c r="A81" s="9"/>
      <c r="B81" s="174" t="s">
        <v>81</v>
      </c>
      <c r="C81" s="174">
        <f>ano_1</f>
        <v>2026</v>
      </c>
      <c r="D81" s="174">
        <f>ano_1+1</f>
        <v>2027</v>
      </c>
      <c r="E81" s="174">
        <f>ano_1+2</f>
        <v>2028</v>
      </c>
      <c r="F81" s="174">
        <f>ano_1+3</f>
        <v>2029</v>
      </c>
      <c r="G81" s="174">
        <f>ano_1+4</f>
        <v>2030</v>
      </c>
      <c r="H81" s="173" t="s">
        <v>93</v>
      </c>
      <c r="I81" s="9"/>
      <c r="J81" s="174">
        <f>ano_1</f>
        <v>2026</v>
      </c>
      <c r="K81" s="174">
        <f>ano_1+1</f>
        <v>2027</v>
      </c>
      <c r="L81" s="174">
        <f>ano_1+2</f>
        <v>2028</v>
      </c>
      <c r="M81" s="174">
        <f>ano_1+3</f>
        <v>2029</v>
      </c>
      <c r="N81" s="174">
        <f>ano_1+4</f>
        <v>2030</v>
      </c>
      <c r="O81" s="9"/>
      <c r="P81" s="176" t="str">
        <f t="shared" si="9"/>
        <v>Sim</v>
      </c>
    </row>
    <row r="82" spans="1:16">
      <c r="A82" s="412" t="s">
        <v>91</v>
      </c>
      <c r="B82" s="175" t="str">
        <f>IF(intervencao1=0,"Do not fill this line",intervencao1)</f>
        <v>Rosuvastatin 5mg</v>
      </c>
      <c r="C82" s="50">
        <v>2.3164713140037017E-2</v>
      </c>
      <c r="D82" s="50">
        <v>4.6329426280074033E-2</v>
      </c>
      <c r="E82" s="50">
        <v>6.949413942011104E-2</v>
      </c>
      <c r="F82" s="50">
        <v>9.2658852560148067E-2</v>
      </c>
      <c r="G82" s="50">
        <v>0.11582356570018508</v>
      </c>
      <c r="H82" s="173"/>
      <c r="I82" s="9"/>
      <c r="J82" s="164">
        <f>C82*Results!$D$9</f>
        <v>243637.42243143308</v>
      </c>
      <c r="K82" s="164">
        <f>D82*Results!$E$9</f>
        <v>491271.47337084037</v>
      </c>
      <c r="L82" s="164">
        <f>E82*Results!$F$9</f>
        <v>742650.95596149401</v>
      </c>
      <c r="M82" s="164">
        <f>F82*Results!$G$9</f>
        <v>997877.80077977024</v>
      </c>
      <c r="N82" s="164">
        <f>G82*Results!$H$9</f>
        <v>1256995.4635781951</v>
      </c>
      <c r="O82" s="9"/>
      <c r="P82" s="176" t="str">
        <f t="shared" si="9"/>
        <v>Sim</v>
      </c>
    </row>
    <row r="83" spans="1:16">
      <c r="A83" s="412"/>
      <c r="B83" s="175" t="str">
        <f>IF(intervencao2=0,"Do not fill this line",intervencao2)</f>
        <v>Rosuvastatin 10mg</v>
      </c>
      <c r="C83" s="50">
        <v>7.6835286859962992E-2</v>
      </c>
      <c r="D83" s="50">
        <v>0.15367057371992598</v>
      </c>
      <c r="E83" s="50">
        <v>0.23050586057988892</v>
      </c>
      <c r="F83" s="50">
        <v>0.30734114743985197</v>
      </c>
      <c r="G83" s="50">
        <v>0.38417643429981491</v>
      </c>
      <c r="H83" s="173"/>
      <c r="I83" s="9"/>
      <c r="J83" s="164">
        <f>C83*Results!$D$9</f>
        <v>808123.59424327535</v>
      </c>
      <c r="K83" s="164">
        <f>D83*Results!$E$9</f>
        <v>1629503.6486907634</v>
      </c>
      <c r="L83" s="164">
        <f>E83*Results!$F$9</f>
        <v>2463306.9657790698</v>
      </c>
      <c r="M83" s="164">
        <f>F83*Results!$G$9</f>
        <v>3309871.6401363616</v>
      </c>
      <c r="N83" s="164">
        <f>G83*Results!$H$9</f>
        <v>4169341.810616889</v>
      </c>
      <c r="O83" s="9"/>
      <c r="P83" s="176" t="str">
        <f t="shared" si="9"/>
        <v>Sim</v>
      </c>
    </row>
    <row r="84" spans="1:16">
      <c r="A84" s="412"/>
      <c r="B84" s="175" t="str">
        <f>IF(intervencao3=0,"Do not fill this line",intervencao3)</f>
        <v>Rosuvastatin 20mg</v>
      </c>
      <c r="C84" s="385">
        <v>0</v>
      </c>
      <c r="D84" s="385">
        <v>0</v>
      </c>
      <c r="E84" s="385">
        <v>0</v>
      </c>
      <c r="F84" s="385">
        <v>0</v>
      </c>
      <c r="G84" s="385">
        <v>0</v>
      </c>
      <c r="H84" s="173"/>
      <c r="I84" s="9"/>
      <c r="J84" s="164">
        <f>C84*Results!$D$9</f>
        <v>0</v>
      </c>
      <c r="K84" s="164">
        <f>D84*Results!$E$9</f>
        <v>0</v>
      </c>
      <c r="L84" s="164">
        <f>E84*Results!$F$9</f>
        <v>0</v>
      </c>
      <c r="M84" s="164">
        <f>F84*Results!$G$9</f>
        <v>0</v>
      </c>
      <c r="N84" s="164">
        <f>G84*Results!$H$9</f>
        <v>0</v>
      </c>
      <c r="O84" s="9"/>
      <c r="P84" s="176" t="str">
        <f t="shared" si="9"/>
        <v>Sim</v>
      </c>
    </row>
    <row r="85" spans="1:16">
      <c r="A85" s="412"/>
      <c r="B85" s="175" t="str">
        <f>IF(intervencao4=0,"Do not fill this line",intervencao4)</f>
        <v>Rosuvastatin 40mg</v>
      </c>
      <c r="C85" s="385">
        <v>0</v>
      </c>
      <c r="D85" s="385">
        <v>0</v>
      </c>
      <c r="E85" s="385">
        <v>0</v>
      </c>
      <c r="F85" s="385">
        <v>0</v>
      </c>
      <c r="G85" s="385">
        <v>0</v>
      </c>
      <c r="H85" s="173"/>
      <c r="I85" s="9"/>
      <c r="J85" s="164">
        <f>C85*Results!$D$9</f>
        <v>0</v>
      </c>
      <c r="K85" s="164">
        <f>D85*Results!$E$9</f>
        <v>0</v>
      </c>
      <c r="L85" s="164">
        <f>E85*Results!$F$9</f>
        <v>0</v>
      </c>
      <c r="M85" s="164">
        <f>F85*Results!$G$9</f>
        <v>0</v>
      </c>
      <c r="N85" s="164">
        <f>G85*Results!$H$9</f>
        <v>0</v>
      </c>
      <c r="O85" s="9"/>
      <c r="P85" s="176" t="str">
        <f t="shared" si="9"/>
        <v>Sim</v>
      </c>
    </row>
    <row r="86" spans="1:16" s="180" customFormat="1">
      <c r="A86" s="413" t="s">
        <v>92</v>
      </c>
      <c r="B86" s="11" t="str">
        <f>IF(comparador1=0,"Do not fill this line",comparador1)</f>
        <v>Atorvastatin 10mg</v>
      </c>
      <c r="C86" s="385">
        <v>1.731592681618228E-2</v>
      </c>
      <c r="D86" s="385">
        <v>1.5391934947717581E-2</v>
      </c>
      <c r="E86" s="385">
        <v>1.3467943079252883E-2</v>
      </c>
      <c r="F86" s="385">
        <v>1.1543951210788186E-2</v>
      </c>
      <c r="G86" s="385">
        <v>9.6199593423234881E-3</v>
      </c>
      <c r="H86" s="173"/>
      <c r="I86" s="7"/>
      <c r="J86" s="164">
        <f>C86*Results!$D$9</f>
        <v>182122.16792852723</v>
      </c>
      <c r="K86" s="164">
        <f>D86*Results!$E$9</f>
        <v>163214.16358755008</v>
      </c>
      <c r="L86" s="164">
        <f>E86*Results!$F$9</f>
        <v>143925.52934827263</v>
      </c>
      <c r="M86" s="164">
        <f>F86*Results!$G$9</f>
        <v>124321.12343558976</v>
      </c>
      <c r="N86" s="164">
        <f>G86*Results!$H$9</f>
        <v>104402.28791098234</v>
      </c>
      <c r="O86" s="7"/>
      <c r="P86" s="176" t="str">
        <f t="shared" si="9"/>
        <v>Sim</v>
      </c>
    </row>
    <row r="87" spans="1:16" s="180" customFormat="1">
      <c r="A87" s="413"/>
      <c r="B87" s="11" t="str">
        <f>IF(comparador2=0,"Do not fill this line",comparador2)</f>
        <v>Atorvastatin 20mg</v>
      </c>
      <c r="C87" s="385">
        <v>8.6851597546081072E-2</v>
      </c>
      <c r="D87" s="385">
        <v>7.7201420040960964E-2</v>
      </c>
      <c r="E87" s="385">
        <v>6.7551242535840827E-2</v>
      </c>
      <c r="F87" s="385">
        <v>5.7901065030720712E-2</v>
      </c>
      <c r="G87" s="385">
        <v>4.8250887525600597E-2</v>
      </c>
      <c r="H87" s="177"/>
      <c r="I87" s="7"/>
      <c r="J87" s="164">
        <f>C87*Results!$D$9</f>
        <v>913471.24534888833</v>
      </c>
      <c r="K87" s="164">
        <f>D87*Results!$E$9</f>
        <v>818634.25505349052</v>
      </c>
      <c r="L87" s="164">
        <f>E87*Results!$F$9</f>
        <v>721888.13710399019</v>
      </c>
      <c r="M87" s="164">
        <f>F87*Results!$G$9</f>
        <v>623558.20128633932</v>
      </c>
      <c r="N87" s="164">
        <f>G87*Results!$H$9</f>
        <v>523651.17898632231</v>
      </c>
      <c r="O87" s="7"/>
      <c r="P87" s="176" t="str">
        <f t="shared" si="9"/>
        <v>Sim</v>
      </c>
    </row>
    <row r="88" spans="1:16">
      <c r="A88" s="413"/>
      <c r="B88" s="11" t="str">
        <f>IF(comparador3=0,"Do not fill this line",comparador3)</f>
        <v>Atorvastatin 40mg</v>
      </c>
      <c r="C88" s="385">
        <v>9.5638219698581578E-2</v>
      </c>
      <c r="D88" s="385">
        <v>8.5011750843183631E-2</v>
      </c>
      <c r="E88" s="385">
        <v>7.4385281987785656E-2</v>
      </c>
      <c r="F88" s="385">
        <v>6.3758813132387709E-2</v>
      </c>
      <c r="G88" s="385">
        <v>5.3132344276989762E-2</v>
      </c>
      <c r="H88" s="173"/>
      <c r="I88" s="9"/>
      <c r="J88" s="164">
        <f>C88*Results!$D$9</f>
        <v>1005885.5118313929</v>
      </c>
      <c r="K88" s="164">
        <f>D88*Results!$E$9</f>
        <v>901454.03135561699</v>
      </c>
      <c r="L88" s="164">
        <f>E88*Results!$F$9</f>
        <v>794920.28016549046</v>
      </c>
      <c r="M88" s="164">
        <f>F88*Results!$G$9</f>
        <v>686642.47906129819</v>
      </c>
      <c r="N88" s="164">
        <f>G88*Results!$H$9</f>
        <v>576628.04043119086</v>
      </c>
      <c r="O88" s="9"/>
      <c r="P88" s="176" t="str">
        <f t="shared" si="9"/>
        <v>Sim</v>
      </c>
    </row>
    <row r="89" spans="1:16">
      <c r="A89" s="413"/>
      <c r="B89" s="11" t="str">
        <f>IF(comparador4=0,"Do not fill this line",comparador4)</f>
        <v>Atorvastatin 80mg</v>
      </c>
      <c r="C89" s="385">
        <v>1.7087913930054301E-2</v>
      </c>
      <c r="D89" s="385">
        <v>1.5189256826714934E-2</v>
      </c>
      <c r="E89" s="385">
        <v>1.3290599723375566E-2</v>
      </c>
      <c r="F89" s="385">
        <v>1.13919426200362E-2</v>
      </c>
      <c r="G89" s="385">
        <v>9.4932855166968335E-3</v>
      </c>
      <c r="H89" s="173"/>
      <c r="I89" s="9"/>
      <c r="J89" s="164">
        <f>C89*Results!$D$9</f>
        <v>179724.01727923824</v>
      </c>
      <c r="K89" s="164">
        <f>D89*Results!$E$9</f>
        <v>161064.99000350706</v>
      </c>
      <c r="L89" s="164">
        <f>E89*Results!$F$9</f>
        <v>142030.34489279616</v>
      </c>
      <c r="M89" s="164">
        <f>F89*Results!$G$9</f>
        <v>122684.08613102397</v>
      </c>
      <c r="N89" s="164">
        <f>G89*Results!$H$9</f>
        <v>103027.53810765674</v>
      </c>
      <c r="O89" s="9"/>
      <c r="P89" s="176" t="str">
        <f t="shared" si="9"/>
        <v>Sim</v>
      </c>
    </row>
    <row r="90" spans="1:16">
      <c r="A90" s="413"/>
      <c r="B90" s="11" t="str">
        <f>IF(comparador5=0,"Do not fill this line",comparador5)</f>
        <v>Pravastatin</v>
      </c>
      <c r="C90" s="385">
        <v>1.6543610210761962E-4</v>
      </c>
      <c r="D90" s="385">
        <v>1.6543610210761962E-4</v>
      </c>
      <c r="E90" s="385">
        <v>1.6543610210761962E-4</v>
      </c>
      <c r="F90" s="385">
        <v>1.6543610210761962E-4</v>
      </c>
      <c r="G90" s="385">
        <v>1.6543610210761962E-4</v>
      </c>
      <c r="H90" s="173"/>
      <c r="I90" s="9"/>
      <c r="J90" s="164">
        <f>C90*Results!$D$9</f>
        <v>1739.9924294741088</v>
      </c>
      <c r="K90" s="164">
        <f>D90*Results!$E$9</f>
        <v>1754.2638482034145</v>
      </c>
      <c r="L90" s="164">
        <f>E90*Results!$F$9</f>
        <v>1767.9372736460134</v>
      </c>
      <c r="M90" s="164">
        <f>F90*Results!$G$9</f>
        <v>1781.6431909036062</v>
      </c>
      <c r="N90" s="164">
        <f>G90*Results!$H$9</f>
        <v>1795.4241747282406</v>
      </c>
      <c r="O90" s="9"/>
      <c r="P90" s="176" t="str">
        <f t="shared" si="9"/>
        <v>Sim</v>
      </c>
    </row>
    <row r="91" spans="1:16">
      <c r="A91" s="413"/>
      <c r="B91" s="11" t="str">
        <f>IF(comparador6=0,"Do not fill this line",comparador6)</f>
        <v>Simvastatin 5mg</v>
      </c>
      <c r="C91" s="385">
        <v>1.1294632882166812E-4</v>
      </c>
      <c r="D91" s="385">
        <v>1.0039673673037167E-4</v>
      </c>
      <c r="E91" s="385">
        <v>8.78471446390752E-5</v>
      </c>
      <c r="F91" s="385">
        <v>7.5297552547778752E-5</v>
      </c>
      <c r="G91" s="385">
        <v>6.2747960456482291E-5</v>
      </c>
      <c r="H91" s="173"/>
      <c r="I91" s="9"/>
      <c r="J91" s="164">
        <f>C91*Results!$D$9</f>
        <v>1187.9254563115358</v>
      </c>
      <c r="K91" s="164">
        <f>D91*Results!$E$9</f>
        <v>1064.5945079697033</v>
      </c>
      <c r="L91" s="164">
        <f>E91*Results!$F$9</f>
        <v>938.78083085977426</v>
      </c>
      <c r="M91" s="164">
        <f>F91*Results!$G$9</f>
        <v>810.90747472511737</v>
      </c>
      <c r="N91" s="164">
        <f>G91*Results!$H$9</f>
        <v>680.98319340945807</v>
      </c>
      <c r="O91" s="9"/>
      <c r="P91" s="176" t="str">
        <f t="shared" si="9"/>
        <v>Sim</v>
      </c>
    </row>
    <row r="92" spans="1:16">
      <c r="A92" s="413"/>
      <c r="B92" s="11" t="str">
        <f>IF(comparador7=0,"Do not fill this line",comparador7)</f>
        <v>Simvastatin 10mg</v>
      </c>
      <c r="C92" s="385">
        <v>2.4466894118586029E-2</v>
      </c>
      <c r="D92" s="385">
        <v>2.1748350327632029E-2</v>
      </c>
      <c r="E92" s="385">
        <v>1.9029806536678021E-2</v>
      </c>
      <c r="F92" s="385">
        <v>1.6311262745724021E-2</v>
      </c>
      <c r="G92" s="385">
        <v>1.3592718954770017E-2</v>
      </c>
      <c r="H92" s="173"/>
      <c r="I92" s="9"/>
      <c r="J92" s="164">
        <f>C92*Results!$D$9</f>
        <v>257333.25433036484</v>
      </c>
      <c r="K92" s="164">
        <f>D92*Results!$E$9</f>
        <v>230616.80160361165</v>
      </c>
      <c r="L92" s="164">
        <f>E92*Results!$F$9</f>
        <v>203362.53005151093</v>
      </c>
      <c r="M92" s="164">
        <f>F92*Results!$G$9</f>
        <v>175662.08243382192</v>
      </c>
      <c r="N92" s="164">
        <f>G92*Results!$H$9</f>
        <v>147517.35504385317</v>
      </c>
      <c r="O92" s="9"/>
      <c r="P92" s="176" t="str">
        <f t="shared" si="9"/>
        <v>Sim</v>
      </c>
    </row>
    <row r="93" spans="1:16">
      <c r="A93" s="413"/>
      <c r="B93" s="11" t="str">
        <f>IF(comparador8=0,"Do not fill this line",comparador8)</f>
        <v>Simvastatin 20mg</v>
      </c>
      <c r="C93" s="385">
        <v>0.5241915955742189</v>
      </c>
      <c r="D93" s="385">
        <v>0.46594808495486123</v>
      </c>
      <c r="E93" s="385">
        <v>0.40770457433550356</v>
      </c>
      <c r="F93" s="385">
        <v>0.34946106371614588</v>
      </c>
      <c r="G93" s="385">
        <v>0.29121755309678826</v>
      </c>
      <c r="H93" s="173"/>
      <c r="I93" s="9"/>
      <c r="J93" s="164">
        <f>C93*Results!$D$9</f>
        <v>5513242.8549347809</v>
      </c>
      <c r="K93" s="164">
        <f>D93*Results!$E$9</f>
        <v>4940855.5337225813</v>
      </c>
      <c r="L93" s="164">
        <f>E93*Results!$F$9</f>
        <v>4356945.6994025744</v>
      </c>
      <c r="M93" s="164">
        <f>F93*Results!$G$9</f>
        <v>3763476.7546129599</v>
      </c>
      <c r="N93" s="164">
        <f>G93*Results!$H$9</f>
        <v>3160489.3265379765</v>
      </c>
      <c r="O93" s="9"/>
      <c r="P93" s="176" t="str">
        <f t="shared" si="9"/>
        <v>Sim</v>
      </c>
    </row>
    <row r="94" spans="1:16">
      <c r="A94" s="413"/>
      <c r="B94" s="11" t="str">
        <f>IF(comparador9=0,"Do not fill this line",comparador9)</f>
        <v>Simvastatin 40mg</v>
      </c>
      <c r="C94" s="385">
        <f>1-SUM(C82:C93)</f>
        <v>0.13416946988536649</v>
      </c>
      <c r="D94" s="385">
        <f t="shared" ref="D94" si="10">1-SUM(D82:D93)</f>
        <v>0.1192433692200916</v>
      </c>
      <c r="E94" s="385">
        <f t="shared" ref="E94:G94" si="11">1-SUM(E82:E93)</f>
        <v>0.10431726855481693</v>
      </c>
      <c r="F94" s="385">
        <f t="shared" si="11"/>
        <v>8.9391167889541823E-2</v>
      </c>
      <c r="G94" s="385">
        <f t="shared" si="11"/>
        <v>7.4465067224267045E-2</v>
      </c>
      <c r="H94" s="173"/>
      <c r="I94" s="9"/>
      <c r="J94" s="164">
        <f>C94*Results!$D$9</f>
        <v>1411142.1805333972</v>
      </c>
      <c r="K94" s="164">
        <f>D94*Results!$E$9</f>
        <v>1264441.854563883</v>
      </c>
      <c r="L94" s="164">
        <f>E94*Results!$F$9</f>
        <v>1114789.2449921775</v>
      </c>
      <c r="M94" s="164">
        <f>F94*Results!$G$9</f>
        <v>962686.88374753459</v>
      </c>
      <c r="N94" s="164">
        <f>G94*Results!$H$9</f>
        <v>808145.13980896596</v>
      </c>
      <c r="O94" s="9"/>
      <c r="P94" s="176" t="str">
        <f t="shared" si="9"/>
        <v>Sim</v>
      </c>
    </row>
    <row r="95" spans="1:16">
      <c r="A95" s="413"/>
      <c r="B95" s="11" t="str">
        <f>IF(comparador10=0,"Do not fill this line",comparador10)</f>
        <v>Do not fill this line</v>
      </c>
      <c r="C95" s="50"/>
      <c r="D95" s="50"/>
      <c r="E95" s="50"/>
      <c r="F95" s="50"/>
      <c r="G95" s="50"/>
      <c r="H95" s="173"/>
      <c r="I95" s="9"/>
      <c r="J95" s="164">
        <f>C95*Results!$D$9</f>
        <v>0</v>
      </c>
      <c r="K95" s="164">
        <f>D95*Results!$E$9</f>
        <v>0</v>
      </c>
      <c r="L95" s="164">
        <f>E95*Results!$F$9</f>
        <v>0</v>
      </c>
      <c r="M95" s="164">
        <f>F95*Results!$G$9</f>
        <v>0</v>
      </c>
      <c r="N95" s="164">
        <f>G95*Results!$H$9</f>
        <v>0</v>
      </c>
      <c r="O95" s="9"/>
      <c r="P95" s="176" t="str">
        <f t="shared" si="9"/>
        <v>Não</v>
      </c>
    </row>
    <row r="96" spans="1:16">
      <c r="A96" s="9"/>
      <c r="B96" s="9"/>
      <c r="C96" s="178">
        <f>SUM(C82:C95)</f>
        <v>1</v>
      </c>
      <c r="D96" s="178">
        <f t="shared" ref="D96:G96" si="12">SUM(D82:D95)</f>
        <v>1</v>
      </c>
      <c r="E96" s="178">
        <f t="shared" si="12"/>
        <v>1</v>
      </c>
      <c r="F96" s="178">
        <f t="shared" si="12"/>
        <v>1</v>
      </c>
      <c r="G96" s="178">
        <f t="shared" si="12"/>
        <v>1</v>
      </c>
      <c r="H96" s="173"/>
      <c r="I96" s="9"/>
      <c r="J96" s="9"/>
      <c r="K96" s="9"/>
      <c r="L96" s="9"/>
      <c r="M96" s="9"/>
      <c r="N96" s="9"/>
      <c r="O96" s="9"/>
      <c r="P96" s="176" t="str">
        <f t="shared" si="9"/>
        <v>Sim</v>
      </c>
    </row>
    <row r="97" spans="2:26">
      <c r="C97" s="179" t="str">
        <f>IF(C96=1,"ok","check")</f>
        <v>ok</v>
      </c>
      <c r="D97" s="179" t="str">
        <f>IF(D96=1,"ok","check")</f>
        <v>ok</v>
      </c>
      <c r="E97" s="179" t="str">
        <f>IF(E96=1,"ok","check")</f>
        <v>ok</v>
      </c>
      <c r="F97" s="179" t="str">
        <f>IF(F96=1,"ok","check")</f>
        <v>ok</v>
      </c>
      <c r="G97" s="179" t="str">
        <f>IF(G96=1,"ok","check")</f>
        <v>ok</v>
      </c>
      <c r="H97" s="173" t="s">
        <v>94</v>
      </c>
      <c r="I97" s="9"/>
      <c r="J97" s="9"/>
      <c r="K97" s="9"/>
      <c r="L97" s="9"/>
      <c r="M97" s="9"/>
      <c r="N97" s="9"/>
      <c r="O97" s="9"/>
      <c r="P97" s="176"/>
    </row>
    <row r="98" spans="2:26">
      <c r="C98" s="9"/>
      <c r="D98" s="9"/>
      <c r="E98" s="9"/>
      <c r="F98" s="9"/>
      <c r="G98" s="9"/>
      <c r="H98" s="173"/>
      <c r="I98" s="9"/>
      <c r="J98" s="9"/>
      <c r="K98" s="9"/>
      <c r="L98" s="9"/>
      <c r="M98" s="9"/>
      <c r="N98" s="9"/>
      <c r="O98" s="9"/>
      <c r="P98" s="176"/>
    </row>
    <row r="99" spans="2:26">
      <c r="C99" s="9"/>
      <c r="D99" s="9"/>
      <c r="E99" s="9"/>
      <c r="F99" s="9"/>
      <c r="G99" s="9"/>
      <c r="H99" s="173"/>
      <c r="I99" s="9"/>
      <c r="J99" s="9"/>
      <c r="K99" s="9"/>
      <c r="L99" s="9"/>
      <c r="M99" s="9"/>
      <c r="N99" s="9"/>
      <c r="O99" s="9"/>
      <c r="P99" s="176"/>
    </row>
    <row r="100" spans="2:26">
      <c r="C100" s="9"/>
      <c r="D100" s="9"/>
      <c r="E100" s="9"/>
      <c r="F100" s="9"/>
      <c r="G100" s="9"/>
      <c r="H100" s="173"/>
      <c r="I100" s="9"/>
      <c r="J100" s="9"/>
      <c r="K100" s="9"/>
      <c r="L100" s="9"/>
      <c r="M100" s="9"/>
      <c r="N100" s="9"/>
      <c r="O100" s="9"/>
      <c r="P100" s="176"/>
    </row>
    <row r="101" spans="2:26">
      <c r="C101" s="9"/>
      <c r="D101" s="9"/>
      <c r="E101" s="9"/>
      <c r="F101" s="9"/>
      <c r="G101" s="9"/>
      <c r="H101" s="173"/>
      <c r="I101" s="9"/>
      <c r="J101" s="9"/>
      <c r="K101" s="9"/>
      <c r="L101" s="9"/>
      <c r="M101" s="9"/>
      <c r="N101" s="9"/>
      <c r="O101" s="9"/>
      <c r="P101" s="176"/>
    </row>
    <row r="102" spans="2:26">
      <c r="C102" s="9"/>
      <c r="D102" s="9"/>
      <c r="E102" s="9"/>
      <c r="F102" s="9"/>
      <c r="G102" s="9"/>
      <c r="H102" s="173"/>
      <c r="I102" s="9"/>
      <c r="J102" s="9"/>
      <c r="K102" s="9"/>
      <c r="L102" s="9"/>
      <c r="M102" s="9"/>
      <c r="N102" s="9"/>
      <c r="O102" s="9"/>
      <c r="P102" s="176"/>
    </row>
    <row r="103" spans="2:26">
      <c r="C103" s="9"/>
      <c r="D103" s="9"/>
      <c r="E103" s="9"/>
      <c r="F103" s="9"/>
      <c r="G103" s="9"/>
      <c r="H103" s="173"/>
      <c r="I103" s="9"/>
      <c r="J103" s="9"/>
      <c r="K103" s="9"/>
      <c r="L103" s="9"/>
      <c r="M103" s="9"/>
      <c r="N103" s="9"/>
      <c r="O103" s="9"/>
      <c r="P103" s="176"/>
    </row>
    <row r="104" spans="2:26">
      <c r="C104" s="9"/>
      <c r="D104" s="9"/>
      <c r="E104" s="9"/>
      <c r="F104" s="9"/>
      <c r="G104" s="9"/>
      <c r="H104" s="173"/>
      <c r="I104" s="9"/>
      <c r="J104" s="9"/>
      <c r="K104" s="9"/>
      <c r="L104" s="9"/>
      <c r="M104" s="9"/>
      <c r="N104" s="9"/>
      <c r="O104" s="9"/>
      <c r="P104" s="176"/>
    </row>
    <row r="105" spans="2:26">
      <c r="C105" s="9"/>
      <c r="D105" s="9"/>
      <c r="E105" s="9"/>
      <c r="F105" s="9"/>
      <c r="G105" s="9"/>
      <c r="H105" s="173"/>
      <c r="I105" s="9"/>
      <c r="J105" s="9"/>
      <c r="K105" s="9"/>
      <c r="L105" s="9"/>
      <c r="M105" s="9"/>
      <c r="N105" s="9"/>
      <c r="O105" s="9"/>
      <c r="P105" s="176"/>
    </row>
    <row r="106" spans="2:26" s="142" customFormat="1">
      <c r="C106" s="7"/>
      <c r="D106" s="7"/>
      <c r="E106" s="7"/>
      <c r="F106" s="7"/>
      <c r="G106" s="7"/>
      <c r="H106" s="7"/>
      <c r="I106" s="7"/>
      <c r="J106" s="7"/>
      <c r="K106" s="7"/>
      <c r="L106" s="7"/>
    </row>
    <row r="107" spans="2:26" s="142" customFormat="1">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row>
    <row r="108" spans="2:26" s="142" customFormat="1" ht="15" customHeight="1">
      <c r="B108" s="406" t="s">
        <v>224</v>
      </c>
      <c r="C108" s="406"/>
      <c r="D108" s="406"/>
      <c r="E108" s="406"/>
      <c r="F108" s="406"/>
      <c r="G108" s="406"/>
      <c r="H108" s="406"/>
      <c r="I108" s="406"/>
      <c r="J108" s="406"/>
      <c r="K108" s="406"/>
      <c r="L108" s="406"/>
      <c r="M108" s="406"/>
      <c r="N108" s="406"/>
    </row>
    <row r="109" spans="2:26" s="142" customFormat="1">
      <c r="B109" s="406"/>
      <c r="C109" s="406"/>
      <c r="D109" s="406"/>
      <c r="E109" s="406"/>
      <c r="F109" s="406"/>
      <c r="G109" s="406"/>
      <c r="H109" s="406"/>
      <c r="I109" s="406"/>
      <c r="J109" s="406"/>
      <c r="K109" s="406"/>
      <c r="L109" s="406"/>
      <c r="M109" s="406"/>
      <c r="N109" s="406"/>
    </row>
    <row r="110" spans="2:26" s="1" customFormat="1" ht="85.95" customHeight="1">
      <c r="B110" s="405" t="e" vm="1">
        <v>#VALUE!</v>
      </c>
      <c r="C110" s="405"/>
      <c r="D110" s="405"/>
      <c r="E110" s="405"/>
      <c r="F110" s="405"/>
      <c r="G110" s="405"/>
      <c r="H110" s="405"/>
      <c r="I110" s="405"/>
      <c r="J110" s="405"/>
      <c r="K110" s="405"/>
      <c r="L110" s="405"/>
      <c r="M110" s="405"/>
    </row>
    <row r="111" spans="2:26">
      <c r="C111" s="9"/>
      <c r="D111" s="9"/>
      <c r="E111" s="9"/>
      <c r="F111" s="9"/>
      <c r="G111" s="9"/>
      <c r="H111" s="173"/>
      <c r="I111" s="9"/>
      <c r="J111" s="9"/>
      <c r="K111" s="9"/>
      <c r="L111" s="9"/>
      <c r="M111" s="9"/>
      <c r="N111" s="9"/>
      <c r="O111" s="9"/>
      <c r="P111" s="176"/>
    </row>
    <row r="112" spans="2:26">
      <c r="C112" s="9"/>
      <c r="D112" s="9"/>
      <c r="E112" s="9"/>
      <c r="F112" s="9"/>
      <c r="G112" s="9"/>
      <c r="H112" s="173"/>
      <c r="I112" s="9"/>
      <c r="J112" s="9"/>
      <c r="K112" s="9"/>
      <c r="L112" s="9"/>
      <c r="M112" s="9"/>
      <c r="N112" s="9"/>
      <c r="O112" s="9"/>
      <c r="P112" s="176"/>
    </row>
    <row r="113" spans="8:16">
      <c r="H113" s="173"/>
      <c r="I113" s="9"/>
      <c r="J113" s="9"/>
      <c r="K113" s="9"/>
      <c r="L113" s="9"/>
      <c r="M113" s="9"/>
      <c r="N113" s="9"/>
      <c r="O113" s="9"/>
      <c r="P113" s="176"/>
    </row>
    <row r="114" spans="8:16">
      <c r="H114" s="173"/>
      <c r="I114" s="9"/>
      <c r="J114" s="9"/>
      <c r="K114" s="9"/>
      <c r="L114" s="9"/>
      <c r="M114" s="9"/>
      <c r="N114" s="9"/>
      <c r="O114" s="9"/>
      <c r="P114" s="176"/>
    </row>
    <row r="115" spans="8:16">
      <c r="H115" s="173"/>
      <c r="I115" s="9"/>
      <c r="J115" s="9"/>
      <c r="K115" s="9"/>
      <c r="L115" s="9"/>
      <c r="M115" s="9"/>
      <c r="N115" s="9"/>
      <c r="O115" s="9"/>
      <c r="P115" s="176"/>
    </row>
    <row r="116" spans="8:16">
      <c r="H116" s="173"/>
      <c r="I116" s="9"/>
      <c r="J116" s="9"/>
      <c r="K116" s="9"/>
      <c r="L116" s="9"/>
      <c r="M116" s="9"/>
      <c r="N116" s="9"/>
      <c r="O116" s="9"/>
      <c r="P116" s="176"/>
    </row>
    <row r="117" spans="8:16">
      <c r="H117" s="173"/>
      <c r="I117" s="9"/>
      <c r="J117" s="9"/>
      <c r="K117" s="9"/>
      <c r="L117" s="9"/>
      <c r="M117" s="9"/>
      <c r="N117" s="9"/>
      <c r="O117" s="9"/>
      <c r="P117" s="176"/>
    </row>
    <row r="118" spans="8:16">
      <c r="H118" s="173"/>
      <c r="I118" s="9"/>
      <c r="J118" s="9"/>
      <c r="K118" s="9"/>
      <c r="L118" s="9"/>
      <c r="M118" s="9"/>
      <c r="N118" s="9"/>
      <c r="O118" s="9"/>
      <c r="P118" s="176"/>
    </row>
    <row r="119" spans="8:16">
      <c r="H119" s="173"/>
      <c r="I119" s="9"/>
      <c r="J119" s="9"/>
      <c r="K119" s="9"/>
      <c r="L119" s="9"/>
      <c r="M119" s="9"/>
      <c r="N119" s="9"/>
      <c r="O119" s="9"/>
      <c r="P119" s="176"/>
    </row>
    <row r="120" spans="8:16">
      <c r="H120" s="173"/>
      <c r="I120" s="9"/>
      <c r="J120" s="9"/>
      <c r="K120" s="9"/>
      <c r="L120" s="9"/>
      <c r="M120" s="9"/>
      <c r="N120" s="9"/>
      <c r="O120" s="9"/>
      <c r="P120" s="176"/>
    </row>
    <row r="121" spans="8:16">
      <c r="H121" s="173"/>
      <c r="I121" s="9"/>
      <c r="J121" s="9"/>
      <c r="K121" s="9"/>
      <c r="L121" s="9"/>
      <c r="M121" s="9"/>
      <c r="N121" s="9"/>
      <c r="O121" s="9"/>
      <c r="P121" s="176"/>
    </row>
    <row r="122" spans="8:16">
      <c r="H122" s="173"/>
      <c r="I122" s="9"/>
      <c r="J122" s="9"/>
      <c r="K122" s="9"/>
      <c r="L122" s="9"/>
      <c r="M122" s="9"/>
      <c r="N122" s="9"/>
      <c r="O122" s="9"/>
      <c r="P122" s="176"/>
    </row>
    <row r="123" spans="8:16">
      <c r="H123" s="173"/>
      <c r="I123" s="9"/>
      <c r="J123" s="9"/>
      <c r="K123" s="9"/>
      <c r="L123" s="9"/>
      <c r="M123" s="9"/>
      <c r="N123" s="9"/>
      <c r="O123" s="9"/>
      <c r="P123" s="176"/>
    </row>
    <row r="124" spans="8:16">
      <c r="H124" s="173"/>
      <c r="I124" s="9"/>
      <c r="J124" s="9"/>
      <c r="K124" s="9"/>
      <c r="L124" s="9"/>
      <c r="M124" s="9"/>
      <c r="N124" s="9"/>
      <c r="O124" s="9"/>
      <c r="P124" s="176"/>
    </row>
    <row r="125" spans="8:16">
      <c r="H125" s="173"/>
      <c r="I125" s="9"/>
      <c r="J125" s="9"/>
      <c r="K125" s="9"/>
      <c r="L125" s="9"/>
      <c r="M125" s="9"/>
      <c r="N125" s="9"/>
      <c r="O125" s="9"/>
      <c r="P125" s="176"/>
    </row>
    <row r="126" spans="8:16">
      <c r="H126" s="173"/>
      <c r="I126" s="9"/>
      <c r="J126" s="9"/>
      <c r="K126" s="9"/>
      <c r="L126" s="9"/>
      <c r="M126" s="9"/>
      <c r="N126" s="9"/>
      <c r="O126" s="9"/>
      <c r="P126" s="176"/>
    </row>
    <row r="127" spans="8:16">
      <c r="H127" s="173"/>
      <c r="I127" s="9"/>
      <c r="J127" s="9"/>
      <c r="K127" s="9"/>
      <c r="L127" s="9"/>
      <c r="M127" s="9"/>
      <c r="N127" s="9"/>
      <c r="O127" s="9"/>
      <c r="P127" s="176"/>
    </row>
    <row r="128" spans="8:16">
      <c r="H128" s="173"/>
      <c r="I128" s="9"/>
      <c r="J128" s="9"/>
      <c r="K128" s="9"/>
      <c r="L128" s="9"/>
      <c r="M128" s="9"/>
      <c r="N128" s="9"/>
      <c r="O128" s="9"/>
      <c r="P128" s="176"/>
    </row>
    <row r="129" spans="8:16">
      <c r="H129" s="173"/>
      <c r="I129" s="9"/>
      <c r="J129" s="9"/>
      <c r="K129" s="9"/>
      <c r="L129" s="9"/>
      <c r="M129" s="9"/>
      <c r="N129" s="9"/>
      <c r="O129" s="9"/>
      <c r="P129" s="176"/>
    </row>
    <row r="130" spans="8:16">
      <c r="H130" s="173"/>
      <c r="I130" s="9"/>
      <c r="J130" s="9"/>
      <c r="K130" s="9"/>
      <c r="L130" s="9"/>
      <c r="M130" s="9"/>
      <c r="N130" s="9"/>
      <c r="O130" s="9"/>
      <c r="P130" s="176"/>
    </row>
    <row r="131" spans="8:16">
      <c r="H131" s="173"/>
      <c r="I131" s="9"/>
      <c r="J131" s="9"/>
      <c r="K131" s="9"/>
      <c r="L131" s="9"/>
      <c r="M131" s="9"/>
      <c r="N131" s="9"/>
      <c r="O131" s="9"/>
      <c r="P131" s="176"/>
    </row>
    <row r="132" spans="8:16">
      <c r="H132" s="173"/>
      <c r="I132" s="9"/>
      <c r="J132" s="9"/>
      <c r="K132" s="9"/>
      <c r="L132" s="9"/>
      <c r="M132" s="9"/>
      <c r="N132" s="9"/>
      <c r="O132" s="9"/>
      <c r="P132" s="176"/>
    </row>
    <row r="133" spans="8:16">
      <c r="H133" s="173"/>
      <c r="I133" s="9"/>
      <c r="J133" s="9"/>
      <c r="K133" s="9"/>
      <c r="L133" s="9"/>
      <c r="M133" s="9"/>
      <c r="N133" s="9"/>
      <c r="O133" s="9"/>
      <c r="P133" s="176"/>
    </row>
    <row r="134" spans="8:16">
      <c r="H134" s="173"/>
      <c r="I134" s="9"/>
      <c r="J134" s="9"/>
      <c r="K134" s="9"/>
      <c r="L134" s="9"/>
      <c r="M134" s="9"/>
      <c r="N134" s="9"/>
      <c r="O134" s="9"/>
      <c r="P134" s="176"/>
    </row>
    <row r="135" spans="8:16">
      <c r="H135" s="173"/>
      <c r="I135" s="9"/>
      <c r="J135" s="9"/>
      <c r="K135" s="9"/>
      <c r="L135" s="9"/>
      <c r="M135" s="9"/>
      <c r="N135" s="9"/>
      <c r="O135" s="9"/>
      <c r="P135" s="176"/>
    </row>
    <row r="136" spans="8:16">
      <c r="H136" s="173"/>
      <c r="I136" s="9"/>
      <c r="J136" s="9"/>
      <c r="K136" s="9"/>
      <c r="L136" s="9"/>
      <c r="M136" s="9"/>
      <c r="N136" s="9"/>
      <c r="O136" s="9"/>
      <c r="P136" s="176"/>
    </row>
    <row r="137" spans="8:16">
      <c r="H137" s="173"/>
      <c r="I137" s="9"/>
      <c r="J137" s="9"/>
      <c r="K137" s="9"/>
      <c r="L137" s="9"/>
      <c r="M137" s="9"/>
      <c r="N137" s="9"/>
      <c r="O137" s="9"/>
      <c r="P137" s="176"/>
    </row>
    <row r="138" spans="8:16">
      <c r="H138" s="173"/>
      <c r="I138" s="9"/>
      <c r="J138" s="9"/>
      <c r="K138" s="9"/>
      <c r="L138" s="9"/>
      <c r="M138" s="9"/>
      <c r="N138" s="9"/>
      <c r="O138" s="9"/>
      <c r="P138" s="176"/>
    </row>
    <row r="139" spans="8:16">
      <c r="H139" s="173"/>
      <c r="I139" s="9"/>
      <c r="J139" s="9"/>
      <c r="K139" s="9"/>
      <c r="L139" s="9"/>
      <c r="M139" s="9"/>
      <c r="N139" s="9"/>
      <c r="O139" s="9"/>
      <c r="P139" s="176"/>
    </row>
    <row r="140" spans="8:16">
      <c r="H140" s="173"/>
      <c r="I140" s="9"/>
      <c r="J140" s="9"/>
      <c r="K140" s="9"/>
      <c r="L140" s="9"/>
      <c r="M140" s="9"/>
      <c r="N140" s="9"/>
      <c r="O140" s="9"/>
      <c r="P140" s="176"/>
    </row>
    <row r="141" spans="8:16">
      <c r="H141" s="173"/>
      <c r="I141" s="9"/>
      <c r="J141" s="9"/>
      <c r="K141" s="9"/>
      <c r="L141" s="9"/>
      <c r="M141" s="9"/>
      <c r="N141" s="9"/>
      <c r="O141" s="9"/>
      <c r="P141" s="176"/>
    </row>
    <row r="142" spans="8:16">
      <c r="H142" s="173"/>
      <c r="I142" s="9"/>
      <c r="J142" s="9"/>
      <c r="K142" s="9"/>
      <c r="L142" s="9"/>
      <c r="M142" s="9"/>
      <c r="N142" s="9"/>
      <c r="O142" s="9"/>
      <c r="P142" s="176"/>
    </row>
    <row r="143" spans="8:16">
      <c r="H143" s="173"/>
      <c r="I143" s="9"/>
      <c r="J143" s="9"/>
      <c r="K143" s="9"/>
      <c r="L143" s="9"/>
      <c r="M143" s="9"/>
      <c r="N143" s="9"/>
      <c r="O143" s="9"/>
      <c r="P143" s="176"/>
    </row>
    <row r="144" spans="8:16">
      <c r="H144" s="173"/>
      <c r="I144" s="9"/>
      <c r="J144" s="9"/>
      <c r="K144" s="9"/>
      <c r="L144" s="9"/>
      <c r="M144" s="9"/>
      <c r="N144" s="9"/>
      <c r="O144" s="9"/>
      <c r="P144" s="176"/>
    </row>
    <row r="145" spans="8:16">
      <c r="H145" s="173"/>
      <c r="I145" s="9"/>
      <c r="J145" s="9"/>
      <c r="K145" s="9"/>
      <c r="L145" s="9"/>
      <c r="M145" s="9"/>
      <c r="N145" s="9"/>
      <c r="O145" s="9"/>
      <c r="P145" s="176"/>
    </row>
    <row r="146" spans="8:16">
      <c r="H146" s="173"/>
      <c r="I146" s="9"/>
      <c r="J146" s="9"/>
      <c r="K146" s="9"/>
      <c r="L146" s="9"/>
      <c r="M146" s="9"/>
      <c r="N146" s="9"/>
      <c r="O146" s="9"/>
      <c r="P146" s="176"/>
    </row>
    <row r="147" spans="8:16">
      <c r="H147" s="173"/>
      <c r="I147" s="9"/>
      <c r="J147" s="9"/>
      <c r="K147" s="9"/>
      <c r="L147" s="9"/>
      <c r="M147" s="9"/>
      <c r="N147" s="9"/>
      <c r="O147" s="9"/>
      <c r="P147" s="176"/>
    </row>
    <row r="148" spans="8:16">
      <c r="H148" s="173"/>
      <c r="I148" s="9"/>
      <c r="J148" s="9"/>
      <c r="K148" s="9"/>
      <c r="L148" s="9"/>
      <c r="M148" s="9"/>
      <c r="N148" s="9"/>
      <c r="O148" s="9"/>
      <c r="P148" s="176"/>
    </row>
    <row r="149" spans="8:16">
      <c r="H149" s="173"/>
      <c r="I149" s="9"/>
      <c r="J149" s="9"/>
      <c r="K149" s="9"/>
      <c r="L149" s="9"/>
      <c r="M149" s="9"/>
      <c r="N149" s="9"/>
      <c r="O149" s="9"/>
      <c r="P149" s="176"/>
    </row>
    <row r="150" spans="8:16">
      <c r="H150" s="173"/>
      <c r="I150" s="9"/>
      <c r="J150" s="9"/>
      <c r="K150" s="9"/>
      <c r="L150" s="9"/>
      <c r="M150" s="9"/>
      <c r="N150" s="9"/>
      <c r="O150" s="9"/>
      <c r="P150" s="176"/>
    </row>
    <row r="151" spans="8:16">
      <c r="H151" s="173"/>
      <c r="I151" s="9"/>
      <c r="J151" s="9"/>
      <c r="K151" s="9"/>
      <c r="L151" s="9"/>
      <c r="M151" s="9"/>
      <c r="N151" s="9"/>
      <c r="O151" s="9"/>
      <c r="P151" s="176"/>
    </row>
    <row r="152" spans="8:16">
      <c r="H152" s="173"/>
      <c r="I152" s="9"/>
      <c r="J152" s="9"/>
      <c r="K152" s="9"/>
      <c r="L152" s="9"/>
      <c r="M152" s="9"/>
      <c r="N152" s="9"/>
      <c r="O152" s="9"/>
      <c r="P152" s="176"/>
    </row>
    <row r="153" spans="8:16">
      <c r="H153" s="173"/>
      <c r="I153" s="9"/>
      <c r="J153" s="9"/>
      <c r="K153" s="9"/>
      <c r="L153" s="9"/>
      <c r="M153" s="9"/>
      <c r="N153" s="9"/>
      <c r="O153" s="9"/>
      <c r="P153" s="176"/>
    </row>
    <row r="154" spans="8:16">
      <c r="H154" s="173"/>
      <c r="I154" s="9"/>
      <c r="J154" s="9"/>
      <c r="K154" s="9"/>
      <c r="L154" s="9"/>
      <c r="M154" s="9"/>
      <c r="N154" s="9"/>
      <c r="O154" s="9"/>
      <c r="P154" s="176"/>
    </row>
    <row r="155" spans="8:16">
      <c r="H155" s="173"/>
      <c r="I155" s="9"/>
      <c r="J155" s="9"/>
      <c r="K155" s="9"/>
      <c r="L155" s="9"/>
      <c r="M155" s="9"/>
      <c r="N155" s="9"/>
      <c r="O155" s="9"/>
      <c r="P155" s="176"/>
    </row>
    <row r="156" spans="8:16">
      <c r="H156" s="173"/>
      <c r="I156" s="9"/>
      <c r="J156" s="9"/>
      <c r="K156" s="9"/>
      <c r="L156" s="9"/>
      <c r="M156" s="9"/>
      <c r="N156" s="9"/>
      <c r="O156" s="9"/>
      <c r="P156" s="176"/>
    </row>
    <row r="157" spans="8:16">
      <c r="H157" s="173"/>
      <c r="I157" s="9"/>
      <c r="J157" s="9"/>
      <c r="K157" s="9"/>
      <c r="L157" s="9"/>
      <c r="M157" s="9"/>
      <c r="N157" s="9"/>
      <c r="O157" s="9"/>
      <c r="P157" s="176"/>
    </row>
    <row r="158" spans="8:16">
      <c r="H158" s="173"/>
      <c r="I158" s="9"/>
      <c r="J158" s="9"/>
      <c r="K158" s="9"/>
      <c r="L158" s="9"/>
      <c r="M158" s="9"/>
      <c r="N158" s="9"/>
      <c r="O158" s="9"/>
      <c r="P158" s="176"/>
    </row>
    <row r="159" spans="8:16">
      <c r="H159" s="173"/>
      <c r="I159" s="9"/>
      <c r="J159" s="9"/>
      <c r="K159" s="9"/>
      <c r="L159" s="9"/>
      <c r="M159" s="9"/>
      <c r="N159" s="9"/>
      <c r="O159" s="9"/>
      <c r="P159" s="176"/>
    </row>
    <row r="160" spans="8:16">
      <c r="H160" s="173"/>
      <c r="I160" s="9"/>
      <c r="J160" s="9"/>
      <c r="K160" s="9"/>
      <c r="L160" s="9"/>
      <c r="M160" s="9"/>
      <c r="N160" s="9"/>
      <c r="O160" s="9"/>
      <c r="P160" s="176"/>
    </row>
    <row r="161" spans="8:16">
      <c r="H161" s="173"/>
      <c r="I161" s="9"/>
      <c r="J161" s="9"/>
      <c r="K161" s="9"/>
      <c r="L161" s="9"/>
      <c r="M161" s="9"/>
      <c r="N161" s="9"/>
      <c r="O161" s="9"/>
      <c r="P161" s="176"/>
    </row>
    <row r="162" spans="8:16">
      <c r="H162" s="173"/>
      <c r="I162" s="9"/>
      <c r="J162" s="9"/>
      <c r="K162" s="9"/>
      <c r="L162" s="9"/>
      <c r="M162" s="9"/>
      <c r="N162" s="9"/>
      <c r="O162" s="9"/>
      <c r="P162" s="176"/>
    </row>
    <row r="163" spans="8:16">
      <c r="H163" s="173"/>
      <c r="I163" s="9"/>
      <c r="J163" s="9"/>
      <c r="K163" s="9"/>
      <c r="L163" s="9"/>
      <c r="M163" s="9"/>
      <c r="N163" s="9"/>
      <c r="O163" s="9"/>
      <c r="P163" s="176"/>
    </row>
    <row r="164" spans="8:16">
      <c r="H164" s="173"/>
      <c r="I164" s="9"/>
      <c r="J164" s="9"/>
      <c r="K164" s="9"/>
      <c r="L164" s="9"/>
      <c r="M164" s="9"/>
      <c r="N164" s="9"/>
      <c r="O164" s="9"/>
      <c r="P164" s="176"/>
    </row>
    <row r="165" spans="8:16">
      <c r="H165" s="173"/>
      <c r="I165" s="9"/>
      <c r="J165" s="9"/>
      <c r="K165" s="9"/>
      <c r="L165" s="9"/>
      <c r="M165" s="9"/>
      <c r="N165" s="9"/>
      <c r="O165" s="9"/>
      <c r="P165" s="176"/>
    </row>
    <row r="166" spans="8:16">
      <c r="H166" s="173"/>
      <c r="I166" s="9"/>
      <c r="J166" s="9"/>
      <c r="K166" s="9"/>
      <c r="L166" s="9"/>
      <c r="M166" s="9"/>
      <c r="N166" s="9"/>
      <c r="O166" s="9"/>
      <c r="P166" s="176"/>
    </row>
    <row r="167" spans="8:16">
      <c r="H167" s="173"/>
      <c r="I167" s="9"/>
      <c r="J167" s="9"/>
      <c r="K167" s="9"/>
      <c r="L167" s="9"/>
      <c r="M167" s="9"/>
      <c r="N167" s="9"/>
      <c r="O167" s="9"/>
      <c r="P167" s="176"/>
    </row>
    <row r="168" spans="8:16">
      <c r="H168" s="173"/>
      <c r="I168" s="9"/>
      <c r="J168" s="9"/>
      <c r="K168" s="9"/>
      <c r="L168" s="9"/>
      <c r="M168" s="9"/>
      <c r="N168" s="9"/>
      <c r="O168" s="9"/>
      <c r="P168" s="176"/>
    </row>
    <row r="169" spans="8:16">
      <c r="H169" s="173"/>
      <c r="I169" s="9"/>
      <c r="J169" s="9"/>
      <c r="K169" s="9"/>
      <c r="L169" s="9"/>
      <c r="M169" s="9"/>
      <c r="N169" s="9"/>
      <c r="O169" s="9"/>
      <c r="P169" s="176"/>
    </row>
    <row r="170" spans="8:16">
      <c r="H170" s="173"/>
      <c r="I170" s="9"/>
      <c r="J170" s="9"/>
      <c r="K170" s="9"/>
      <c r="L170" s="9"/>
      <c r="M170" s="9"/>
      <c r="N170" s="9"/>
      <c r="O170" s="9"/>
      <c r="P170" s="176"/>
    </row>
    <row r="171" spans="8:16">
      <c r="H171" s="173"/>
      <c r="I171" s="9"/>
      <c r="J171" s="9"/>
      <c r="K171" s="9"/>
      <c r="L171" s="9"/>
      <c r="M171" s="9"/>
      <c r="N171" s="9"/>
      <c r="O171" s="9"/>
      <c r="P171" s="176"/>
    </row>
    <row r="172" spans="8:16">
      <c r="H172" s="173"/>
      <c r="I172" s="9"/>
      <c r="J172" s="9"/>
      <c r="K172" s="9"/>
      <c r="L172" s="9"/>
      <c r="M172" s="9"/>
      <c r="N172" s="9"/>
      <c r="O172" s="9"/>
      <c r="P172" s="176"/>
    </row>
    <row r="173" spans="8:16">
      <c r="H173" s="173"/>
      <c r="I173" s="9"/>
      <c r="J173" s="9"/>
      <c r="K173" s="9"/>
      <c r="L173" s="9"/>
      <c r="M173" s="9"/>
      <c r="N173" s="9"/>
      <c r="O173" s="9"/>
      <c r="P173" s="176"/>
    </row>
    <row r="174" spans="8:16">
      <c r="H174" s="173"/>
      <c r="I174" s="9"/>
      <c r="J174" s="9"/>
      <c r="K174" s="9"/>
      <c r="L174" s="9"/>
      <c r="M174" s="9"/>
      <c r="N174" s="9"/>
      <c r="O174" s="9"/>
      <c r="P174" s="176"/>
    </row>
    <row r="175" spans="8:16">
      <c r="H175" s="173"/>
      <c r="I175" s="9"/>
      <c r="J175" s="9"/>
      <c r="K175" s="9"/>
      <c r="L175" s="9"/>
      <c r="M175" s="9"/>
      <c r="N175" s="9"/>
      <c r="O175" s="9"/>
      <c r="P175" s="176"/>
    </row>
    <row r="176" spans="8:16">
      <c r="H176" s="173"/>
      <c r="I176" s="9"/>
      <c r="J176" s="9"/>
      <c r="K176" s="9"/>
      <c r="L176" s="9"/>
      <c r="M176" s="9"/>
      <c r="N176" s="9"/>
      <c r="O176" s="9"/>
      <c r="P176" s="176"/>
    </row>
    <row r="177" spans="8:16">
      <c r="H177" s="173"/>
      <c r="I177" s="9"/>
      <c r="J177" s="9"/>
      <c r="K177" s="9"/>
      <c r="L177" s="9"/>
      <c r="M177" s="9"/>
      <c r="N177" s="9"/>
      <c r="O177" s="9"/>
      <c r="P177" s="176"/>
    </row>
    <row r="178" spans="8:16">
      <c r="H178" s="173"/>
      <c r="I178" s="9"/>
      <c r="J178" s="9"/>
      <c r="K178" s="9"/>
      <c r="L178" s="9"/>
      <c r="M178" s="9"/>
      <c r="N178" s="9"/>
      <c r="O178" s="9"/>
      <c r="P178" s="176"/>
    </row>
    <row r="179" spans="8:16">
      <c r="H179" s="173"/>
      <c r="I179" s="9"/>
      <c r="J179" s="9"/>
      <c r="K179" s="9"/>
      <c r="L179" s="9"/>
      <c r="M179" s="9"/>
      <c r="N179" s="9"/>
      <c r="O179" s="9"/>
      <c r="P179" s="176"/>
    </row>
    <row r="180" spans="8:16">
      <c r="H180" s="173"/>
      <c r="I180" s="9"/>
      <c r="J180" s="9"/>
      <c r="K180" s="9"/>
      <c r="L180" s="9"/>
      <c r="M180" s="9"/>
      <c r="N180" s="9"/>
      <c r="O180" s="9"/>
      <c r="P180" s="176"/>
    </row>
    <row r="181" spans="8:16">
      <c r="H181" s="173"/>
      <c r="I181" s="9"/>
      <c r="J181" s="9"/>
      <c r="K181" s="9"/>
      <c r="L181" s="9"/>
      <c r="M181" s="9"/>
      <c r="N181" s="9"/>
      <c r="O181" s="9"/>
      <c r="P181" s="176"/>
    </row>
    <row r="182" spans="8:16">
      <c r="H182" s="173"/>
      <c r="I182" s="9"/>
      <c r="J182" s="9"/>
      <c r="K182" s="9"/>
      <c r="L182" s="9"/>
      <c r="M182" s="9"/>
      <c r="N182" s="9"/>
      <c r="O182" s="9"/>
      <c r="P182" s="176"/>
    </row>
    <row r="183" spans="8:16">
      <c r="H183" s="173"/>
      <c r="I183" s="9"/>
      <c r="J183" s="9"/>
      <c r="K183" s="9"/>
      <c r="L183" s="9"/>
      <c r="M183" s="9"/>
      <c r="N183" s="9"/>
      <c r="O183" s="9"/>
      <c r="P183" s="176"/>
    </row>
    <row r="184" spans="8:16">
      <c r="H184" s="173"/>
      <c r="I184" s="9"/>
      <c r="J184" s="9"/>
      <c r="K184" s="9"/>
      <c r="L184" s="9"/>
      <c r="M184" s="9"/>
      <c r="N184" s="9"/>
      <c r="O184" s="9"/>
      <c r="P184" s="176"/>
    </row>
    <row r="185" spans="8:16">
      <c r="H185" s="173"/>
      <c r="I185" s="9"/>
      <c r="J185" s="9"/>
      <c r="K185" s="9"/>
      <c r="L185" s="9"/>
      <c r="M185" s="9"/>
      <c r="N185" s="9"/>
      <c r="O185" s="9"/>
      <c r="P185" s="176"/>
    </row>
    <row r="186" spans="8:16">
      <c r="H186" s="173"/>
      <c r="I186" s="9"/>
      <c r="J186" s="9"/>
      <c r="K186" s="9"/>
      <c r="L186" s="9"/>
      <c r="M186" s="9"/>
      <c r="N186" s="9"/>
      <c r="O186" s="9"/>
      <c r="P186" s="176"/>
    </row>
    <row r="187" spans="8:16">
      <c r="H187" s="173"/>
      <c r="I187" s="9"/>
      <c r="J187" s="9"/>
      <c r="K187" s="9"/>
      <c r="L187" s="9"/>
      <c r="M187" s="9"/>
      <c r="N187" s="9"/>
      <c r="O187" s="9"/>
      <c r="P187" s="176"/>
    </row>
    <row r="188" spans="8:16">
      <c r="H188" s="173"/>
      <c r="I188" s="9"/>
      <c r="J188" s="9"/>
      <c r="K188" s="9"/>
      <c r="L188" s="9"/>
      <c r="M188" s="9"/>
      <c r="N188" s="9"/>
      <c r="O188" s="9"/>
      <c r="P188" s="176"/>
    </row>
    <row r="189" spans="8:16">
      <c r="H189" s="173"/>
      <c r="I189" s="9"/>
      <c r="J189" s="9"/>
      <c r="K189" s="9"/>
      <c r="L189" s="9"/>
      <c r="M189" s="9"/>
      <c r="N189" s="9"/>
      <c r="O189" s="9"/>
      <c r="P189" s="176"/>
    </row>
    <row r="190" spans="8:16">
      <c r="H190" s="173"/>
      <c r="I190" s="9"/>
      <c r="J190" s="9"/>
      <c r="K190" s="9"/>
      <c r="L190" s="9"/>
      <c r="M190" s="9"/>
      <c r="N190" s="9"/>
      <c r="O190" s="9"/>
      <c r="P190" s="176"/>
    </row>
    <row r="191" spans="8:16">
      <c r="H191" s="173"/>
      <c r="I191" s="9"/>
      <c r="J191" s="9"/>
      <c r="K191" s="9"/>
      <c r="L191" s="9"/>
      <c r="M191" s="9"/>
      <c r="N191" s="9"/>
      <c r="O191" s="9"/>
      <c r="P191" s="176"/>
    </row>
    <row r="192" spans="8:16">
      <c r="H192" s="173"/>
      <c r="I192" s="9"/>
      <c r="J192" s="9"/>
      <c r="K192" s="9"/>
      <c r="L192" s="9"/>
      <c r="M192" s="9"/>
      <c r="N192" s="9"/>
      <c r="O192" s="9"/>
      <c r="P192" s="176"/>
    </row>
    <row r="193" spans="8:16">
      <c r="H193" s="173"/>
      <c r="I193" s="9"/>
      <c r="J193" s="9"/>
      <c r="K193" s="9"/>
      <c r="L193" s="9"/>
      <c r="M193" s="9"/>
      <c r="N193" s="9"/>
      <c r="O193" s="9"/>
      <c r="P193" s="176"/>
    </row>
    <row r="194" spans="8:16">
      <c r="H194" s="173"/>
      <c r="I194" s="9"/>
      <c r="J194" s="9"/>
      <c r="K194" s="9"/>
      <c r="L194" s="9"/>
      <c r="M194" s="9"/>
      <c r="N194" s="9"/>
      <c r="O194" s="9"/>
      <c r="P194" s="176"/>
    </row>
    <row r="195" spans="8:16">
      <c r="H195" s="173"/>
      <c r="I195" s="9"/>
      <c r="J195" s="9"/>
      <c r="K195" s="9"/>
      <c r="L195" s="9"/>
      <c r="M195" s="9"/>
      <c r="N195" s="9"/>
      <c r="O195" s="9"/>
      <c r="P195" s="176"/>
    </row>
    <row r="196" spans="8:16">
      <c r="H196" s="173"/>
      <c r="I196" s="9"/>
      <c r="J196" s="9"/>
      <c r="K196" s="9"/>
      <c r="L196" s="9"/>
      <c r="M196" s="9"/>
      <c r="N196" s="9"/>
      <c r="O196" s="9"/>
      <c r="P196" s="176"/>
    </row>
    <row r="197" spans="8:16">
      <c r="H197" s="173"/>
      <c r="I197" s="9"/>
      <c r="J197" s="9"/>
      <c r="K197" s="9"/>
      <c r="L197" s="9"/>
      <c r="M197" s="9"/>
      <c r="N197" s="9"/>
      <c r="O197" s="9"/>
      <c r="P197" s="176"/>
    </row>
    <row r="198" spans="8:16">
      <c r="H198" s="173"/>
      <c r="I198" s="9"/>
      <c r="J198" s="9"/>
      <c r="K198" s="9"/>
      <c r="L198" s="9"/>
      <c r="M198" s="9"/>
      <c r="N198" s="9"/>
      <c r="O198" s="9"/>
      <c r="P198" s="176"/>
    </row>
    <row r="199" spans="8:16">
      <c r="H199" s="173"/>
      <c r="I199" s="9"/>
      <c r="J199" s="9"/>
      <c r="K199" s="9"/>
      <c r="L199" s="9"/>
      <c r="M199" s="9"/>
      <c r="N199" s="9"/>
      <c r="O199" s="9"/>
      <c r="P199" s="176"/>
    </row>
    <row r="200" spans="8:16">
      <c r="H200" s="173"/>
      <c r="I200" s="9"/>
      <c r="J200" s="9"/>
      <c r="K200" s="9"/>
      <c r="L200" s="9"/>
      <c r="M200" s="9"/>
      <c r="N200" s="9"/>
      <c r="O200" s="9"/>
      <c r="P200" s="176"/>
    </row>
    <row r="201" spans="8:16">
      <c r="H201" s="173"/>
      <c r="I201" s="9"/>
      <c r="J201" s="9"/>
      <c r="K201" s="9"/>
      <c r="L201" s="9"/>
      <c r="M201" s="9"/>
      <c r="N201" s="9"/>
      <c r="O201" s="9"/>
      <c r="P201" s="176"/>
    </row>
    <row r="202" spans="8:16">
      <c r="H202" s="173"/>
      <c r="I202" s="9"/>
      <c r="J202" s="9"/>
      <c r="K202" s="9"/>
      <c r="L202" s="9"/>
      <c r="M202" s="9"/>
      <c r="N202" s="9"/>
      <c r="O202" s="9"/>
      <c r="P202" s="176"/>
    </row>
    <row r="203" spans="8:16">
      <c r="H203" s="173"/>
      <c r="I203" s="9"/>
      <c r="J203" s="9"/>
      <c r="K203" s="9"/>
      <c r="L203" s="9"/>
      <c r="M203" s="9"/>
      <c r="N203" s="9"/>
      <c r="O203" s="9"/>
      <c r="P203" s="176"/>
    </row>
    <row r="204" spans="8:16">
      <c r="H204" s="173"/>
      <c r="I204" s="9"/>
      <c r="J204" s="9"/>
      <c r="K204" s="9"/>
      <c r="L204" s="9"/>
      <c r="M204" s="9"/>
      <c r="N204" s="9"/>
      <c r="O204" s="9"/>
      <c r="P204" s="176"/>
    </row>
    <row r="205" spans="8:16">
      <c r="H205" s="173"/>
      <c r="I205" s="9"/>
      <c r="J205" s="9"/>
      <c r="K205" s="9"/>
      <c r="L205" s="9"/>
      <c r="M205" s="9"/>
      <c r="N205" s="9"/>
      <c r="O205" s="9"/>
      <c r="P205" s="176"/>
    </row>
    <row r="206" spans="8:16">
      <c r="H206" s="173"/>
      <c r="I206" s="9"/>
      <c r="J206" s="9"/>
      <c r="K206" s="9"/>
      <c r="L206" s="9"/>
      <c r="M206" s="9"/>
      <c r="N206" s="9"/>
      <c r="O206" s="9"/>
      <c r="P206" s="176"/>
    </row>
    <row r="207" spans="8:16">
      <c r="H207" s="173"/>
      <c r="I207" s="9"/>
      <c r="J207" s="9"/>
      <c r="K207" s="9"/>
      <c r="L207" s="9"/>
      <c r="M207" s="9"/>
      <c r="N207" s="9"/>
      <c r="O207" s="9"/>
      <c r="P207" s="176"/>
    </row>
    <row r="208" spans="8:16">
      <c r="H208" s="173"/>
      <c r="I208" s="9"/>
      <c r="J208" s="9"/>
      <c r="K208" s="9"/>
      <c r="L208" s="9"/>
      <c r="M208" s="9"/>
      <c r="N208" s="9"/>
      <c r="O208" s="9"/>
      <c r="P208" s="176"/>
    </row>
    <row r="209" spans="8:16">
      <c r="H209" s="173"/>
      <c r="I209" s="9"/>
      <c r="J209" s="9"/>
      <c r="K209" s="9"/>
      <c r="L209" s="9"/>
      <c r="M209" s="9"/>
      <c r="N209" s="9"/>
      <c r="O209" s="9"/>
      <c r="P209" s="176"/>
    </row>
    <row r="210" spans="8:16">
      <c r="H210" s="173"/>
      <c r="I210" s="9"/>
      <c r="J210" s="9"/>
      <c r="K210" s="9"/>
      <c r="L210" s="9"/>
      <c r="M210" s="9"/>
      <c r="N210" s="9"/>
      <c r="O210" s="9"/>
      <c r="P210" s="176"/>
    </row>
    <row r="211" spans="8:16">
      <c r="H211" s="173"/>
      <c r="I211" s="9"/>
      <c r="J211" s="9"/>
      <c r="K211" s="9"/>
      <c r="L211" s="9"/>
      <c r="M211" s="9"/>
      <c r="N211" s="9"/>
      <c r="O211" s="9"/>
      <c r="P211" s="176"/>
    </row>
    <row r="212" spans="8:16">
      <c r="H212" s="173"/>
      <c r="I212" s="9"/>
      <c r="J212" s="9"/>
      <c r="K212" s="9"/>
      <c r="L212" s="9"/>
      <c r="M212" s="9"/>
      <c r="N212" s="9"/>
      <c r="O212" s="9"/>
      <c r="P212" s="176"/>
    </row>
    <row r="213" spans="8:16">
      <c r="H213" s="173"/>
      <c r="I213" s="9"/>
      <c r="J213" s="9"/>
      <c r="K213" s="9"/>
      <c r="L213" s="9"/>
      <c r="M213" s="9"/>
      <c r="N213" s="9"/>
      <c r="O213" s="9"/>
      <c r="P213" s="176"/>
    </row>
    <row r="214" spans="8:16">
      <c r="H214" s="173"/>
      <c r="I214" s="9"/>
      <c r="J214" s="9"/>
      <c r="K214" s="9"/>
      <c r="L214" s="9"/>
      <c r="M214" s="9"/>
      <c r="N214" s="9"/>
      <c r="O214" s="9"/>
      <c r="P214" s="176"/>
    </row>
    <row r="215" spans="8:16">
      <c r="H215" s="173"/>
      <c r="I215" s="9"/>
      <c r="J215" s="9"/>
      <c r="K215" s="9"/>
      <c r="L215" s="9"/>
      <c r="M215" s="9"/>
      <c r="N215" s="9"/>
      <c r="O215" s="9"/>
      <c r="P215" s="176"/>
    </row>
    <row r="216" spans="8:16">
      <c r="H216" s="173"/>
      <c r="I216" s="9"/>
      <c r="J216" s="9"/>
      <c r="K216" s="9"/>
      <c r="L216" s="9"/>
      <c r="M216" s="9"/>
      <c r="N216" s="9"/>
      <c r="O216" s="9"/>
      <c r="P216" s="176"/>
    </row>
    <row r="217" spans="8:16">
      <c r="H217" s="173"/>
      <c r="I217" s="9"/>
      <c r="J217" s="9"/>
      <c r="K217" s="9"/>
      <c r="L217" s="9"/>
      <c r="M217" s="9"/>
      <c r="N217" s="9"/>
      <c r="O217" s="9"/>
      <c r="P217" s="176"/>
    </row>
    <row r="218" spans="8:16">
      <c r="H218" s="173"/>
      <c r="I218" s="9"/>
      <c r="J218" s="9"/>
      <c r="K218" s="9"/>
      <c r="L218" s="9"/>
      <c r="M218" s="9"/>
      <c r="N218" s="9"/>
      <c r="O218" s="9"/>
      <c r="P218" s="176"/>
    </row>
    <row r="219" spans="8:16">
      <c r="H219" s="173"/>
      <c r="I219" s="9"/>
      <c r="J219" s="9"/>
      <c r="K219" s="9"/>
      <c r="L219" s="9"/>
      <c r="M219" s="9"/>
      <c r="N219" s="9"/>
      <c r="O219" s="9"/>
      <c r="P219" s="176"/>
    </row>
    <row r="220" spans="8:16">
      <c r="H220" s="173"/>
      <c r="I220" s="9"/>
      <c r="J220" s="9"/>
      <c r="K220" s="9"/>
      <c r="L220" s="9"/>
      <c r="M220" s="9"/>
      <c r="N220" s="9"/>
      <c r="O220" s="9"/>
      <c r="P220" s="176"/>
    </row>
    <row r="221" spans="8:16">
      <c r="H221" s="173"/>
      <c r="I221" s="9"/>
      <c r="J221" s="9"/>
      <c r="K221" s="9"/>
      <c r="L221" s="9"/>
      <c r="M221" s="9"/>
      <c r="N221" s="9"/>
      <c r="O221" s="9"/>
      <c r="P221" s="176"/>
    </row>
    <row r="222" spans="8:16">
      <c r="H222" s="173"/>
      <c r="I222" s="9"/>
      <c r="J222" s="9"/>
      <c r="K222" s="9"/>
      <c r="L222" s="9"/>
      <c r="M222" s="9"/>
      <c r="N222" s="9"/>
      <c r="O222" s="9"/>
      <c r="P222" s="176"/>
    </row>
    <row r="223" spans="8:16">
      <c r="H223" s="173"/>
      <c r="I223" s="9"/>
      <c r="J223" s="9"/>
      <c r="K223" s="9"/>
      <c r="L223" s="9"/>
      <c r="M223" s="9"/>
      <c r="N223" s="9"/>
      <c r="O223" s="9"/>
      <c r="P223" s="176"/>
    </row>
    <row r="224" spans="8:16">
      <c r="H224" s="173"/>
      <c r="I224" s="9"/>
      <c r="J224" s="9"/>
      <c r="K224" s="9"/>
      <c r="L224" s="9"/>
      <c r="M224" s="9"/>
      <c r="N224" s="9"/>
      <c r="O224" s="9"/>
      <c r="P224" s="176"/>
    </row>
    <row r="225" spans="8:16">
      <c r="H225" s="173"/>
      <c r="I225" s="9"/>
      <c r="J225" s="9"/>
      <c r="K225" s="9"/>
      <c r="L225" s="9"/>
      <c r="M225" s="9"/>
      <c r="N225" s="9"/>
      <c r="O225" s="9"/>
      <c r="P225" s="176"/>
    </row>
    <row r="226" spans="8:16">
      <c r="H226" s="173"/>
      <c r="I226" s="9"/>
      <c r="J226" s="9"/>
      <c r="K226" s="9"/>
      <c r="L226" s="9"/>
      <c r="M226" s="9"/>
      <c r="N226" s="9"/>
      <c r="O226" s="9"/>
      <c r="P226" s="176"/>
    </row>
    <row r="227" spans="8:16">
      <c r="H227" s="173"/>
      <c r="I227" s="9"/>
      <c r="J227" s="9"/>
      <c r="K227" s="9"/>
      <c r="L227" s="9"/>
      <c r="M227" s="9"/>
      <c r="N227" s="9"/>
      <c r="O227" s="9"/>
      <c r="P227" s="176"/>
    </row>
    <row r="228" spans="8:16">
      <c r="H228" s="173"/>
      <c r="I228" s="9"/>
      <c r="J228" s="9"/>
      <c r="K228" s="9"/>
      <c r="L228" s="9"/>
      <c r="M228" s="9"/>
      <c r="N228" s="9"/>
      <c r="O228" s="9"/>
      <c r="P228" s="176"/>
    </row>
    <row r="229" spans="8:16">
      <c r="H229" s="173"/>
      <c r="I229" s="9"/>
      <c r="J229" s="9"/>
      <c r="K229" s="9"/>
      <c r="L229" s="9"/>
      <c r="M229" s="9"/>
      <c r="N229" s="9"/>
      <c r="O229" s="9"/>
      <c r="P229" s="176"/>
    </row>
    <row r="230" spans="8:16">
      <c r="H230" s="173"/>
      <c r="I230" s="9"/>
      <c r="J230" s="9"/>
      <c r="K230" s="9"/>
      <c r="L230" s="9"/>
      <c r="M230" s="9"/>
      <c r="N230" s="9"/>
      <c r="O230" s="9"/>
      <c r="P230" s="176"/>
    </row>
    <row r="231" spans="8:16">
      <c r="H231" s="173"/>
      <c r="I231" s="9"/>
      <c r="J231" s="9"/>
      <c r="K231" s="9"/>
      <c r="L231" s="9"/>
      <c r="M231" s="9"/>
      <c r="N231" s="9"/>
      <c r="O231" s="9"/>
      <c r="P231" s="176"/>
    </row>
    <row r="232" spans="8:16">
      <c r="H232" s="173"/>
      <c r="I232" s="9"/>
      <c r="J232" s="9"/>
      <c r="K232" s="9"/>
      <c r="L232" s="9"/>
      <c r="M232" s="9"/>
      <c r="N232" s="9"/>
      <c r="O232" s="9"/>
      <c r="P232" s="176"/>
    </row>
    <row r="233" spans="8:16">
      <c r="H233" s="173"/>
      <c r="I233" s="9"/>
      <c r="J233" s="9"/>
      <c r="K233" s="9"/>
      <c r="L233" s="9"/>
      <c r="M233" s="9"/>
      <c r="N233" s="9"/>
      <c r="O233" s="9"/>
      <c r="P233" s="176"/>
    </row>
    <row r="234" spans="8:16">
      <c r="H234" s="177"/>
      <c r="I234" s="9"/>
      <c r="J234" s="9"/>
      <c r="K234" s="9"/>
      <c r="L234" s="9"/>
      <c r="M234" s="9"/>
      <c r="N234" s="9"/>
      <c r="O234" s="9"/>
      <c r="P234" s="176"/>
    </row>
    <row r="235" spans="8:16">
      <c r="H235" s="177"/>
      <c r="I235" s="9"/>
      <c r="J235" s="9"/>
      <c r="K235" s="9"/>
      <c r="L235" s="9"/>
      <c r="M235" s="9"/>
      <c r="N235" s="9"/>
      <c r="O235" s="9"/>
      <c r="P235" s="176"/>
    </row>
    <row r="236" spans="8:16">
      <c r="H236" s="177"/>
      <c r="I236" s="9"/>
      <c r="J236" s="9"/>
      <c r="K236" s="9"/>
      <c r="L236" s="9"/>
      <c r="M236" s="9"/>
      <c r="N236" s="9"/>
      <c r="O236" s="9"/>
      <c r="P236" s="176"/>
    </row>
    <row r="237" spans="8:16">
      <c r="H237" s="177"/>
      <c r="I237" s="9"/>
      <c r="J237" s="9"/>
      <c r="K237" s="9"/>
      <c r="L237" s="9"/>
      <c r="M237" s="9"/>
      <c r="N237" s="9"/>
      <c r="O237" s="9"/>
      <c r="P237" s="176"/>
    </row>
    <row r="238" spans="8:16">
      <c r="H238" s="177"/>
      <c r="I238" s="9"/>
      <c r="J238" s="9"/>
      <c r="K238" s="9"/>
      <c r="L238" s="9"/>
      <c r="M238" s="9"/>
      <c r="N238" s="9"/>
      <c r="O238" s="9"/>
      <c r="P238" s="176"/>
    </row>
    <row r="239" spans="8:16">
      <c r="H239" s="177"/>
      <c r="I239" s="9"/>
      <c r="J239" s="9"/>
      <c r="K239" s="9"/>
      <c r="L239" s="9"/>
      <c r="M239" s="9"/>
      <c r="N239" s="9"/>
      <c r="O239" s="9"/>
      <c r="P239" s="176"/>
    </row>
    <row r="240" spans="8:16">
      <c r="H240" s="177"/>
      <c r="I240" s="9"/>
      <c r="J240" s="9"/>
      <c r="K240" s="9"/>
      <c r="L240" s="9"/>
      <c r="M240" s="9"/>
      <c r="N240" s="9"/>
      <c r="O240" s="9"/>
      <c r="P240" s="176"/>
    </row>
    <row r="241" spans="16:16">
      <c r="P241" s="176"/>
    </row>
    <row r="242" spans="16:16">
      <c r="P242" s="176"/>
    </row>
    <row r="243" spans="16:16">
      <c r="P243" s="176"/>
    </row>
    <row r="244" spans="16:16">
      <c r="P244" s="176"/>
    </row>
    <row r="245" spans="16:16">
      <c r="P245" s="176"/>
    </row>
    <row r="246" spans="16:16">
      <c r="P246" s="176"/>
    </row>
    <row r="247" spans="16:16">
      <c r="P247" s="176"/>
    </row>
    <row r="248" spans="16:16">
      <c r="P248" s="176"/>
    </row>
    <row r="249" spans="16:16">
      <c r="P249" s="176"/>
    </row>
    <row r="250" spans="16:16">
      <c r="P250" s="176"/>
    </row>
    <row r="251" spans="16:16">
      <c r="P251" s="176"/>
    </row>
    <row r="252" spans="16:16">
      <c r="P252" s="176"/>
    </row>
    <row r="253" spans="16:16">
      <c r="P253" s="176"/>
    </row>
    <row r="254" spans="16:16">
      <c r="P254" s="176"/>
    </row>
    <row r="255" spans="16:16">
      <c r="P255" s="176"/>
    </row>
    <row r="256" spans="16:16">
      <c r="P256" s="176"/>
    </row>
    <row r="257" spans="16:16">
      <c r="P257" s="176"/>
    </row>
    <row r="258" spans="16:16">
      <c r="P258" s="176"/>
    </row>
    <row r="259" spans="16:16">
      <c r="P259" s="176"/>
    </row>
    <row r="260" spans="16:16">
      <c r="P260" s="176"/>
    </row>
    <row r="261" spans="16:16">
      <c r="P261" s="176"/>
    </row>
    <row r="262" spans="16:16">
      <c r="P262" s="176"/>
    </row>
    <row r="263" spans="16:16">
      <c r="P263" s="176"/>
    </row>
    <row r="264" spans="16:16">
      <c r="P264" s="176"/>
    </row>
    <row r="265" spans="16:16">
      <c r="P265" s="176"/>
    </row>
    <row r="266" spans="16:16">
      <c r="P266" s="176"/>
    </row>
    <row r="267" spans="16:16">
      <c r="P267" s="176"/>
    </row>
    <row r="268" spans="16:16">
      <c r="P268" s="176"/>
    </row>
    <row r="269" spans="16:16">
      <c r="P269" s="176"/>
    </row>
  </sheetData>
  <sheetProtection algorithmName="SHA-512" hashValue="KLPPo9KxiXyPR8udzzpDuENqH+o2qy0/ti8vXLqc3E6Wa8HQ0pgrM0dQhdLetyRWtXoUg6TxriW2Xe/GXIImaA==" saltValue="KmYuESoA2qM3N/OcVKSgQg==" spinCount="100000" sheet="1" scenarios="1" formatCells="0" formatColumns="0" formatRows="0"/>
  <mergeCells count="11">
    <mergeCell ref="B110:M110"/>
    <mergeCell ref="H22:H25"/>
    <mergeCell ref="B108:N109"/>
    <mergeCell ref="A62:A65"/>
    <mergeCell ref="A66:A75"/>
    <mergeCell ref="A82:A85"/>
    <mergeCell ref="A86:A95"/>
    <mergeCell ref="A22:A25"/>
    <mergeCell ref="A26:A35"/>
    <mergeCell ref="A42:A45"/>
    <mergeCell ref="A46:A55"/>
  </mergeCells>
  <conditionalFormatting sqref="C35:G35">
    <cfRule type="expression" dxfId="99" priority="123" stopIfTrue="1">
      <formula>$B35="Do not fill this line"</formula>
    </cfRule>
  </conditionalFormatting>
  <conditionalFormatting sqref="C55:G55">
    <cfRule type="expression" dxfId="98" priority="107" stopIfTrue="1">
      <formula>$B55="Do not fill this line"</formula>
    </cfRule>
  </conditionalFormatting>
  <conditionalFormatting sqref="C75:G75">
    <cfRule type="expression" dxfId="97" priority="93" stopIfTrue="1">
      <formula>$B75="Do not fill this line"</formula>
    </cfRule>
  </conditionalFormatting>
  <conditionalFormatting sqref="C95:G95">
    <cfRule type="expression" dxfId="96" priority="79" stopIfTrue="1">
      <formula>$B95="Do not fill this line"</formula>
    </cfRule>
  </conditionalFormatting>
  <conditionalFormatting sqref="C36:G36">
    <cfRule type="cellIs" dxfId="95" priority="74" operator="notEqual">
      <formula>1</formula>
    </cfRule>
  </conditionalFormatting>
  <conditionalFormatting sqref="C56:G56">
    <cfRule type="cellIs" dxfId="94" priority="73" operator="notEqual">
      <formula>1</formula>
    </cfRule>
  </conditionalFormatting>
  <conditionalFormatting sqref="C76:G76">
    <cfRule type="cellIs" dxfId="93" priority="72" operator="notEqual">
      <formula>1</formula>
    </cfRule>
  </conditionalFormatting>
  <conditionalFormatting sqref="C96:G96">
    <cfRule type="cellIs" dxfId="92" priority="71" operator="notEqual">
      <formula>1</formula>
    </cfRule>
  </conditionalFormatting>
  <conditionalFormatting sqref="C26:G26">
    <cfRule type="expression" dxfId="91" priority="48" stopIfTrue="1">
      <formula>$B26="Do not fill this line"</formula>
    </cfRule>
  </conditionalFormatting>
  <conditionalFormatting sqref="C27:G27">
    <cfRule type="expression" dxfId="90" priority="47" stopIfTrue="1">
      <formula>$B27="Do not fill this line"</formula>
    </cfRule>
  </conditionalFormatting>
  <conditionalFormatting sqref="C28:G28">
    <cfRule type="expression" dxfId="89" priority="46" stopIfTrue="1">
      <formula>$B28="Do not fill this line"</formula>
    </cfRule>
  </conditionalFormatting>
  <conditionalFormatting sqref="C29:G29">
    <cfRule type="expression" dxfId="88" priority="45" stopIfTrue="1">
      <formula>$B29="Do not fill this line"</formula>
    </cfRule>
  </conditionalFormatting>
  <conditionalFormatting sqref="C30:G30">
    <cfRule type="expression" dxfId="87" priority="44" stopIfTrue="1">
      <formula>$B30="Do not fill this line"</formula>
    </cfRule>
  </conditionalFormatting>
  <conditionalFormatting sqref="C31:G31">
    <cfRule type="expression" dxfId="86" priority="43" stopIfTrue="1">
      <formula>$B31="Do not fill this line"</formula>
    </cfRule>
  </conditionalFormatting>
  <conditionalFormatting sqref="C32:G32">
    <cfRule type="expression" dxfId="85" priority="42" stopIfTrue="1">
      <formula>$B32="Do not fill this line"</formula>
    </cfRule>
  </conditionalFormatting>
  <conditionalFormatting sqref="C33:G33">
    <cfRule type="expression" dxfId="84" priority="41" stopIfTrue="1">
      <formula>$B33="Do not fill this line"</formula>
    </cfRule>
  </conditionalFormatting>
  <conditionalFormatting sqref="C34:G34">
    <cfRule type="expression" dxfId="83" priority="40" stopIfTrue="1">
      <formula>$B34="Do not fill this line"</formula>
    </cfRule>
  </conditionalFormatting>
  <conditionalFormatting sqref="C42:G42">
    <cfRule type="expression" dxfId="82" priority="39" stopIfTrue="1">
      <formula>$B42="Do not fill this line"</formula>
    </cfRule>
  </conditionalFormatting>
  <conditionalFormatting sqref="C43:G43">
    <cfRule type="expression" dxfId="81" priority="38" stopIfTrue="1">
      <formula>$B43="Do not fill this line"</formula>
    </cfRule>
  </conditionalFormatting>
  <conditionalFormatting sqref="C44:G44">
    <cfRule type="expression" dxfId="80" priority="37" stopIfTrue="1">
      <formula>$B44="Do not fill this line"</formula>
    </cfRule>
  </conditionalFormatting>
  <conditionalFormatting sqref="C45:G45">
    <cfRule type="expression" dxfId="79" priority="36" stopIfTrue="1">
      <formula>$B45="Do not fill this line"</formula>
    </cfRule>
  </conditionalFormatting>
  <conditionalFormatting sqref="C46:G46">
    <cfRule type="expression" dxfId="78" priority="35" stopIfTrue="1">
      <formula>$B46="Do not fill this line"</formula>
    </cfRule>
  </conditionalFormatting>
  <conditionalFormatting sqref="C48:G48">
    <cfRule type="expression" dxfId="77" priority="34" stopIfTrue="1">
      <formula>$B48="Do not fill this line"</formula>
    </cfRule>
  </conditionalFormatting>
  <conditionalFormatting sqref="C49:G49">
    <cfRule type="expression" dxfId="76" priority="33" stopIfTrue="1">
      <formula>$B49="Do not fill this line"</formula>
    </cfRule>
  </conditionalFormatting>
  <conditionalFormatting sqref="C50:G50">
    <cfRule type="expression" dxfId="75" priority="32" stopIfTrue="1">
      <formula>$B50="Do not fill this line"</formula>
    </cfRule>
  </conditionalFormatting>
  <conditionalFormatting sqref="C51:G51">
    <cfRule type="expression" dxfId="74" priority="31" stopIfTrue="1">
      <formula>$B51="Do not fill this line"</formula>
    </cfRule>
  </conditionalFormatting>
  <conditionalFormatting sqref="C52:G52">
    <cfRule type="expression" dxfId="73" priority="30" stopIfTrue="1">
      <formula>$B52="Do not fill this line"</formula>
    </cfRule>
  </conditionalFormatting>
  <conditionalFormatting sqref="C53:G53">
    <cfRule type="expression" dxfId="72" priority="29" stopIfTrue="1">
      <formula>$B53="Do not fill this line"</formula>
    </cfRule>
  </conditionalFormatting>
  <conditionalFormatting sqref="C54:G54">
    <cfRule type="expression" dxfId="71" priority="28" stopIfTrue="1">
      <formula>$B54="Do not fill this line"</formula>
    </cfRule>
  </conditionalFormatting>
  <conditionalFormatting sqref="C47:G47">
    <cfRule type="expression" dxfId="70" priority="27" stopIfTrue="1">
      <formula>$B47="Do not fill this line"</formula>
    </cfRule>
  </conditionalFormatting>
  <conditionalFormatting sqref="C64:G64">
    <cfRule type="expression" dxfId="69" priority="26" stopIfTrue="1">
      <formula>$B64="Do not fill this line"</formula>
    </cfRule>
  </conditionalFormatting>
  <conditionalFormatting sqref="C65:G65">
    <cfRule type="expression" dxfId="68" priority="25" stopIfTrue="1">
      <formula>$B65="Do not fill this line"</formula>
    </cfRule>
  </conditionalFormatting>
  <conditionalFormatting sqref="C68:G68">
    <cfRule type="expression" dxfId="67" priority="24" stopIfTrue="1">
      <formula>$B68="Do not fill this line"</formula>
    </cfRule>
  </conditionalFormatting>
  <conditionalFormatting sqref="C69:G69">
    <cfRule type="expression" dxfId="66" priority="23" stopIfTrue="1">
      <formula>$B69="Do not fill this line"</formula>
    </cfRule>
  </conditionalFormatting>
  <conditionalFormatting sqref="C70:G70">
    <cfRule type="expression" dxfId="65" priority="22" stopIfTrue="1">
      <formula>$B70="Do not fill this line"</formula>
    </cfRule>
  </conditionalFormatting>
  <conditionalFormatting sqref="C71:G71">
    <cfRule type="expression" dxfId="64" priority="21" stopIfTrue="1">
      <formula>$B71="Do not fill this line"</formula>
    </cfRule>
  </conditionalFormatting>
  <conditionalFormatting sqref="C72:G72">
    <cfRule type="expression" dxfId="63" priority="20" stopIfTrue="1">
      <formula>$B72="Do not fill this line"</formula>
    </cfRule>
  </conditionalFormatting>
  <conditionalFormatting sqref="C73:G73">
    <cfRule type="expression" dxfId="62" priority="19" stopIfTrue="1">
      <formula>$B73="Do not fill this line"</formula>
    </cfRule>
  </conditionalFormatting>
  <conditionalFormatting sqref="C67:G67">
    <cfRule type="expression" dxfId="61" priority="18" stopIfTrue="1">
      <formula>$B67="Do not fill this line"</formula>
    </cfRule>
  </conditionalFormatting>
  <conditionalFormatting sqref="C63:G63">
    <cfRule type="expression" dxfId="60" priority="17" stopIfTrue="1">
      <formula>$B63="Do not fill this line"</formula>
    </cfRule>
  </conditionalFormatting>
  <conditionalFormatting sqref="C62:G62">
    <cfRule type="expression" dxfId="59" priority="16" stopIfTrue="1">
      <formula>$B62="Do not fill this line"</formula>
    </cfRule>
  </conditionalFormatting>
  <conditionalFormatting sqref="C66:G66">
    <cfRule type="expression" dxfId="58" priority="15" stopIfTrue="1">
      <formula>$B66="Do not fill this line"</formula>
    </cfRule>
  </conditionalFormatting>
  <conditionalFormatting sqref="C74:G74">
    <cfRule type="expression" dxfId="57" priority="14" stopIfTrue="1">
      <formula>$B74="Do not fill this line"</formula>
    </cfRule>
  </conditionalFormatting>
  <conditionalFormatting sqref="C82:G82">
    <cfRule type="expression" dxfId="56" priority="13" stopIfTrue="1">
      <formula>$B82="Do not fill this line"</formula>
    </cfRule>
  </conditionalFormatting>
  <conditionalFormatting sqref="C83:G83">
    <cfRule type="expression" dxfId="55" priority="12" stopIfTrue="1">
      <formula>$B83="Do not fill this line"</formula>
    </cfRule>
  </conditionalFormatting>
  <conditionalFormatting sqref="C88:G88">
    <cfRule type="expression" dxfId="54" priority="11" stopIfTrue="1">
      <formula>$B88="Do not fill this line"</formula>
    </cfRule>
  </conditionalFormatting>
  <conditionalFormatting sqref="C89:G89">
    <cfRule type="expression" dxfId="53" priority="10" stopIfTrue="1">
      <formula>$B89="Do not fill this line"</formula>
    </cfRule>
  </conditionalFormatting>
  <conditionalFormatting sqref="C90:G90">
    <cfRule type="expression" dxfId="52" priority="9" stopIfTrue="1">
      <formula>$B90="Do not fill this line"</formula>
    </cfRule>
  </conditionalFormatting>
  <conditionalFormatting sqref="C91:G91">
    <cfRule type="expression" dxfId="51" priority="8" stopIfTrue="1">
      <formula>$B91="Do not fill this line"</formula>
    </cfRule>
  </conditionalFormatting>
  <conditionalFormatting sqref="C92:G92">
    <cfRule type="expression" dxfId="50" priority="7" stopIfTrue="1">
      <formula>$B92="Do not fill this line"</formula>
    </cfRule>
  </conditionalFormatting>
  <conditionalFormatting sqref="C93:G93">
    <cfRule type="expression" dxfId="49" priority="6" stopIfTrue="1">
      <formula>$B93="Do not fill this line"</formula>
    </cfRule>
  </conditionalFormatting>
  <conditionalFormatting sqref="C87:G87">
    <cfRule type="expression" dxfId="48" priority="5" stopIfTrue="1">
      <formula>$B87="Do not fill this line"</formula>
    </cfRule>
  </conditionalFormatting>
  <conditionalFormatting sqref="C86:G86">
    <cfRule type="expression" dxfId="47" priority="4" stopIfTrue="1">
      <formula>$B86="Do not fill this line"</formula>
    </cfRule>
  </conditionalFormatting>
  <conditionalFormatting sqref="C85:G85">
    <cfRule type="expression" dxfId="46" priority="3" stopIfTrue="1">
      <formula>$B85="Do not fill this line"</formula>
    </cfRule>
  </conditionalFormatting>
  <conditionalFormatting sqref="C84:G84">
    <cfRule type="expression" dxfId="45" priority="2" stopIfTrue="1">
      <formula>$B84="Do not fill this line"</formula>
    </cfRule>
  </conditionalFormatting>
  <conditionalFormatting sqref="C94:G94">
    <cfRule type="expression" dxfId="44" priority="1" stopIfTrue="1">
      <formula>$B94="Do not fill this line"</formula>
    </cfRule>
  </conditionalFormatting>
  <dataValidations count="1">
    <dataValidation type="decimal" allowBlank="1" showInputMessage="1" showErrorMessage="1" sqref="C62:G75 C82:G95 C42:G55 C22:G35" xr:uid="{092F4021-664E-FA47-B01D-7FFAAB9D8F7D}">
      <formula1>0</formula1>
      <formula2>1</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C96E3-526F-4527-B814-7C262AEF4C15}">
  <sheetPr codeName="Planilha19">
    <tabColor rgb="FFDDCFAD"/>
  </sheetPr>
  <dimension ref="A1:AE105"/>
  <sheetViews>
    <sheetView showGridLines="0" showRowColHeaders="0" topLeftCell="A68" zoomScaleNormal="100" workbookViewId="0">
      <selection activeCell="D81" sqref="D81:D82"/>
    </sheetView>
  </sheetViews>
  <sheetFormatPr defaultColWidth="8.77734375" defaultRowHeight="14.4"/>
  <cols>
    <col min="1" max="1" width="3.44140625" customWidth="1"/>
    <col min="2" max="2" width="6.77734375" customWidth="1"/>
    <col min="3" max="3" width="35.77734375" customWidth="1"/>
    <col min="4" max="12" width="13.6640625" customWidth="1"/>
    <col min="13" max="14" width="6.109375" customWidth="1"/>
    <col min="15" max="15" width="13.33203125" customWidth="1"/>
    <col min="16" max="16" width="13.33203125" hidden="1" customWidth="1"/>
    <col min="17" max="19" width="13.33203125" customWidth="1"/>
  </cols>
  <sheetData>
    <row r="1" spans="1:24" s="130" customFormat="1" ht="33.6">
      <c r="A1" s="127"/>
      <c r="B1" s="128" t="str">
        <f>Introduction!$B$1</f>
        <v>Budget impact analysis of treatments for Patients at high and very high cardiovascular risk</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5" spans="1:24" s="137" customFormat="1" ht="18">
      <c r="A5" s="136"/>
      <c r="C5" s="140" t="s">
        <v>104</v>
      </c>
      <c r="D5" s="138"/>
      <c r="F5" s="43"/>
    </row>
    <row r="6" spans="1:24" s="137" customFormat="1" ht="15" customHeight="1">
      <c r="A6" s="136"/>
      <c r="C6" s="136" t="s">
        <v>105</v>
      </c>
      <c r="D6" s="136"/>
      <c r="E6" s="136"/>
      <c r="F6" s="43"/>
      <c r="N6" s="202"/>
      <c r="O6" s="202"/>
      <c r="P6" s="202"/>
      <c r="Q6" s="202"/>
      <c r="R6" s="202"/>
      <c r="S6" s="202"/>
    </row>
    <row r="7" spans="1:24" s="137" customFormat="1" ht="15" customHeight="1">
      <c r="A7" s="136"/>
      <c r="C7" s="136"/>
      <c r="D7" s="138"/>
      <c r="F7" s="187"/>
      <c r="N7" s="202"/>
      <c r="O7" s="202"/>
      <c r="P7" s="202"/>
      <c r="Q7" s="202"/>
      <c r="R7" s="202"/>
      <c r="S7" s="202"/>
    </row>
    <row r="8" spans="1:24" s="137" customFormat="1">
      <c r="A8" s="136"/>
      <c r="D8" s="138"/>
      <c r="F8" s="43"/>
      <c r="M8" s="139"/>
      <c r="N8" s="202"/>
      <c r="O8" s="202"/>
      <c r="P8" s="202"/>
      <c r="Q8" s="202"/>
      <c r="R8" s="202"/>
      <c r="S8" s="202"/>
    </row>
    <row r="9" spans="1:24" s="137" customFormat="1">
      <c r="A9" s="136"/>
      <c r="C9" s="42" t="s">
        <v>98</v>
      </c>
      <c r="E9" s="420" t="s">
        <v>364</v>
      </c>
      <c r="F9" s="421"/>
      <c r="G9" s="421"/>
      <c r="H9" s="421"/>
      <c r="I9" s="422"/>
      <c r="M9" s="139" t="s">
        <v>184</v>
      </c>
      <c r="N9" s="202"/>
      <c r="O9" s="202"/>
      <c r="P9" s="202"/>
      <c r="Q9" s="202"/>
      <c r="R9" s="202"/>
      <c r="S9" s="202"/>
    </row>
    <row r="10" spans="1:24" s="137" customFormat="1" ht="15" customHeight="1">
      <c r="A10" s="136"/>
      <c r="C10" s="48"/>
      <c r="E10" s="423" t="str">
        <f>IF(demanda="Observed demand",M9,IF(demanda="Epidemiological method",M10,IF(demanda="Mista",M11,M12)))</f>
        <v>In epidemiological methods, population data are used to estimate the total number of eligible patients (e.g. prevalence). Complete section 5.3 below.</v>
      </c>
      <c r="F10" s="423"/>
      <c r="G10" s="423"/>
      <c r="H10" s="423"/>
      <c r="I10" s="423"/>
      <c r="M10" s="139" t="s">
        <v>185</v>
      </c>
      <c r="N10" s="202"/>
      <c r="O10" s="202"/>
      <c r="P10" s="202"/>
      <c r="Q10" s="202"/>
      <c r="R10" s="202"/>
      <c r="S10" s="202"/>
    </row>
    <row r="11" spans="1:24" s="137" customFormat="1">
      <c r="A11" s="136"/>
      <c r="C11" s="48"/>
      <c r="D11" s="188"/>
      <c r="E11" s="424"/>
      <c r="F11" s="424"/>
      <c r="G11" s="424"/>
      <c r="H11" s="424"/>
      <c r="I11" s="424"/>
      <c r="M11" s="139"/>
      <c r="N11" s="202"/>
      <c r="O11" s="202"/>
      <c r="P11" s="202"/>
      <c r="Q11" s="202"/>
      <c r="R11" s="202"/>
      <c r="S11" s="202"/>
    </row>
    <row r="12" spans="1:24" s="137" customFormat="1">
      <c r="A12" s="136"/>
      <c r="C12" s="48"/>
      <c r="D12" s="188"/>
      <c r="E12" s="424"/>
      <c r="F12" s="424"/>
      <c r="G12" s="424"/>
      <c r="H12" s="424"/>
      <c r="I12" s="424"/>
      <c r="M12" s="139" t="s">
        <v>100</v>
      </c>
      <c r="N12" s="202"/>
      <c r="O12" s="202"/>
      <c r="P12" s="202"/>
      <c r="Q12" s="202"/>
      <c r="R12" s="202"/>
      <c r="S12" s="202"/>
    </row>
    <row r="13" spans="1:24" s="137" customFormat="1">
      <c r="A13" s="136"/>
      <c r="C13" s="42"/>
      <c r="D13" s="188"/>
      <c r="E13" s="424"/>
      <c r="F13" s="424"/>
      <c r="G13" s="424"/>
      <c r="H13" s="424"/>
      <c r="I13" s="424"/>
      <c r="N13" s="202"/>
      <c r="O13" s="202"/>
      <c r="P13" s="202"/>
      <c r="Q13" s="202"/>
      <c r="R13" s="202"/>
      <c r="S13" s="202"/>
    </row>
    <row r="14" spans="1:24" s="137" customFormat="1" ht="25.05" customHeight="1">
      <c r="A14" s="136"/>
      <c r="C14" s="427" t="s">
        <v>99</v>
      </c>
      <c r="D14" s="138"/>
      <c r="E14" s="424"/>
      <c r="F14" s="424"/>
      <c r="G14" s="424"/>
      <c r="H14" s="424"/>
      <c r="I14" s="424"/>
      <c r="N14" s="202"/>
      <c r="O14" s="202"/>
      <c r="P14" s="203" t="str">
        <f>IF(E15="Yes, it represents incidence","incidencia","prevalencia")</f>
        <v>prevalencia</v>
      </c>
      <c r="Q14" s="202"/>
      <c r="R14" s="202"/>
      <c r="S14" s="202"/>
    </row>
    <row r="15" spans="1:24" s="180" customFormat="1" ht="15" customHeight="1">
      <c r="A15" s="7"/>
      <c r="B15" s="7"/>
      <c r="C15" s="427"/>
      <c r="D15" s="7"/>
      <c r="E15" s="420" t="s">
        <v>365</v>
      </c>
      <c r="F15" s="421"/>
      <c r="G15" s="421"/>
      <c r="H15" s="421"/>
      <c r="I15" s="422"/>
      <c r="J15" s="7"/>
      <c r="K15" s="7"/>
      <c r="L15" s="7"/>
      <c r="M15" s="7"/>
      <c r="N15" s="204"/>
      <c r="O15" s="204"/>
      <c r="P15" s="204"/>
      <c r="Q15" s="204"/>
      <c r="R15" s="204"/>
      <c r="S15" s="204"/>
      <c r="T15" s="7"/>
      <c r="U15" s="7"/>
      <c r="V15" s="7"/>
      <c r="W15" s="7"/>
      <c r="X15" s="7"/>
    </row>
    <row r="16" spans="1:24" s="180" customFormat="1">
      <c r="A16" s="7"/>
      <c r="B16" s="7"/>
      <c r="D16" s="7"/>
      <c r="E16" s="7"/>
      <c r="F16" s="7"/>
      <c r="G16" s="7"/>
      <c r="H16" s="7"/>
      <c r="I16" s="7"/>
      <c r="J16" s="7"/>
      <c r="K16" s="7"/>
      <c r="L16" s="7"/>
      <c r="M16" s="7"/>
      <c r="N16" s="204"/>
      <c r="O16" s="204"/>
      <c r="P16" s="204"/>
      <c r="Q16" s="204"/>
      <c r="R16" s="204"/>
      <c r="S16" s="204"/>
      <c r="T16" s="7"/>
      <c r="U16" s="7"/>
      <c r="V16" s="7"/>
      <c r="W16" s="7"/>
      <c r="X16" s="7"/>
    </row>
    <row r="17" spans="3:25">
      <c r="C17" s="417" t="s">
        <v>318</v>
      </c>
      <c r="N17" s="205"/>
      <c r="O17" s="205"/>
      <c r="P17" s="205"/>
      <c r="Q17" s="205"/>
      <c r="R17" s="205"/>
      <c r="S17" s="205"/>
    </row>
    <row r="18" spans="3:25">
      <c r="C18" s="417"/>
      <c r="D18" s="7"/>
      <c r="E18" s="381" t="s">
        <v>256</v>
      </c>
      <c r="F18" s="290" t="s">
        <v>319</v>
      </c>
      <c r="G18" s="7"/>
      <c r="H18" s="7"/>
      <c r="I18" s="7"/>
      <c r="J18" s="7"/>
      <c r="K18" s="7"/>
      <c r="L18" s="7"/>
      <c r="M18" s="7"/>
      <c r="N18" s="204"/>
      <c r="O18" s="204"/>
      <c r="P18" s="204"/>
      <c r="Q18" s="204"/>
      <c r="R18" s="204"/>
      <c r="S18" s="204"/>
      <c r="T18" s="7"/>
      <c r="U18" s="7"/>
      <c r="V18" s="7"/>
      <c r="W18" s="7"/>
      <c r="X18" s="7"/>
      <c r="Y18" s="7"/>
    </row>
    <row r="19" spans="3:25">
      <c r="C19" s="63"/>
      <c r="D19" s="7"/>
      <c r="E19" s="7"/>
      <c r="F19" s="7"/>
      <c r="G19" s="7"/>
      <c r="H19" s="7"/>
      <c r="I19" s="7"/>
      <c r="J19" s="7"/>
      <c r="K19" s="7"/>
      <c r="L19" s="7"/>
      <c r="M19" s="7"/>
      <c r="N19" s="204"/>
      <c r="O19" s="204"/>
      <c r="P19" s="204"/>
      <c r="Q19" s="204"/>
      <c r="R19" s="204"/>
      <c r="S19" s="204"/>
      <c r="T19" s="7"/>
      <c r="U19" s="7"/>
      <c r="V19" s="7"/>
      <c r="W19" s="7"/>
      <c r="X19" s="7"/>
      <c r="Y19" s="7"/>
    </row>
    <row r="20" spans="3:25">
      <c r="C20" s="63"/>
      <c r="D20" s="7"/>
      <c r="E20" s="7"/>
      <c r="F20" s="7"/>
      <c r="G20" s="7"/>
      <c r="H20" s="7"/>
      <c r="I20" s="7"/>
      <c r="J20" s="7"/>
      <c r="K20" s="7"/>
      <c r="L20" s="7"/>
      <c r="M20" s="7"/>
      <c r="N20" s="204"/>
      <c r="O20" s="204"/>
      <c r="P20" s="204"/>
      <c r="Q20" s="204"/>
      <c r="R20" s="204"/>
      <c r="S20" s="204"/>
      <c r="T20" s="7"/>
      <c r="U20" s="7"/>
      <c r="V20" s="7"/>
      <c r="W20" s="7"/>
      <c r="X20" s="7"/>
      <c r="Y20" s="7"/>
    </row>
    <row r="21" spans="3:25">
      <c r="C21" s="64"/>
      <c r="D21" s="65"/>
      <c r="E21" s="65"/>
      <c r="F21" s="65"/>
      <c r="G21" s="65"/>
      <c r="H21" s="65"/>
      <c r="I21" s="65"/>
      <c r="J21" s="65"/>
      <c r="K21" s="65"/>
      <c r="L21" s="65"/>
      <c r="M21" s="65"/>
      <c r="N21" s="65"/>
      <c r="O21" s="65"/>
      <c r="P21" s="65"/>
      <c r="Q21" s="65"/>
      <c r="R21" s="65"/>
      <c r="S21" s="65"/>
      <c r="T21" s="65"/>
      <c r="U21" s="65"/>
      <c r="V21" s="65"/>
      <c r="W21" s="65"/>
      <c r="X21" s="65"/>
      <c r="Y21" s="65"/>
    </row>
    <row r="23" spans="3:25" ht="18">
      <c r="C23" s="140" t="s">
        <v>106</v>
      </c>
    </row>
    <row r="24" spans="3:25">
      <c r="C24" s="136" t="s">
        <v>107</v>
      </c>
    </row>
    <row r="25" spans="3:25" ht="18">
      <c r="C25" s="140"/>
    </row>
    <row r="26" spans="3:25" ht="30" customHeight="1">
      <c r="C26" s="417" t="str">
        <f>populacao&amp;" - total number of eligible patients per year"</f>
        <v>Patients at high and very high cardiovascular risk - total number of eligible patients per year</v>
      </c>
      <c r="D26" s="189">
        <f>ano_1</f>
        <v>2026</v>
      </c>
      <c r="E26" s="189">
        <f>ano_1+1</f>
        <v>2027</v>
      </c>
      <c r="F26" s="189">
        <f>ano_1+2</f>
        <v>2028</v>
      </c>
      <c r="G26" s="189">
        <f>ano_1+3</f>
        <v>2029</v>
      </c>
      <c r="H26" s="189">
        <f>ano_1+4</f>
        <v>2030</v>
      </c>
    </row>
    <row r="27" spans="3:25" ht="15" customHeight="1">
      <c r="C27" s="417"/>
      <c r="D27" s="53"/>
      <c r="E27" s="53"/>
      <c r="F27" s="53"/>
      <c r="G27" s="53"/>
      <c r="H27" s="53"/>
    </row>
    <row r="28" spans="3:25" ht="18.75" customHeight="1"/>
    <row r="29" spans="3:25" ht="18.75" customHeight="1"/>
    <row r="30" spans="3:25">
      <c r="C30" s="63"/>
      <c r="D30" s="7"/>
      <c r="E30" s="7"/>
      <c r="F30" s="7"/>
      <c r="G30" s="7"/>
      <c r="H30" s="7"/>
      <c r="I30" s="7"/>
      <c r="J30" s="7"/>
      <c r="K30" s="7"/>
      <c r="L30" s="7"/>
      <c r="M30" s="7"/>
      <c r="N30" s="7"/>
      <c r="O30" s="7"/>
      <c r="P30" s="7"/>
      <c r="Q30" s="7"/>
      <c r="R30" s="7"/>
      <c r="S30" s="7"/>
      <c r="T30" s="7"/>
      <c r="U30" s="7"/>
      <c r="V30" s="7"/>
      <c r="W30" s="7"/>
      <c r="X30" s="7"/>
      <c r="Y30" s="7"/>
    </row>
    <row r="31" spans="3:25">
      <c r="C31" s="64"/>
      <c r="D31" s="65"/>
      <c r="E31" s="65"/>
      <c r="F31" s="65"/>
      <c r="G31" s="65"/>
      <c r="H31" s="65"/>
      <c r="I31" s="65"/>
      <c r="J31" s="65"/>
      <c r="K31" s="65"/>
      <c r="L31" s="65"/>
      <c r="M31" s="65"/>
      <c r="N31" s="65"/>
      <c r="O31" s="65"/>
      <c r="P31" s="65"/>
      <c r="Q31" s="65"/>
      <c r="R31" s="65"/>
      <c r="S31" s="65"/>
      <c r="T31" s="65"/>
      <c r="U31" s="65"/>
      <c r="V31" s="65"/>
      <c r="W31" s="65"/>
      <c r="X31" s="65"/>
      <c r="Y31" s="65"/>
    </row>
    <row r="32" spans="3:25" ht="18">
      <c r="C32" s="140"/>
    </row>
    <row r="33" spans="3:20" ht="18">
      <c r="C33" s="140" t="s">
        <v>108</v>
      </c>
    </row>
    <row r="34" spans="3:20">
      <c r="C34" t="s">
        <v>109</v>
      </c>
    </row>
    <row r="35" spans="3:20">
      <c r="C35" s="190" t="s">
        <v>110</v>
      </c>
    </row>
    <row r="36" spans="3:20">
      <c r="C36" s="7"/>
      <c r="D36" s="191"/>
      <c r="E36" s="191"/>
      <c r="F36" s="7"/>
      <c r="G36" s="7"/>
      <c r="H36" s="7"/>
      <c r="I36" s="7"/>
      <c r="J36" s="7"/>
      <c r="K36" s="7"/>
      <c r="L36" s="7"/>
      <c r="M36" s="7"/>
      <c r="N36" s="7"/>
      <c r="O36" s="7"/>
      <c r="P36" s="7"/>
      <c r="Q36" s="7"/>
      <c r="R36" s="7"/>
      <c r="S36" s="7"/>
      <c r="T36" s="7"/>
    </row>
    <row r="37" spans="3:20">
      <c r="C37" s="7"/>
      <c r="D37" s="191"/>
      <c r="E37" s="191"/>
      <c r="F37" s="7"/>
      <c r="G37" s="7"/>
      <c r="H37" s="7"/>
      <c r="I37" s="7"/>
      <c r="J37" s="7"/>
      <c r="K37" s="7"/>
      <c r="L37" s="7"/>
      <c r="M37" s="7"/>
      <c r="N37" s="7"/>
      <c r="O37" s="7"/>
      <c r="P37" s="7"/>
      <c r="Q37" s="7"/>
      <c r="R37" s="7"/>
      <c r="S37" s="7"/>
      <c r="T37" s="7"/>
    </row>
    <row r="38" spans="3:20">
      <c r="C38" s="42" t="s">
        <v>111</v>
      </c>
      <c r="D38" s="49"/>
      <c r="E38" s="192" t="s">
        <v>131</v>
      </c>
      <c r="F38" s="7"/>
      <c r="G38" s="7"/>
      <c r="H38" s="7"/>
      <c r="I38" s="7"/>
      <c r="J38" s="7"/>
      <c r="K38" s="7"/>
      <c r="L38" s="7"/>
      <c r="M38" s="7"/>
      <c r="N38" s="7"/>
      <c r="O38" s="7"/>
      <c r="P38" s="7"/>
      <c r="Q38" s="7"/>
      <c r="R38" s="7"/>
      <c r="S38" s="7"/>
      <c r="T38" s="7"/>
    </row>
    <row r="39" spans="3:20">
      <c r="C39" s="193"/>
      <c r="D39" s="194"/>
      <c r="E39" s="7"/>
      <c r="F39" s="7"/>
      <c r="G39" s="7"/>
      <c r="H39" s="7"/>
      <c r="I39" s="7"/>
      <c r="J39" s="7"/>
      <c r="K39" s="7"/>
      <c r="L39" s="7"/>
      <c r="M39" s="7"/>
      <c r="N39" s="195" t="s">
        <v>133</v>
      </c>
      <c r="O39" s="7"/>
      <c r="P39" s="7"/>
      <c r="Q39" s="7"/>
      <c r="R39" s="7"/>
      <c r="S39" s="7"/>
      <c r="T39" s="7"/>
    </row>
    <row r="40" spans="3:20">
      <c r="C40" s="42" t="s">
        <v>112</v>
      </c>
      <c r="D40" s="49"/>
      <c r="E40" s="192" t="s">
        <v>132</v>
      </c>
      <c r="F40" s="7"/>
      <c r="G40" s="7"/>
      <c r="H40" s="7"/>
      <c r="I40" s="7"/>
      <c r="J40" s="7"/>
      <c r="K40" s="7"/>
      <c r="L40" s="7"/>
      <c r="M40" s="7"/>
      <c r="N40" s="7"/>
      <c r="O40" s="7"/>
      <c r="P40" s="7"/>
      <c r="Q40" s="7"/>
      <c r="R40" s="7"/>
      <c r="S40" s="196"/>
      <c r="T40" s="7"/>
    </row>
    <row r="41" spans="3:20">
      <c r="C41" s="7"/>
      <c r="E41" s="7"/>
      <c r="F41" s="7"/>
      <c r="G41" s="7"/>
      <c r="H41" s="7"/>
      <c r="I41" s="7"/>
      <c r="J41" s="7"/>
      <c r="K41" s="7"/>
      <c r="L41" s="7"/>
      <c r="M41" s="7"/>
      <c r="N41" s="7"/>
      <c r="O41" s="7"/>
      <c r="P41" s="7"/>
      <c r="Q41" s="7"/>
      <c r="R41" s="7"/>
      <c r="S41" s="7"/>
      <c r="T41" s="7"/>
    </row>
    <row r="42" spans="3:20">
      <c r="C42" s="42" t="s">
        <v>113</v>
      </c>
      <c r="D42" s="197">
        <f>D40-D38+1</f>
        <v>1</v>
      </c>
      <c r="E42" s="192"/>
      <c r="F42" s="7"/>
      <c r="G42" s="7"/>
      <c r="H42" s="7"/>
      <c r="I42" s="7"/>
      <c r="J42" s="7"/>
      <c r="K42" s="7"/>
      <c r="L42" s="7"/>
      <c r="M42" s="7"/>
      <c r="N42" s="7"/>
      <c r="O42" s="7"/>
      <c r="P42" s="7"/>
      <c r="Q42" s="7"/>
      <c r="R42" s="7"/>
      <c r="S42" s="196"/>
      <c r="T42" s="7"/>
    </row>
    <row r="43" spans="3:20">
      <c r="C43" s="7"/>
      <c r="E43" s="7"/>
      <c r="F43" s="7"/>
      <c r="G43" s="7"/>
      <c r="H43" s="7"/>
      <c r="I43" s="7"/>
      <c r="J43" s="7"/>
      <c r="K43" s="7"/>
      <c r="L43" s="7"/>
      <c r="M43" s="7"/>
      <c r="N43" s="7"/>
      <c r="O43" s="7"/>
      <c r="P43" s="7"/>
      <c r="Q43" s="7"/>
      <c r="R43" s="7"/>
      <c r="S43" s="7"/>
      <c r="T43" s="7"/>
    </row>
    <row r="44" spans="3:20">
      <c r="C44" s="7"/>
      <c r="D44" s="7"/>
      <c r="E44" s="7"/>
      <c r="F44" s="7"/>
      <c r="G44" s="7"/>
      <c r="H44" s="7"/>
      <c r="I44" s="7"/>
      <c r="J44" s="7"/>
      <c r="K44" s="7"/>
      <c r="L44" s="7"/>
      <c r="M44" s="7"/>
      <c r="N44" s="7"/>
      <c r="O44" s="7"/>
      <c r="P44" s="7"/>
      <c r="Q44" s="7"/>
      <c r="R44" s="7"/>
      <c r="S44" s="7"/>
      <c r="T44" s="7"/>
    </row>
    <row r="45" spans="3:20">
      <c r="C45" s="425" t="s">
        <v>101</v>
      </c>
      <c r="D45" s="189">
        <f>D38</f>
        <v>0</v>
      </c>
      <c r="E45" s="189" t="str">
        <f>IF($D$38+1&lt;=$D$40,$D$38+1,"")</f>
        <v/>
      </c>
      <c r="F45" s="189" t="str">
        <f>IF($D$38+2&lt;=$D$40,$D$38+2,"")</f>
        <v/>
      </c>
      <c r="G45" s="189" t="str">
        <f>IF($D$38+3&lt;=$D$40,$D$38+3,"")</f>
        <v/>
      </c>
      <c r="H45" s="189" t="str">
        <f>IF($D$38+4&lt;=$D$40,$D$38+4,"")</f>
        <v/>
      </c>
      <c r="I45" s="189" t="str">
        <f>IF($D$38+5&lt;=$D$40,$D$38+5,"")</f>
        <v/>
      </c>
      <c r="J45" s="189" t="str">
        <f>IF($D$38+6&lt;=$D$40,$D$38+6,"")</f>
        <v/>
      </c>
      <c r="K45" s="189" t="str">
        <f>IF($D$38+7&lt;=$D$40,$D$38+7,"")</f>
        <v/>
      </c>
      <c r="L45" s="189" t="str">
        <f>IF($D$38+8&lt;=$D$40,$D$38+8,"")</f>
        <v/>
      </c>
      <c r="M45" s="7"/>
      <c r="N45" s="7"/>
      <c r="O45" s="7"/>
      <c r="P45" s="7"/>
      <c r="Q45" s="7"/>
      <c r="R45" s="7"/>
      <c r="S45" s="7"/>
      <c r="T45" s="7"/>
    </row>
    <row r="46" spans="3:20">
      <c r="C46" s="426"/>
      <c r="D46" s="174"/>
      <c r="E46" s="174"/>
      <c r="F46" s="174"/>
      <c r="G46" s="174"/>
      <c r="H46" s="174"/>
      <c r="I46" s="174"/>
      <c r="J46" s="174"/>
      <c r="K46" s="174"/>
      <c r="L46" s="174"/>
      <c r="M46" s="7"/>
      <c r="N46" s="7"/>
      <c r="O46" s="7"/>
      <c r="P46" s="7"/>
      <c r="Q46" s="7"/>
      <c r="R46" s="7"/>
      <c r="S46" s="7"/>
      <c r="T46" s="7"/>
    </row>
    <row r="47" spans="3:20">
      <c r="C47" s="53"/>
      <c r="D47" s="53"/>
      <c r="E47" s="53"/>
      <c r="F47" s="53"/>
      <c r="G47" s="53"/>
      <c r="H47" s="53"/>
      <c r="I47" s="53"/>
      <c r="J47" s="53"/>
      <c r="K47" s="53"/>
      <c r="L47" s="53"/>
      <c r="M47" s="7"/>
      <c r="N47" s="7"/>
      <c r="O47" s="7"/>
      <c r="P47" s="7"/>
      <c r="Q47" s="7"/>
      <c r="R47" s="7"/>
      <c r="S47" s="7"/>
      <c r="T47" s="7"/>
    </row>
    <row r="48" spans="3:20">
      <c r="C48" s="53"/>
      <c r="D48" s="53"/>
      <c r="E48" s="53"/>
      <c r="F48" s="53"/>
      <c r="G48" s="53"/>
      <c r="H48" s="53"/>
      <c r="I48" s="53"/>
      <c r="J48" s="53"/>
      <c r="K48" s="53"/>
      <c r="L48" s="53"/>
      <c r="M48" s="7"/>
      <c r="N48" s="7"/>
      <c r="O48" s="7"/>
      <c r="P48" s="7"/>
      <c r="Q48" s="7"/>
      <c r="R48" s="7"/>
      <c r="S48" s="7"/>
      <c r="T48" s="7"/>
    </row>
    <row r="49" spans="3:27">
      <c r="C49" s="53"/>
      <c r="D49" s="53"/>
      <c r="E49" s="53"/>
      <c r="F49" s="53"/>
      <c r="G49" s="53"/>
      <c r="H49" s="53"/>
      <c r="I49" s="53"/>
      <c r="J49" s="53"/>
      <c r="K49" s="53"/>
      <c r="L49" s="53"/>
      <c r="M49" s="7"/>
      <c r="N49" s="7"/>
      <c r="O49" s="7"/>
      <c r="P49" s="7"/>
      <c r="Q49" s="7"/>
      <c r="R49" s="7"/>
      <c r="S49" s="7"/>
      <c r="T49" s="7"/>
    </row>
    <row r="50" spans="3:27">
      <c r="C50" s="53"/>
      <c r="D50" s="53"/>
      <c r="E50" s="53"/>
      <c r="F50" s="53"/>
      <c r="G50" s="53"/>
      <c r="H50" s="53"/>
      <c r="I50" s="53"/>
      <c r="J50" s="53"/>
      <c r="K50" s="53"/>
      <c r="L50" s="53"/>
      <c r="M50" s="7"/>
      <c r="N50" s="7"/>
      <c r="O50" s="7"/>
      <c r="P50" s="7"/>
      <c r="Q50" s="7"/>
      <c r="R50" s="7"/>
      <c r="S50" s="7"/>
      <c r="T50" s="7"/>
    </row>
    <row r="51" spans="3:27">
      <c r="C51" s="53"/>
      <c r="D51" s="53"/>
      <c r="E51" s="53"/>
      <c r="F51" s="53"/>
      <c r="G51" s="53"/>
      <c r="H51" s="53"/>
      <c r="I51" s="53"/>
      <c r="J51" s="53"/>
      <c r="K51" s="53"/>
      <c r="L51" s="53"/>
      <c r="M51" s="7"/>
      <c r="N51" s="7"/>
      <c r="O51" s="7"/>
      <c r="P51" s="7"/>
      <c r="Q51" s="7"/>
      <c r="R51" s="7"/>
      <c r="S51" s="7"/>
      <c r="T51" s="7"/>
    </row>
    <row r="52" spans="3:27">
      <c r="C52" s="53"/>
      <c r="D52" s="53"/>
      <c r="E52" s="53"/>
      <c r="F52" s="53"/>
      <c r="G52" s="53"/>
      <c r="H52" s="53"/>
      <c r="I52" s="53"/>
      <c r="J52" s="53"/>
      <c r="K52" s="53"/>
      <c r="L52" s="53"/>
      <c r="M52" s="7"/>
      <c r="N52" s="7"/>
      <c r="O52" s="7"/>
      <c r="P52" s="7"/>
      <c r="Q52" s="7"/>
      <c r="R52" s="7"/>
      <c r="S52" s="7"/>
      <c r="T52" s="7"/>
    </row>
    <row r="53" spans="3:27">
      <c r="C53" s="198" t="s">
        <v>114</v>
      </c>
      <c r="D53" s="197">
        <f>IF(D45="","",SUM(D47:D52))</f>
        <v>0</v>
      </c>
      <c r="E53" s="197" t="str">
        <f t="shared" ref="E53:H53" si="0">IF(E45="","",SUM(E47:E52))</f>
        <v/>
      </c>
      <c r="F53" s="197" t="str">
        <f t="shared" si="0"/>
        <v/>
      </c>
      <c r="G53" s="197" t="str">
        <f t="shared" si="0"/>
        <v/>
      </c>
      <c r="H53" s="197" t="str">
        <f t="shared" si="0"/>
        <v/>
      </c>
      <c r="I53" s="197" t="str">
        <f t="shared" ref="I53:L53" si="1">IF(I45="","",SUM(I47:I52))</f>
        <v/>
      </c>
      <c r="J53" s="197" t="str">
        <f t="shared" si="1"/>
        <v/>
      </c>
      <c r="K53" s="197" t="str">
        <f t="shared" si="1"/>
        <v/>
      </c>
      <c r="L53" s="197" t="str">
        <f t="shared" si="1"/>
        <v/>
      </c>
      <c r="M53" s="7"/>
      <c r="N53" s="7"/>
      <c r="O53" s="7"/>
      <c r="P53" s="7"/>
      <c r="Q53" s="7"/>
      <c r="R53" s="7"/>
      <c r="S53" s="7"/>
      <c r="T53" s="7"/>
    </row>
    <row r="54" spans="3:27">
      <c r="C54" s="198"/>
      <c r="D54" s="198"/>
      <c r="E54" s="198"/>
      <c r="F54" s="198"/>
      <c r="G54" s="198"/>
      <c r="H54" s="198"/>
      <c r="I54" s="198"/>
      <c r="J54" s="198"/>
      <c r="K54" s="198"/>
      <c r="L54" s="198"/>
      <c r="M54" s="7"/>
      <c r="N54" s="7"/>
      <c r="O54" s="7"/>
      <c r="P54" s="7"/>
      <c r="Q54" s="7"/>
      <c r="R54" s="7"/>
      <c r="S54" s="7"/>
      <c r="T54" s="7"/>
    </row>
    <row r="55" spans="3:27">
      <c r="C55" s="198"/>
      <c r="D55" s="198"/>
      <c r="E55" s="198"/>
      <c r="F55" s="198"/>
      <c r="G55" s="198"/>
      <c r="H55" s="198"/>
      <c r="I55" s="198"/>
      <c r="J55" s="198"/>
      <c r="K55" s="198"/>
      <c r="L55" s="198"/>
      <c r="M55" s="7"/>
      <c r="N55" s="7"/>
      <c r="O55" s="7"/>
      <c r="P55" s="7"/>
      <c r="Q55" s="7"/>
      <c r="R55" s="7"/>
      <c r="S55" s="7"/>
      <c r="T55" s="7"/>
    </row>
    <row r="56" spans="3:27">
      <c r="C56" s="42" t="s">
        <v>115</v>
      </c>
      <c r="D56" s="418" t="s">
        <v>316</v>
      </c>
      <c r="E56" s="419"/>
      <c r="F56" s="192" t="s">
        <v>102</v>
      </c>
      <c r="G56" s="198"/>
      <c r="H56" s="198"/>
      <c r="I56" s="198"/>
      <c r="J56" s="198"/>
      <c r="K56" s="198"/>
      <c r="L56" s="198"/>
      <c r="M56" s="7"/>
      <c r="N56" s="7"/>
      <c r="O56" s="7"/>
      <c r="P56" s="7"/>
      <c r="Q56" s="7"/>
      <c r="R56" s="7"/>
      <c r="S56" s="7"/>
      <c r="T56" s="7"/>
    </row>
    <row r="57" spans="3:27" ht="15" customHeight="1">
      <c r="D57" s="192" t="s">
        <v>225</v>
      </c>
      <c r="E57" s="7"/>
      <c r="F57" s="7"/>
      <c r="G57" s="7"/>
      <c r="H57" s="7"/>
      <c r="I57" s="7"/>
      <c r="J57" s="7"/>
      <c r="K57" s="7"/>
      <c r="L57" s="7"/>
      <c r="M57" s="7"/>
      <c r="N57" s="7"/>
      <c r="O57" s="7"/>
      <c r="P57" s="7"/>
      <c r="Q57" s="7"/>
      <c r="R57" s="7"/>
      <c r="S57" s="7"/>
      <c r="T57" s="7"/>
    </row>
    <row r="58" spans="3:27" ht="15" customHeight="1">
      <c r="D58" s="7"/>
      <c r="E58" s="7"/>
      <c r="F58" s="7"/>
      <c r="G58" s="7"/>
      <c r="H58" s="7"/>
      <c r="I58" s="7"/>
      <c r="J58" s="7"/>
      <c r="K58" s="7"/>
      <c r="L58" s="7"/>
      <c r="M58" s="7"/>
      <c r="N58" s="7"/>
      <c r="O58" s="7"/>
      <c r="P58" s="7"/>
      <c r="Q58" s="7"/>
      <c r="R58" s="7"/>
      <c r="S58" s="7"/>
      <c r="T58" s="7"/>
    </row>
    <row r="59" spans="3:27" ht="15" customHeight="1">
      <c r="C59" s="417" t="s">
        <v>117</v>
      </c>
      <c r="D59" s="189">
        <f>ano_1</f>
        <v>2026</v>
      </c>
      <c r="E59" s="189">
        <f>D59+1</f>
        <v>2027</v>
      </c>
      <c r="F59" s="189">
        <f t="shared" ref="F59:H59" si="2">E59+1</f>
        <v>2028</v>
      </c>
      <c r="G59" s="189">
        <f t="shared" si="2"/>
        <v>2029</v>
      </c>
      <c r="H59" s="189">
        <f t="shared" si="2"/>
        <v>2030</v>
      </c>
      <c r="I59" s="7"/>
      <c r="J59" s="7"/>
      <c r="K59" s="7"/>
      <c r="L59" s="7"/>
      <c r="M59" s="7"/>
      <c r="N59" s="7"/>
      <c r="O59" s="7"/>
      <c r="P59" s="7"/>
      <c r="Q59" s="7"/>
      <c r="R59" s="7"/>
      <c r="S59" s="7"/>
      <c r="T59" s="7"/>
    </row>
    <row r="60" spans="3:27">
      <c r="C60" s="417"/>
      <c r="D60" s="199" cm="1">
        <f t="array" ref="D60">IF($D$42=9,TREND($D53:$L$53,$D45:$L$45,D59),IF($D$42=8,TREND($D53:$K$53,$D45:$K$45,D59),IF($D$42=7,TREND($D53:$J$53,$D45:$J$45,D59),IF($D$42=6,TREND($D53:$I$53,$D45:$I$45,D59),IF($D$42=5,TREND($D53:$H$53,$D45:$H$45,D59),IF($D$42=4,TREND($D53:$G$53,$D45:$G$45,D59),IF($D$42=3,TREND($D53:$F$53,$D45:$F$45,D59),IF($D$42=2,TREND($D53:$E$53,$D45:$E$45,D59),TREND($D53:$D$53,$D45:$D$45,D59)))))))))</f>
        <v>0</v>
      </c>
      <c r="E60" s="199" cm="1">
        <f t="array" ref="E60">IF($D$42=9,TREND($D53:$L$53,$D45:$L$45,E59),IF($D$42=8,TREND($D53:$K$53,$D45:$K$45,E59),IF($D$42=7,TREND($D53:$J$53,$D45:$J$45,E59),IF($D$42=6,TREND($D53:$I$53,$D45:$I$45,E59),IF($D$42=5,TREND($D53:$H$53,$D45:$H$45,E59),IF($D$42=4,TREND($D53:$G$53,$D45:$G$45,E59),IF($D$42=3,TREND($D53:$F$53,$D45:$F$45,E59),IF($D$42=2,TREND($D53:$E$53,$D45:$E$45,E59),TREND($D53:$D$53,$D45:$D$45,E59)))))))))</f>
        <v>0</v>
      </c>
      <c r="F60" s="199" cm="1">
        <f t="array" ref="F60">IF($D$42=9,TREND($D53:$L$53,$D45:$L$45,F59),IF($D$42=8,TREND($D53:$K$53,$D45:$K$45,F59),IF($D$42=7,TREND($D53:$J$53,$D45:$J$45,F59),IF($D$42=6,TREND($D53:$I$53,$D45:$I$45,F59),IF($D$42=5,TREND($D53:$H$53,$D45:$H$45,F59),IF($D$42=4,TREND($D53:$G$53,$D45:$G$45,F59),IF($D$42=3,TREND($D53:$F$53,$D45:$F$45,F59),IF($D$42=2,TREND($D53:$E$53,$D45:$E$45,F59),TREND($D53:$D$53,$D45:$D$45,F59)))))))))</f>
        <v>0</v>
      </c>
      <c r="G60" s="199" cm="1">
        <f t="array" ref="G60">IF($D$42=9,TREND($D53:$L$53,$D45:$L$45,G59),IF($D$42=8,TREND($D53:$K$53,$D45:$K$45,G59),IF($D$42=7,TREND($D53:$J$53,$D45:$J$45,G59),IF($D$42=6,TREND($D53:$I$53,$D45:$I$45,G59),IF($D$42=5,TREND($D53:$H$53,$D45:$H$45,G59),IF($D$42=4,TREND($D53:$G$53,$D45:$G$45,G59),IF($D$42=3,TREND($D53:$F$53,$D45:$F$45,G59),IF($D$42=2,TREND($D53:$E$53,$D45:$E$45,G59),TREND($D53:$D$53,$D45:$D$45,G59)))))))))</f>
        <v>0</v>
      </c>
      <c r="H60" s="199" cm="1">
        <f t="array" ref="H60">IF($D$42=9,TREND($D53:$L$53,$D45:$L$45,H59),IF($D$42=8,TREND($D53:$K$53,$D45:$K$45,H59),IF($D$42=7,TREND($D53:$J$53,$D45:$J$45,H59),IF($D$42=6,TREND($D53:$I$53,$D45:$I$45,H59),IF($D$42=5,TREND($D53:$H$53,$D45:$H$45,H59),IF($D$42=4,TREND($D53:$G$53,$D45:$G$45,H59),IF($D$42=3,TREND($D53:$F$53,$D45:$F$45,H59),IF($D$42=2,TREND($D53:$E$53,$D45:$E$45,H59),TREND($D53:$D$53,$D45:$D$45,H59)))))))))</f>
        <v>0</v>
      </c>
      <c r="I60" s="7"/>
      <c r="J60" s="7"/>
      <c r="K60" s="7"/>
      <c r="L60" s="7"/>
      <c r="M60" s="7"/>
      <c r="N60" s="7"/>
      <c r="O60" s="7"/>
      <c r="P60" s="7"/>
      <c r="Q60" s="7"/>
      <c r="R60" s="7"/>
      <c r="S60" s="7"/>
      <c r="T60" s="7"/>
    </row>
    <row r="61" spans="3:27">
      <c r="C61" s="63"/>
      <c r="D61" s="7"/>
      <c r="E61" s="7"/>
      <c r="F61" s="7"/>
      <c r="G61" s="7"/>
      <c r="H61" s="7"/>
      <c r="I61" s="7"/>
      <c r="J61" s="7"/>
      <c r="K61" s="7"/>
      <c r="L61" s="7"/>
      <c r="M61" s="7"/>
      <c r="N61" s="7"/>
      <c r="O61" s="7"/>
      <c r="P61" s="7"/>
      <c r="Q61" s="7"/>
      <c r="R61" s="7"/>
      <c r="S61" s="7"/>
      <c r="T61" s="7"/>
    </row>
    <row r="62" spans="3:27" ht="15" customHeight="1">
      <c r="C62" s="417" t="s">
        <v>118</v>
      </c>
      <c r="D62" s="189">
        <f>ano_1</f>
        <v>2026</v>
      </c>
      <c r="E62" s="189">
        <f>D62+1</f>
        <v>2027</v>
      </c>
      <c r="F62" s="189">
        <f t="shared" ref="F62" si="3">E62+1</f>
        <v>2028</v>
      </c>
      <c r="G62" s="189">
        <f t="shared" ref="G62" si="4">F62+1</f>
        <v>2029</v>
      </c>
      <c r="H62" s="189">
        <f t="shared" ref="H62" si="5">G62+1</f>
        <v>2030</v>
      </c>
      <c r="I62" s="7"/>
      <c r="J62" s="200" t="s">
        <v>136</v>
      </c>
      <c r="K62" s="184">
        <v>1.1000000000000001</v>
      </c>
      <c r="L62" s="7"/>
      <c r="M62" s="7"/>
      <c r="N62" s="7"/>
      <c r="O62" s="7"/>
      <c r="P62" s="7"/>
      <c r="Q62" s="7"/>
      <c r="R62" s="7"/>
      <c r="S62" s="7"/>
      <c r="T62" s="7"/>
    </row>
    <row r="63" spans="3:27">
      <c r="C63" s="417"/>
      <c r="D63" s="199" t="e">
        <f>AVERAGEIF($D$53:$L$53,"&gt;0")</f>
        <v>#DIV/0!</v>
      </c>
      <c r="E63" s="199" t="e">
        <f t="shared" ref="E63:H63" si="6">AVERAGEIF($D$53:$L$53,"&gt;0")</f>
        <v>#DIV/0!</v>
      </c>
      <c r="F63" s="199" t="e">
        <f t="shared" si="6"/>
        <v>#DIV/0!</v>
      </c>
      <c r="G63" s="199" t="e">
        <f t="shared" si="6"/>
        <v>#DIV/0!</v>
      </c>
      <c r="H63" s="199" t="e">
        <f t="shared" si="6"/>
        <v>#DIV/0!</v>
      </c>
      <c r="I63" s="7"/>
      <c r="J63" s="7"/>
      <c r="K63" s="7"/>
      <c r="L63" s="7"/>
      <c r="M63" s="7"/>
      <c r="N63" s="7"/>
      <c r="O63" s="7"/>
      <c r="P63" s="7"/>
      <c r="Q63" s="7"/>
      <c r="R63" s="7"/>
      <c r="S63" s="7"/>
      <c r="T63" s="7"/>
    </row>
    <row r="64" spans="3:27">
      <c r="C64" s="63"/>
      <c r="D64" s="199" t="e">
        <f>D63*$K$62</f>
        <v>#DIV/0!</v>
      </c>
      <c r="E64" s="199" t="e">
        <f>D64*$K$62</f>
        <v>#DIV/0!</v>
      </c>
      <c r="F64" s="199" t="e">
        <f t="shared" ref="F64:H64" si="7">E64*$K$62</f>
        <v>#DIV/0!</v>
      </c>
      <c r="G64" s="199" t="e">
        <f t="shared" si="7"/>
        <v>#DIV/0!</v>
      </c>
      <c r="H64" s="199" t="e">
        <f t="shared" si="7"/>
        <v>#DIV/0!</v>
      </c>
      <c r="I64" s="192" t="s">
        <v>103</v>
      </c>
      <c r="J64" s="7"/>
      <c r="K64" s="7"/>
      <c r="L64" s="7"/>
      <c r="M64" s="7"/>
      <c r="N64" s="7"/>
      <c r="O64" s="7"/>
      <c r="P64" s="7"/>
      <c r="Q64" s="7"/>
      <c r="R64" s="7"/>
      <c r="S64" s="7"/>
      <c r="T64" s="7"/>
      <c r="U64" s="7"/>
      <c r="V64" s="7"/>
      <c r="W64" s="7"/>
      <c r="X64" s="7"/>
      <c r="Y64" s="7"/>
      <c r="Z64" s="7"/>
      <c r="AA64" s="7"/>
    </row>
    <row r="65" spans="3:27">
      <c r="C65" s="63"/>
      <c r="D65" s="63"/>
      <c r="E65" s="63"/>
      <c r="F65" s="63"/>
      <c r="G65" s="63"/>
      <c r="H65" s="63"/>
      <c r="I65" s="63"/>
      <c r="J65" s="63"/>
      <c r="K65" s="7"/>
      <c r="L65" s="7"/>
      <c r="M65" s="7"/>
      <c r="N65" s="7"/>
      <c r="O65" s="7"/>
      <c r="P65" s="7"/>
      <c r="Q65" s="7"/>
      <c r="R65" s="7"/>
      <c r="S65" s="7"/>
      <c r="T65" s="7"/>
      <c r="U65" s="7"/>
      <c r="V65" s="7"/>
      <c r="W65" s="7"/>
      <c r="X65" s="7"/>
      <c r="Y65" s="7"/>
      <c r="Z65" s="7"/>
      <c r="AA65" s="7"/>
    </row>
    <row r="66" spans="3:27">
      <c r="C66" s="63" t="s">
        <v>116</v>
      </c>
      <c r="D66" s="189">
        <f>ano_1</f>
        <v>2026</v>
      </c>
      <c r="E66" s="189">
        <f>D66+1</f>
        <v>2027</v>
      </c>
      <c r="F66" s="189">
        <f t="shared" ref="F66" si="8">E66+1</f>
        <v>2028</v>
      </c>
      <c r="G66" s="189">
        <f t="shared" ref="G66" si="9">F66+1</f>
        <v>2029</v>
      </c>
      <c r="H66" s="189">
        <f t="shared" ref="H66" si="10">G66+1</f>
        <v>2030</v>
      </c>
      <c r="I66" s="63"/>
      <c r="J66" s="63"/>
      <c r="K66" s="7"/>
      <c r="L66" s="7"/>
      <c r="M66" s="7"/>
      <c r="N66" s="7"/>
      <c r="O66" s="7"/>
      <c r="P66" s="7"/>
      <c r="Q66" s="7"/>
      <c r="R66" s="7"/>
      <c r="S66" s="7"/>
      <c r="T66" s="7"/>
      <c r="U66" s="7"/>
      <c r="V66" s="7"/>
      <c r="W66" s="7"/>
      <c r="X66" s="7"/>
      <c r="Y66" s="7"/>
      <c r="Z66" s="7"/>
      <c r="AA66" s="7"/>
    </row>
    <row r="67" spans="3:27">
      <c r="C67" s="63" t="str">
        <f>D56</f>
        <v>Mean projection</v>
      </c>
      <c r="D67" s="199" t="e">
        <f>IF($D$56="Mean projection",D64,D60)</f>
        <v>#DIV/0!</v>
      </c>
      <c r="E67" s="199" t="e">
        <f t="shared" ref="E67:H67" si="11">IF($D$56="Mean projection",E64,E60)</f>
        <v>#DIV/0!</v>
      </c>
      <c r="F67" s="199" t="e">
        <f t="shared" si="11"/>
        <v>#DIV/0!</v>
      </c>
      <c r="G67" s="199" t="e">
        <f t="shared" si="11"/>
        <v>#DIV/0!</v>
      </c>
      <c r="H67" s="199" t="e">
        <f t="shared" si="11"/>
        <v>#DIV/0!</v>
      </c>
      <c r="I67" s="63"/>
      <c r="J67" s="63"/>
      <c r="K67" s="7"/>
      <c r="L67" s="7"/>
      <c r="M67" s="7"/>
      <c r="N67" s="7"/>
      <c r="O67" s="7"/>
      <c r="P67" s="7"/>
      <c r="Q67" s="7"/>
      <c r="R67" s="7"/>
      <c r="S67" s="7"/>
      <c r="T67" s="7"/>
      <c r="U67" s="7"/>
      <c r="V67" s="7"/>
      <c r="W67" s="7"/>
      <c r="X67" s="7"/>
      <c r="Y67" s="7"/>
      <c r="Z67" s="7"/>
      <c r="AA67" s="7"/>
    </row>
    <row r="68" spans="3:27">
      <c r="C68" s="63"/>
      <c r="D68" s="63"/>
      <c r="E68" s="63"/>
      <c r="F68" s="63"/>
      <c r="G68" s="63"/>
      <c r="H68" s="63"/>
      <c r="I68" s="63"/>
      <c r="J68" s="63"/>
      <c r="K68" s="7"/>
      <c r="L68" s="7"/>
      <c r="M68" s="7"/>
      <c r="N68" s="7"/>
      <c r="O68" s="7"/>
      <c r="P68" s="7"/>
      <c r="Q68" s="7"/>
      <c r="R68" s="7"/>
      <c r="S68" s="7"/>
      <c r="T68" s="7"/>
      <c r="U68" s="7"/>
      <c r="V68" s="7"/>
      <c r="W68" s="7"/>
      <c r="X68" s="7"/>
      <c r="Y68" s="7"/>
      <c r="Z68" s="7"/>
      <c r="AA68" s="7"/>
    </row>
    <row r="69" spans="3:27">
      <c r="C69" s="63"/>
      <c r="D69" s="63"/>
      <c r="E69" s="63"/>
      <c r="F69" s="63"/>
      <c r="G69" s="63"/>
      <c r="H69" s="63"/>
      <c r="I69" s="63"/>
      <c r="J69" s="63"/>
      <c r="K69" s="7"/>
      <c r="L69" s="7"/>
      <c r="M69" s="7"/>
      <c r="N69" s="7"/>
      <c r="O69" s="7"/>
      <c r="P69" s="7"/>
      <c r="Q69" s="7"/>
      <c r="R69" s="7"/>
      <c r="S69" s="7"/>
      <c r="T69" s="7"/>
      <c r="U69" s="7"/>
      <c r="V69" s="7"/>
      <c r="W69" s="7"/>
      <c r="X69" s="7"/>
      <c r="Y69" s="7"/>
      <c r="Z69" s="7"/>
      <c r="AA69" s="7"/>
    </row>
    <row r="70" spans="3:27">
      <c r="C70" s="63"/>
      <c r="D70" s="63"/>
      <c r="E70" s="63"/>
      <c r="F70" s="63"/>
      <c r="G70" s="63"/>
      <c r="H70" s="63"/>
      <c r="I70" s="63"/>
      <c r="J70" s="63"/>
      <c r="K70" s="7"/>
      <c r="L70" s="7"/>
      <c r="M70" s="7"/>
      <c r="N70" s="7"/>
      <c r="O70" s="7"/>
      <c r="P70" s="7"/>
      <c r="Q70" s="7"/>
      <c r="R70" s="7"/>
      <c r="S70" s="7"/>
      <c r="T70" s="7"/>
      <c r="U70" s="7"/>
      <c r="V70" s="7"/>
      <c r="W70" s="7"/>
      <c r="X70" s="7"/>
      <c r="Y70" s="7"/>
      <c r="Z70" s="7"/>
      <c r="AA70" s="7"/>
    </row>
    <row r="71" spans="3:27">
      <c r="C71" s="64"/>
      <c r="D71" s="65"/>
      <c r="E71" s="65"/>
      <c r="F71" s="65"/>
      <c r="G71" s="65"/>
      <c r="H71" s="65"/>
      <c r="I71" s="65"/>
      <c r="J71" s="65"/>
      <c r="K71" s="65"/>
      <c r="L71" s="65"/>
      <c r="M71" s="65"/>
      <c r="N71" s="65"/>
      <c r="O71" s="65"/>
      <c r="P71" s="65"/>
      <c r="Q71" s="65"/>
      <c r="R71" s="65"/>
      <c r="S71" s="65"/>
      <c r="T71" s="65"/>
      <c r="U71" s="65"/>
      <c r="V71" s="65"/>
      <c r="W71" s="65"/>
      <c r="X71" s="65"/>
      <c r="Y71" s="65"/>
      <c r="Z71" s="65"/>
      <c r="AA71" s="65"/>
    </row>
    <row r="73" spans="3:27" ht="18">
      <c r="C73" s="140" t="s">
        <v>128</v>
      </c>
    </row>
    <row r="74" spans="3:27">
      <c r="C74" s="136" t="s">
        <v>129</v>
      </c>
    </row>
    <row r="75" spans="3:27">
      <c r="C75" s="136" t="s">
        <v>130</v>
      </c>
    </row>
    <row r="77" spans="3:27">
      <c r="C77" s="42"/>
      <c r="D77" s="42"/>
      <c r="E77" s="42"/>
      <c r="F77" s="42"/>
      <c r="G77" s="42"/>
      <c r="H77" s="42"/>
      <c r="I77" s="42"/>
      <c r="J77" s="7"/>
      <c r="K77" s="7"/>
      <c r="L77" s="7"/>
    </row>
    <row r="78" spans="3:27">
      <c r="C78" s="7"/>
      <c r="D78" s="7"/>
      <c r="E78" s="7"/>
      <c r="F78" s="7"/>
      <c r="G78" s="7"/>
      <c r="H78" s="7"/>
      <c r="I78" s="7"/>
      <c r="J78" s="7"/>
      <c r="K78" s="7"/>
      <c r="L78" s="7"/>
    </row>
    <row r="79" spans="3:27">
      <c r="C79" s="189" t="s">
        <v>134</v>
      </c>
      <c r="D79" s="189" t="s">
        <v>96</v>
      </c>
      <c r="E79" s="189">
        <f>ano_1</f>
        <v>2026</v>
      </c>
      <c r="F79" s="189">
        <f>E79+1</f>
        <v>2027</v>
      </c>
      <c r="G79" s="189">
        <f t="shared" ref="G79:I79" si="12">F79+1</f>
        <v>2028</v>
      </c>
      <c r="H79" s="189">
        <f t="shared" si="12"/>
        <v>2029</v>
      </c>
      <c r="I79" s="189">
        <f t="shared" si="12"/>
        <v>2030</v>
      </c>
      <c r="J79" s="189" t="s">
        <v>5</v>
      </c>
      <c r="K79" s="415" t="s">
        <v>97</v>
      </c>
      <c r="L79" s="416"/>
      <c r="M79" s="416"/>
      <c r="N79" s="416"/>
    </row>
    <row r="80" spans="3:27">
      <c r="C80" s="53" t="s">
        <v>366</v>
      </c>
      <c r="D80" s="382" t="s">
        <v>7</v>
      </c>
      <c r="E80" s="53">
        <v>164457318</v>
      </c>
      <c r="F80" s="53">
        <v>165806197</v>
      </c>
      <c r="G80" s="53">
        <v>167098556</v>
      </c>
      <c r="H80" s="53">
        <v>168393986</v>
      </c>
      <c r="I80" s="53">
        <v>169696511</v>
      </c>
      <c r="J80" s="199">
        <f>SUM(E80:I80)</f>
        <v>835452568</v>
      </c>
      <c r="K80" s="414"/>
      <c r="L80" s="414"/>
      <c r="M80" s="414"/>
      <c r="N80" s="414"/>
    </row>
    <row r="81" spans="3:14">
      <c r="C81" s="53" t="s">
        <v>367</v>
      </c>
      <c r="D81" s="183">
        <f>(0.52*0.104)+(0.48*0.112)</f>
        <v>0.10783999999999999</v>
      </c>
      <c r="E81" s="199">
        <f>IF(D81&gt;0,E80*Parameters!$E6,0)</f>
        <v>17735077.173119999</v>
      </c>
      <c r="F81" s="199">
        <f>IF(E81&gt;0,F80*Parameters!$E6,0)</f>
        <v>17880540.284479998</v>
      </c>
      <c r="G81" s="199">
        <f>IF(F81&gt;0,G80*Parameters!$E6,0)</f>
        <v>18019908.279039998</v>
      </c>
      <c r="H81" s="199">
        <f>IF(G81&gt;0,H80*Parameters!$E6,0)</f>
        <v>18159607.450239997</v>
      </c>
      <c r="I81" s="199">
        <f>IF(H81&gt;0,I80*Parameters!$E6,0)</f>
        <v>18300071.746239997</v>
      </c>
      <c r="J81" s="199">
        <f t="shared" ref="J81:J88" si="13">SUM(E81:I81)</f>
        <v>90095204.933119982</v>
      </c>
      <c r="K81" s="414"/>
      <c r="L81" s="414"/>
      <c r="M81" s="414"/>
      <c r="N81" s="414"/>
    </row>
    <row r="82" spans="3:14">
      <c r="C82" s="53" t="s">
        <v>368</v>
      </c>
      <c r="D82" s="183">
        <f>(0.52*0.63)+(0.48*0.553)</f>
        <v>0.59304000000000001</v>
      </c>
      <c r="E82" s="199">
        <f>IF(D82&gt;0,E81*Parameters!$E7,0)</f>
        <v>10517610.166747084</v>
      </c>
      <c r="F82" s="199">
        <f>IF(E82&gt;0,F81*Parameters!$E7,0)</f>
        <v>10603875.610308018</v>
      </c>
      <c r="G82" s="199">
        <f>IF(F82&gt;0,G81*Parameters!$E7,0)</f>
        <v>10686526.405801881</v>
      </c>
      <c r="H82" s="199">
        <f>IF(G82&gt;0,H81*Parameters!$E7,0)</f>
        <v>10769373.602290329</v>
      </c>
      <c r="I82" s="199">
        <f>IF(H82&gt;0,I81*Parameters!$E7,0)</f>
        <v>10852674.548390169</v>
      </c>
      <c r="J82" s="199">
        <f t="shared" si="13"/>
        <v>53430060.333537474</v>
      </c>
      <c r="K82" s="414"/>
      <c r="L82" s="414"/>
      <c r="M82" s="414"/>
      <c r="N82" s="414"/>
    </row>
    <row r="83" spans="3:14">
      <c r="C83" s="53"/>
      <c r="D83" s="183"/>
      <c r="E83" s="199">
        <f>IF(D83&gt;0,E82*Parameters!$E8,0)</f>
        <v>0</v>
      </c>
      <c r="F83" s="199">
        <f>IF(E83&gt;0,F82*Parameters!$E8,0)</f>
        <v>0</v>
      </c>
      <c r="G83" s="199">
        <f>IF(F83&gt;0,G82*Parameters!$E8,0)</f>
        <v>0</v>
      </c>
      <c r="H83" s="199">
        <f>IF(G83&gt;0,H82*Parameters!$E8,0)</f>
        <v>0</v>
      </c>
      <c r="I83" s="199">
        <f>IF(H83&gt;0,I82*Parameters!$E8,0)</f>
        <v>0</v>
      </c>
      <c r="J83" s="199">
        <f t="shared" si="13"/>
        <v>0</v>
      </c>
      <c r="K83" s="414"/>
      <c r="L83" s="414"/>
      <c r="M83" s="414"/>
      <c r="N83" s="414"/>
    </row>
    <row r="84" spans="3:14">
      <c r="C84" s="53"/>
      <c r="D84" s="183"/>
      <c r="E84" s="199">
        <f>IF(D84&gt;0,E83*Parameters!$E9,0)</f>
        <v>0</v>
      </c>
      <c r="F84" s="199">
        <f>IF(E84&gt;0,F83*Parameters!$E9,0)</f>
        <v>0</v>
      </c>
      <c r="G84" s="199">
        <f>IF(F84&gt;0,G83*Parameters!$E9,0)</f>
        <v>0</v>
      </c>
      <c r="H84" s="199">
        <f>IF(G84&gt;0,H83*Parameters!$E9,0)</f>
        <v>0</v>
      </c>
      <c r="I84" s="199">
        <f>IF(H84&gt;0,I83*Parameters!$E9,0)</f>
        <v>0</v>
      </c>
      <c r="J84" s="199">
        <f t="shared" si="13"/>
        <v>0</v>
      </c>
      <c r="K84" s="414"/>
      <c r="L84" s="414"/>
      <c r="M84" s="414"/>
      <c r="N84" s="414"/>
    </row>
    <row r="85" spans="3:14">
      <c r="C85" s="53"/>
      <c r="D85" s="183"/>
      <c r="E85" s="199">
        <f>IF(D85&gt;0,E84*Parameters!$E10,0)</f>
        <v>0</v>
      </c>
      <c r="F85" s="199">
        <f>IF(E85&gt;0,F84*Parameters!$E10,0)</f>
        <v>0</v>
      </c>
      <c r="G85" s="199">
        <f>IF(F85&gt;0,G84*Parameters!$E10,0)</f>
        <v>0</v>
      </c>
      <c r="H85" s="199">
        <f>IF(G85&gt;0,H84*Parameters!$E10,0)</f>
        <v>0</v>
      </c>
      <c r="I85" s="199">
        <f>IF(H85&gt;0,I84*Parameters!$E10,0)</f>
        <v>0</v>
      </c>
      <c r="J85" s="199">
        <f t="shared" si="13"/>
        <v>0</v>
      </c>
      <c r="K85" s="414"/>
      <c r="L85" s="414"/>
      <c r="M85" s="414"/>
      <c r="N85" s="414"/>
    </row>
    <row r="86" spans="3:14">
      <c r="C86" s="53"/>
      <c r="D86" s="183"/>
      <c r="E86" s="199">
        <f>IF(D86&gt;0,E85*Parameters!$E11,0)</f>
        <v>0</v>
      </c>
      <c r="F86" s="199">
        <f>IF(E86&gt;0,F85*Parameters!$E11,0)</f>
        <v>0</v>
      </c>
      <c r="G86" s="199">
        <f>IF(F86&gt;0,G85*Parameters!$E11,0)</f>
        <v>0</v>
      </c>
      <c r="H86" s="199">
        <f>IF(G86&gt;0,H85*Parameters!$E11,0)</f>
        <v>0</v>
      </c>
      <c r="I86" s="199">
        <f>IF(H86&gt;0,I85*Parameters!$E11,0)</f>
        <v>0</v>
      </c>
      <c r="J86" s="199">
        <f t="shared" si="13"/>
        <v>0</v>
      </c>
      <c r="K86" s="414"/>
      <c r="L86" s="414"/>
      <c r="M86" s="414"/>
      <c r="N86" s="414"/>
    </row>
    <row r="87" spans="3:14">
      <c r="C87" s="53"/>
      <c r="D87" s="183"/>
      <c r="E87" s="199">
        <f>IF(D87&gt;0,E86*Parameters!$E12,0)</f>
        <v>0</v>
      </c>
      <c r="F87" s="199">
        <f>IF(E87&gt;0,F86*Parameters!$E12,0)</f>
        <v>0</v>
      </c>
      <c r="G87" s="199">
        <f>IF(F87&gt;0,G86*Parameters!$E12,0)</f>
        <v>0</v>
      </c>
      <c r="H87" s="199">
        <f>IF(G87&gt;0,H86*Parameters!$E12,0)</f>
        <v>0</v>
      </c>
      <c r="I87" s="199">
        <f>IF(H87&gt;0,I86*Parameters!$E12,0)</f>
        <v>0</v>
      </c>
      <c r="J87" s="199">
        <f t="shared" si="13"/>
        <v>0</v>
      </c>
      <c r="K87" s="414"/>
      <c r="L87" s="414"/>
      <c r="M87" s="414"/>
      <c r="N87" s="414"/>
    </row>
    <row r="88" spans="3:14">
      <c r="C88" s="53"/>
      <c r="D88" s="183"/>
      <c r="E88" s="199">
        <f>IF(D88&gt;0,E87*Parameters!$E13,0)</f>
        <v>0</v>
      </c>
      <c r="F88" s="199">
        <f>IF(E88&gt;0,F87*Parameters!$E13,0)</f>
        <v>0</v>
      </c>
      <c r="G88" s="199">
        <f>IF(F88&gt;0,G87*Parameters!$E13,0)</f>
        <v>0</v>
      </c>
      <c r="H88" s="199">
        <f>IF(G88&gt;0,H87*Parameters!$E13,0)</f>
        <v>0</v>
      </c>
      <c r="I88" s="199">
        <f>IF(H88&gt;0,I87*Parameters!$E13,0)</f>
        <v>0</v>
      </c>
      <c r="J88" s="199">
        <f t="shared" si="13"/>
        <v>0</v>
      </c>
      <c r="K88" s="414"/>
      <c r="L88" s="414"/>
      <c r="M88" s="414"/>
      <c r="N88" s="414"/>
    </row>
    <row r="89" spans="3:14" ht="15.6">
      <c r="C89" s="201" t="s">
        <v>6</v>
      </c>
      <c r="D89" s="201"/>
      <c r="E89" s="383">
        <f>IF(E81=0,E80,IF(E82=0,E81,IF(E83=0,E82,IF(E84=0,E83,IF(E85=0,E84,IF(E86=0,E85,IF(E87=0,E86,IF(E88=0,E87,E88))))))))</f>
        <v>10517610.166747084</v>
      </c>
      <c r="F89" s="383">
        <f t="shared" ref="F89:I89" si="14">IF(F81=0,F80,IF(F82=0,F81,IF(F83=0,F82,IF(F84=0,F83,IF(F85=0,F84,IF(F86=0,F85,IF(F87=0,F86,IF(F88=0,F87,F88))))))))</f>
        <v>10603875.610308018</v>
      </c>
      <c r="G89" s="383">
        <f>IF(G81=0,G80,IF(G82=0,G81,IF(G83=0,G82,IF(G84=0,G83,IF(G85=0,G84,IF(G86=0,G85,IF(G87=0,G86,IF(G88=0,G87,G88))))))))</f>
        <v>10686526.405801881</v>
      </c>
      <c r="H89" s="383">
        <f t="shared" si="14"/>
        <v>10769373.602290329</v>
      </c>
      <c r="I89" s="383">
        <f t="shared" si="14"/>
        <v>10852674.548390169</v>
      </c>
      <c r="J89" s="7"/>
      <c r="K89" s="7"/>
      <c r="L89" s="7"/>
    </row>
    <row r="90" spans="3:14">
      <c r="C90" s="7"/>
      <c r="D90" s="7"/>
      <c r="E90" s="2"/>
      <c r="F90" s="7"/>
      <c r="G90" s="7"/>
      <c r="H90" s="7"/>
      <c r="I90" s="7"/>
      <c r="J90" s="7"/>
      <c r="K90" s="7"/>
      <c r="L90" s="7"/>
    </row>
    <row r="91" spans="3:14">
      <c r="C91" s="7"/>
      <c r="D91" s="7"/>
      <c r="E91" s="7"/>
      <c r="F91" s="7"/>
      <c r="G91" s="7"/>
      <c r="H91" s="7"/>
      <c r="I91" s="7"/>
      <c r="J91" s="7"/>
      <c r="K91" s="7"/>
      <c r="L91" s="7"/>
    </row>
    <row r="92" spans="3:14">
      <c r="C92" s="7"/>
      <c r="D92" s="7"/>
      <c r="E92" s="7"/>
      <c r="F92" s="7"/>
      <c r="G92" s="7"/>
      <c r="H92" s="7"/>
      <c r="I92" s="7"/>
      <c r="J92" s="7"/>
      <c r="K92" s="7"/>
      <c r="L92" s="7"/>
    </row>
    <row r="101" spans="2:31" s="1" customFormat="1">
      <c r="C101" s="7"/>
      <c r="D101" s="7"/>
      <c r="E101" s="7"/>
      <c r="F101" s="7"/>
      <c r="G101" s="7"/>
      <c r="H101" s="7"/>
      <c r="I101" s="7"/>
      <c r="J101" s="7"/>
      <c r="K101" s="7"/>
      <c r="L101" s="7"/>
      <c r="M101" s="142"/>
      <c r="N101" s="142"/>
      <c r="Q101" s="27"/>
      <c r="R101" s="27"/>
      <c r="S101" s="27"/>
      <c r="T101" s="27"/>
      <c r="U101" s="27"/>
      <c r="V101" s="27"/>
      <c r="X101" s="27"/>
      <c r="Y101" s="27"/>
      <c r="Z101" s="27"/>
      <c r="AA101" s="27"/>
      <c r="AB101" s="27"/>
      <c r="AC101" s="27"/>
      <c r="AE101" s="27"/>
    </row>
    <row r="102" spans="2:31" s="1" customFormat="1">
      <c r="C102" s="65"/>
      <c r="D102" s="65"/>
      <c r="E102" s="65"/>
      <c r="F102" s="65"/>
      <c r="G102" s="65"/>
      <c r="H102" s="65"/>
      <c r="I102" s="65"/>
      <c r="J102" s="65"/>
      <c r="K102" s="65"/>
      <c r="L102" s="65"/>
      <c r="M102" s="65"/>
      <c r="N102" s="65"/>
      <c r="Q102" s="27"/>
      <c r="R102" s="27"/>
      <c r="S102" s="27"/>
      <c r="T102" s="27"/>
      <c r="U102" s="27"/>
      <c r="V102" s="27"/>
      <c r="X102" s="27"/>
      <c r="Y102" s="27"/>
      <c r="Z102" s="27"/>
      <c r="AA102" s="27"/>
      <c r="AB102" s="27"/>
      <c r="AC102" s="27"/>
      <c r="AE102" s="27"/>
    </row>
    <row r="103" spans="2:31" s="1" customFormat="1">
      <c r="C103" s="406" t="s">
        <v>224</v>
      </c>
      <c r="D103" s="406"/>
      <c r="E103" s="406"/>
      <c r="F103" s="406"/>
      <c r="G103" s="406"/>
      <c r="H103" s="406"/>
      <c r="I103" s="406"/>
      <c r="J103" s="406"/>
      <c r="K103" s="406"/>
      <c r="L103" s="406"/>
      <c r="M103" s="406"/>
      <c r="N103" s="406"/>
      <c r="Q103" s="27"/>
      <c r="R103" s="27"/>
      <c r="S103" s="27"/>
      <c r="T103" s="27"/>
      <c r="U103" s="27"/>
      <c r="V103" s="27"/>
      <c r="X103" s="27"/>
      <c r="Y103" s="27"/>
      <c r="Z103" s="27"/>
      <c r="AA103" s="27"/>
      <c r="AB103" s="27"/>
      <c r="AC103" s="27"/>
      <c r="AE103" s="27"/>
    </row>
    <row r="104" spans="2:31" s="1" customFormat="1">
      <c r="C104" s="406"/>
      <c r="D104" s="406"/>
      <c r="E104" s="406"/>
      <c r="F104" s="406"/>
      <c r="G104" s="406"/>
      <c r="H104" s="406"/>
      <c r="I104" s="406"/>
      <c r="J104" s="406"/>
      <c r="K104" s="406"/>
      <c r="L104" s="406"/>
      <c r="M104" s="406"/>
      <c r="N104" s="406"/>
      <c r="Q104" s="27"/>
      <c r="R104" s="27"/>
      <c r="S104" s="27"/>
      <c r="T104" s="27"/>
      <c r="U104" s="27"/>
      <c r="V104" s="27"/>
      <c r="X104" s="27"/>
      <c r="Y104" s="27"/>
      <c r="Z104" s="27"/>
      <c r="AA104" s="27"/>
      <c r="AB104" s="27"/>
      <c r="AC104" s="27"/>
      <c r="AE104" s="27"/>
    </row>
    <row r="105" spans="2:31" s="1" customFormat="1" ht="85.95" customHeight="1">
      <c r="B105" s="405" t="e" vm="1">
        <v>#VALUE!</v>
      </c>
      <c r="C105" s="405"/>
      <c r="D105" s="405"/>
      <c r="E105" s="405"/>
      <c r="F105" s="405"/>
      <c r="G105" s="405"/>
      <c r="H105" s="405"/>
      <c r="I105" s="405"/>
      <c r="J105" s="405"/>
      <c r="K105" s="405"/>
      <c r="L105" s="405"/>
      <c r="M105" s="405"/>
    </row>
  </sheetData>
  <sheetProtection algorithmName="SHA-512" hashValue="dE3ASO+kjKrao6I5s8Ig4h59VqWglAMtaiFnW865aJeLW6j2THTlU6P/DnFeHakwWIfynYtiLYULskpkoOGJ2w==" saltValue="tdnBt3C62pnFrmzf/d1ZEg==" spinCount="100000" sheet="1" scenarios="1" formatCells="0" formatColumns="0" formatRows="0"/>
  <mergeCells count="22">
    <mergeCell ref="C62:C63"/>
    <mergeCell ref="D56:E56"/>
    <mergeCell ref="C59:C60"/>
    <mergeCell ref="E9:I9"/>
    <mergeCell ref="E10:I14"/>
    <mergeCell ref="E15:I15"/>
    <mergeCell ref="C26:C27"/>
    <mergeCell ref="C45:C46"/>
    <mergeCell ref="C17:C18"/>
    <mergeCell ref="C14:C15"/>
    <mergeCell ref="K79:N79"/>
    <mergeCell ref="K80:N80"/>
    <mergeCell ref="K81:N81"/>
    <mergeCell ref="K82:N82"/>
    <mergeCell ref="K83:N83"/>
    <mergeCell ref="C103:N104"/>
    <mergeCell ref="B105:M105"/>
    <mergeCell ref="K84:N84"/>
    <mergeCell ref="K85:N85"/>
    <mergeCell ref="K86:N86"/>
    <mergeCell ref="K87:N87"/>
    <mergeCell ref="K88:N88"/>
  </mergeCells>
  <conditionalFormatting sqref="E18">
    <cfRule type="expression" dxfId="43" priority="2">
      <formula>IF($H$42=2,TRUE,FALSE)</formula>
    </cfRule>
  </conditionalFormatting>
  <dataValidations count="5">
    <dataValidation type="list" allowBlank="1" showInputMessage="1" showErrorMessage="1" sqref="D38 D40" xr:uid="{E626B6E8-96A2-4016-BB1F-8B613AF4CD7D}">
      <formula1>"2010,2011,2012,2013,2014,2015,2016,2017,2018,2019,2020,2021,2022,2023,2024,2025,"</formula1>
    </dataValidation>
    <dataValidation type="list" allowBlank="1" showInputMessage="1" showErrorMessage="1" sqref="E9:I9" xr:uid="{79E29FF1-74C1-4361-BD06-E990110B8FF5}">
      <formula1>"Enter data manually,Observed demand,Epidemiological method"</formula1>
    </dataValidation>
    <dataValidation type="list" allowBlank="1" showInputMessage="1" showErrorMessage="1" sqref="E15:I15" xr:uid="{BD495506-6F4E-B348-A9A0-B81F297F8BCF}">
      <mc:AlternateContent xmlns:x12ac="http://schemas.microsoft.com/office/spreadsheetml/2011/1/ac" xmlns:mc="http://schemas.openxmlformats.org/markup-compatibility/2006">
        <mc:Choice Requires="x12ac">
          <x12ac:list>"Yes, it represents incidence"," No, it represents prevalence"</x12ac:list>
        </mc:Choice>
        <mc:Fallback>
          <formula1>"Yes, it represents incidence, No, it represents prevalence"</formula1>
        </mc:Fallback>
      </mc:AlternateContent>
    </dataValidation>
    <dataValidation type="list" allowBlank="1" showInputMessage="1" showErrorMessage="1" sqref="D56:E56" xr:uid="{0D635DAF-5798-C845-B080-F7963A74B523}">
      <formula1>"Linear projection,Mean projection"</formula1>
    </dataValidation>
    <dataValidation type="list" allowBlank="1" showInputMessage="1" showErrorMessage="1" sqref="E18" xr:uid="{B564552F-24C9-0649-8D40-7D35E97FF8B9}">
      <formula1>"Yes,No"</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8389F-77A5-4537-81D7-C67306867901}">
  <sheetPr codeName="Planilha6">
    <tabColor rgb="FFDDCFAD"/>
  </sheetPr>
  <dimension ref="A1:X232"/>
  <sheetViews>
    <sheetView showGridLines="0" showRowColHeaders="0" topLeftCell="A123" zoomScaleNormal="100" workbookViewId="0">
      <selection activeCell="B83" sqref="B83:C83"/>
    </sheetView>
  </sheetViews>
  <sheetFormatPr defaultColWidth="8.77734375" defaultRowHeight="14.4"/>
  <cols>
    <col min="1" max="1" width="5.44140625" style="180" customWidth="1"/>
    <col min="2" max="2" width="21.44140625" style="180" customWidth="1"/>
    <col min="3" max="3" width="16.6640625" style="262" customWidth="1"/>
    <col min="4" max="4" width="17.6640625" style="263" customWidth="1"/>
    <col min="5" max="5" width="17.6640625" style="262" customWidth="1"/>
    <col min="6" max="9" width="17.6640625" style="180" customWidth="1"/>
    <col min="10" max="10" width="27.44140625" style="180" customWidth="1"/>
    <col min="11" max="12" width="6.77734375" style="180" customWidth="1"/>
    <col min="13" max="13" width="6.77734375" style="259" customWidth="1"/>
    <col min="14" max="14" width="6.77734375" style="258" customWidth="1"/>
    <col min="15" max="15" width="17.33203125" style="259" customWidth="1"/>
    <col min="16" max="18" width="17.33203125" style="258" customWidth="1"/>
    <col min="19" max="19" width="17.33203125" style="260" customWidth="1"/>
    <col min="20" max="20" width="16.6640625" style="258" customWidth="1"/>
    <col min="21" max="21" width="19.6640625" style="180" customWidth="1"/>
    <col min="22" max="22" width="44.77734375" style="180" customWidth="1"/>
    <col min="23" max="23" width="3.77734375" style="180" customWidth="1"/>
    <col min="24" max="24" width="8.77734375" style="261" customWidth="1"/>
    <col min="25" max="38" width="8.77734375" style="180" customWidth="1"/>
    <col min="39" max="16384" width="8.77734375" style="180"/>
  </cols>
  <sheetData>
    <row r="1" spans="1:24" s="130" customFormat="1" ht="33.6">
      <c r="A1" s="127"/>
      <c r="B1" s="128" t="str">
        <f>Introduction!$B$1</f>
        <v>Budget impact analysis of treatments for Patients at high and very high cardiovascular risk</v>
      </c>
      <c r="C1" s="128"/>
      <c r="D1" s="129"/>
      <c r="E1" s="127"/>
      <c r="F1" s="127"/>
      <c r="G1" s="127"/>
      <c r="H1" s="127"/>
      <c r="I1" s="127"/>
      <c r="J1" s="127"/>
      <c r="K1" s="127"/>
      <c r="L1" s="127"/>
      <c r="M1" s="127"/>
      <c r="N1" s="127"/>
      <c r="O1" s="127"/>
      <c r="P1" s="127"/>
      <c r="Q1" s="127"/>
      <c r="R1" s="127"/>
      <c r="S1" s="127"/>
      <c r="T1" s="127"/>
      <c r="U1" s="127"/>
      <c r="V1" s="127"/>
      <c r="W1" s="127"/>
      <c r="X1" s="231"/>
    </row>
    <row r="2" spans="1:24" s="130" customFormat="1" ht="18">
      <c r="A2" s="127"/>
      <c r="B2" s="131"/>
      <c r="C2" s="131"/>
      <c r="D2" s="132"/>
      <c r="E2" s="133"/>
      <c r="F2" s="133"/>
      <c r="G2" s="133"/>
      <c r="H2" s="133"/>
      <c r="I2" s="133"/>
      <c r="J2" s="133"/>
      <c r="K2" s="127"/>
      <c r="L2" s="127"/>
      <c r="M2" s="127"/>
      <c r="N2" s="127"/>
      <c r="O2" s="127"/>
      <c r="P2" s="127"/>
      <c r="Q2" s="127"/>
      <c r="R2" s="127"/>
      <c r="S2" s="127"/>
      <c r="T2" s="127"/>
      <c r="U2" s="127"/>
      <c r="V2" s="127"/>
      <c r="W2" s="127"/>
      <c r="X2" s="231"/>
    </row>
    <row r="3" spans="1:24" s="134" customFormat="1" ht="2.25" customHeight="1">
      <c r="D3" s="135"/>
      <c r="X3" s="232"/>
    </row>
    <row r="4" spans="1:24" s="3" customFormat="1">
      <c r="A4" s="233"/>
      <c r="B4" s="9"/>
      <c r="C4" s="11"/>
      <c r="D4" s="234"/>
      <c r="E4" s="11"/>
      <c r="F4" s="233"/>
      <c r="G4" s="233"/>
      <c r="H4" s="233"/>
      <c r="I4" s="233"/>
      <c r="J4" s="233"/>
      <c r="K4" s="233"/>
      <c r="L4" s="233"/>
      <c r="M4" s="235"/>
      <c r="N4" s="236"/>
      <c r="O4" s="235"/>
      <c r="P4" s="236"/>
      <c r="Q4" s="236"/>
      <c r="R4" s="236"/>
      <c r="S4" s="237"/>
      <c r="T4" s="236"/>
      <c r="U4" s="233"/>
      <c r="V4" s="233"/>
      <c r="W4" s="233"/>
      <c r="X4" s="238"/>
    </row>
    <row r="5" spans="1:24" s="3" customFormat="1">
      <c r="A5" s="233"/>
      <c r="B5" s="9"/>
      <c r="C5" s="9"/>
      <c r="D5" s="9"/>
      <c r="E5" s="11"/>
      <c r="F5" s="233"/>
      <c r="G5" s="233"/>
      <c r="H5" s="233"/>
      <c r="I5" s="233"/>
      <c r="J5" s="233"/>
      <c r="K5" s="233"/>
      <c r="L5" s="233"/>
      <c r="M5" s="235"/>
      <c r="N5" s="236"/>
      <c r="O5" s="235"/>
      <c r="P5" s="236"/>
      <c r="Q5" s="236"/>
      <c r="R5" s="236"/>
      <c r="S5" s="237"/>
      <c r="T5" s="236"/>
      <c r="U5" s="233"/>
      <c r="V5" s="233"/>
      <c r="W5" s="233"/>
      <c r="X5" s="238"/>
    </row>
    <row r="6" spans="1:24" s="3" customFormat="1">
      <c r="A6" s="233"/>
      <c r="B6" s="9"/>
      <c r="C6" s="9"/>
      <c r="D6" s="9"/>
      <c r="E6" s="11"/>
      <c r="F6" s="233"/>
      <c r="G6" s="233"/>
      <c r="H6" s="233"/>
      <c r="I6" s="233"/>
      <c r="J6" s="233"/>
      <c r="K6" s="233"/>
      <c r="L6" s="233"/>
      <c r="M6" s="235"/>
      <c r="N6" s="236"/>
      <c r="O6" s="235"/>
      <c r="P6" s="236"/>
      <c r="Q6" s="236"/>
      <c r="R6" s="236"/>
      <c r="S6" s="237"/>
      <c r="T6" s="236"/>
      <c r="U6" s="233"/>
      <c r="V6" s="233"/>
      <c r="W6" s="233"/>
      <c r="X6" s="238"/>
    </row>
    <row r="7" spans="1:24" s="3" customFormat="1">
      <c r="A7" s="233"/>
      <c r="B7" s="9"/>
      <c r="C7" s="9"/>
      <c r="D7" s="9"/>
      <c r="E7" s="11"/>
      <c r="F7" s="233"/>
      <c r="G7" s="233"/>
      <c r="H7" s="233"/>
      <c r="I7" s="233"/>
      <c r="J7" s="233"/>
      <c r="K7" s="233"/>
      <c r="L7" s="233"/>
      <c r="M7" s="235"/>
      <c r="N7" s="236"/>
      <c r="O7" s="235"/>
      <c r="P7" s="236"/>
      <c r="Q7" s="236"/>
      <c r="R7" s="236"/>
      <c r="S7" s="237"/>
      <c r="T7" s="236"/>
      <c r="U7" s="233"/>
      <c r="V7" s="233"/>
      <c r="W7" s="233"/>
      <c r="X7" s="238"/>
    </row>
    <row r="8" spans="1:24" s="3" customFormat="1">
      <c r="A8" s="233"/>
      <c r="B8" s="9"/>
      <c r="C8" s="9"/>
      <c r="D8" s="9"/>
      <c r="E8" s="11"/>
      <c r="F8" s="233"/>
      <c r="G8" s="233"/>
      <c r="H8" s="233"/>
      <c r="I8" s="233"/>
      <c r="J8" s="233"/>
      <c r="K8" s="233"/>
      <c r="L8" s="233"/>
      <c r="M8" s="235"/>
      <c r="N8" s="236"/>
      <c r="O8" s="235"/>
      <c r="P8" s="236"/>
      <c r="Q8" s="236"/>
      <c r="R8" s="236"/>
      <c r="S8" s="237"/>
      <c r="T8" s="236"/>
      <c r="U8" s="233"/>
      <c r="V8" s="233"/>
      <c r="W8" s="233"/>
      <c r="X8" s="238"/>
    </row>
    <row r="9" spans="1:24" s="3" customFormat="1">
      <c r="A9" s="233"/>
      <c r="B9" s="9"/>
      <c r="C9" s="239"/>
      <c r="D9" s="9"/>
      <c r="E9" s="11"/>
      <c r="F9" s="233"/>
      <c r="G9" s="233"/>
      <c r="H9" s="233"/>
      <c r="I9" s="233"/>
      <c r="J9" s="233"/>
      <c r="K9" s="233"/>
      <c r="L9" s="233"/>
      <c r="M9" s="235"/>
      <c r="N9" s="236"/>
      <c r="O9" s="235"/>
      <c r="P9" s="236"/>
      <c r="Q9" s="236"/>
      <c r="R9" s="236"/>
      <c r="S9" s="237"/>
      <c r="T9" s="236"/>
      <c r="U9" s="233"/>
      <c r="V9" s="233"/>
      <c r="W9" s="233"/>
      <c r="X9" s="238"/>
    </row>
    <row r="10" spans="1:24" s="3" customFormat="1">
      <c r="A10" s="233"/>
      <c r="B10" s="9"/>
      <c r="C10" s="239"/>
      <c r="D10" s="9"/>
      <c r="E10" s="11"/>
      <c r="F10" s="233"/>
      <c r="G10" s="233"/>
      <c r="H10" s="233"/>
      <c r="I10" s="233"/>
      <c r="J10" s="233"/>
      <c r="K10" s="233"/>
      <c r="L10" s="233"/>
      <c r="M10" s="235"/>
      <c r="N10" s="236"/>
      <c r="O10" s="235"/>
      <c r="P10" s="236"/>
      <c r="Q10" s="236"/>
      <c r="R10" s="236"/>
      <c r="S10" s="237"/>
      <c r="T10" s="236"/>
      <c r="U10" s="233"/>
      <c r="V10" s="233"/>
      <c r="W10" s="233"/>
      <c r="X10" s="238"/>
    </row>
    <row r="11" spans="1:24" s="3" customFormat="1">
      <c r="A11" s="233"/>
      <c r="B11" s="9"/>
      <c r="C11" s="239"/>
      <c r="D11" s="9"/>
      <c r="E11" s="11"/>
      <c r="F11" s="233"/>
      <c r="G11" s="233"/>
      <c r="H11" s="233"/>
      <c r="I11" s="233"/>
      <c r="J11" s="233"/>
      <c r="K11" s="233"/>
      <c r="L11" s="233"/>
      <c r="M11" s="235"/>
      <c r="N11" s="236"/>
      <c r="O11" s="235"/>
      <c r="P11" s="236"/>
      <c r="Q11" s="236"/>
      <c r="R11" s="236"/>
      <c r="S11" s="237"/>
      <c r="T11" s="236"/>
      <c r="U11" s="233"/>
      <c r="V11" s="233"/>
      <c r="W11" s="233"/>
      <c r="X11" s="238"/>
    </row>
    <row r="12" spans="1:24" s="3" customFormat="1">
      <c r="A12" s="233"/>
      <c r="B12" s="9"/>
      <c r="C12" s="239"/>
      <c r="D12" s="234"/>
      <c r="E12" s="11"/>
      <c r="F12" s="233"/>
      <c r="G12" s="233"/>
      <c r="H12" s="233"/>
      <c r="I12" s="233"/>
      <c r="J12" s="233"/>
      <c r="K12" s="233"/>
      <c r="L12" s="233"/>
      <c r="M12" s="235"/>
      <c r="N12" s="236"/>
      <c r="O12" s="235"/>
      <c r="P12" s="236"/>
      <c r="Q12" s="236"/>
      <c r="R12" s="236"/>
      <c r="S12" s="237"/>
      <c r="T12" s="236"/>
      <c r="U12" s="233"/>
      <c r="V12" s="233"/>
      <c r="W12" s="233"/>
      <c r="X12" s="238"/>
    </row>
    <row r="13" spans="1:24" s="3" customFormat="1">
      <c r="A13" s="233"/>
      <c r="B13" s="9"/>
      <c r="C13" s="239"/>
      <c r="D13" s="234"/>
      <c r="E13" s="11"/>
      <c r="F13" s="233"/>
      <c r="G13" s="233"/>
      <c r="H13" s="233"/>
      <c r="I13" s="233"/>
      <c r="J13" s="233"/>
      <c r="K13" s="233"/>
      <c r="L13" s="233"/>
      <c r="M13" s="235"/>
      <c r="N13" s="236"/>
      <c r="O13" s="235"/>
      <c r="P13" s="236"/>
      <c r="Q13" s="236"/>
      <c r="R13" s="236"/>
      <c r="S13" s="237"/>
      <c r="T13" s="236"/>
      <c r="U13" s="233"/>
      <c r="V13" s="233"/>
      <c r="W13" s="233"/>
      <c r="X13" s="238"/>
    </row>
    <row r="14" spans="1:24" s="3" customFormat="1">
      <c r="A14" s="233"/>
      <c r="B14" s="9"/>
      <c r="C14" s="239"/>
      <c r="D14" s="234"/>
      <c r="E14" s="11"/>
      <c r="F14" s="233"/>
      <c r="G14" s="233"/>
      <c r="H14" s="233"/>
      <c r="I14" s="233"/>
      <c r="J14" s="233"/>
      <c r="K14" s="233"/>
      <c r="L14" s="233"/>
      <c r="M14" s="235"/>
      <c r="N14" s="236"/>
      <c r="O14" s="235"/>
      <c r="P14" s="236"/>
      <c r="Q14" s="236"/>
      <c r="R14" s="236"/>
      <c r="S14" s="237"/>
      <c r="T14" s="236"/>
      <c r="U14" s="233"/>
      <c r="V14" s="233"/>
      <c r="W14" s="233"/>
      <c r="X14" s="238"/>
    </row>
    <row r="15" spans="1:24" s="3" customFormat="1">
      <c r="A15" s="233"/>
      <c r="B15" s="9"/>
      <c r="C15" s="239"/>
      <c r="D15" s="234"/>
      <c r="E15" s="11"/>
      <c r="F15" s="233"/>
      <c r="G15" s="233"/>
      <c r="H15" s="233"/>
      <c r="I15" s="233"/>
      <c r="J15" s="233"/>
      <c r="K15" s="233"/>
      <c r="L15" s="233"/>
      <c r="M15" s="235"/>
      <c r="N15" s="236"/>
      <c r="O15" s="235"/>
      <c r="P15" s="236"/>
      <c r="Q15" s="236"/>
      <c r="R15" s="236"/>
      <c r="S15" s="237"/>
      <c r="T15" s="236"/>
      <c r="U15" s="233"/>
      <c r="V15" s="233"/>
      <c r="W15" s="233"/>
      <c r="X15" s="238"/>
    </row>
    <row r="16" spans="1:24" s="3" customFormat="1" ht="18">
      <c r="A16" s="233"/>
      <c r="B16" s="9"/>
      <c r="C16" s="239"/>
      <c r="D16" s="234"/>
      <c r="E16" s="11"/>
      <c r="F16" s="233"/>
      <c r="G16" s="233"/>
      <c r="H16" s="233"/>
      <c r="I16" s="233"/>
      <c r="J16" s="233"/>
      <c r="K16" s="233"/>
      <c r="L16" s="240"/>
      <c r="M16" s="235"/>
      <c r="N16" s="236"/>
      <c r="O16" s="235"/>
      <c r="P16" s="236"/>
      <c r="Q16" s="236"/>
      <c r="R16" s="236"/>
      <c r="S16" s="237"/>
      <c r="T16" s="236"/>
      <c r="U16" s="233"/>
      <c r="V16" s="233"/>
      <c r="W16" s="233"/>
      <c r="X16" s="238"/>
    </row>
    <row r="17" spans="1:24" s="3" customFormat="1">
      <c r="A17" s="233"/>
      <c r="B17" s="9"/>
      <c r="C17" s="239"/>
      <c r="D17" s="234"/>
      <c r="E17" s="11"/>
      <c r="F17" s="233"/>
      <c r="G17" s="233"/>
      <c r="H17" s="233"/>
      <c r="I17" s="233"/>
      <c r="J17" s="233"/>
      <c r="K17" s="233"/>
      <c r="L17"/>
      <c r="M17" s="235"/>
      <c r="N17" s="236"/>
      <c r="O17" s="235"/>
      <c r="P17" s="236"/>
      <c r="Q17" s="236"/>
      <c r="R17" s="236"/>
      <c r="S17" s="237"/>
      <c r="T17" s="236"/>
      <c r="U17" s="233"/>
      <c r="V17" s="233"/>
      <c r="W17" s="233"/>
      <c r="X17" s="238"/>
    </row>
    <row r="18" spans="1:24" s="3" customFormat="1">
      <c r="A18" s="233"/>
      <c r="B18" s="9"/>
      <c r="C18" s="239"/>
      <c r="D18" s="234"/>
      <c r="E18" s="11"/>
      <c r="F18" s="233"/>
      <c r="G18" s="233"/>
      <c r="H18" s="233"/>
      <c r="I18" s="233"/>
      <c r="J18"/>
      <c r="K18" s="233"/>
      <c r="L18" s="241"/>
      <c r="M18" s="235"/>
      <c r="N18" s="236"/>
      <c r="O18" s="235"/>
      <c r="P18" s="236"/>
      <c r="Q18" s="236"/>
      <c r="R18" s="236"/>
      <c r="S18" s="237"/>
      <c r="T18" s="236"/>
      <c r="U18" s="233"/>
      <c r="V18" s="233"/>
      <c r="W18" s="233"/>
      <c r="X18" s="238"/>
    </row>
    <row r="19" spans="1:24" s="3" customFormat="1">
      <c r="A19" s="233"/>
      <c r="B19" s="239"/>
      <c r="C19" s="239"/>
      <c r="D19" s="234"/>
      <c r="E19" s="11"/>
      <c r="F19" s="233"/>
      <c r="G19" s="233"/>
      <c r="H19" s="233"/>
      <c r="I19" s="233"/>
      <c r="J19" s="233"/>
      <c r="K19" s="233"/>
      <c r="L19"/>
      <c r="M19" s="235"/>
      <c r="N19" s="236"/>
      <c r="O19" s="235"/>
      <c r="P19" s="236"/>
      <c r="Q19" s="236"/>
      <c r="R19" s="236"/>
      <c r="S19" s="237"/>
      <c r="T19" s="236"/>
      <c r="U19" s="233"/>
      <c r="V19" s="233"/>
      <c r="W19" s="233"/>
      <c r="X19" s="238"/>
    </row>
    <row r="20" spans="1:24" s="3" customFormat="1">
      <c r="A20" s="233"/>
      <c r="B20" s="239"/>
      <c r="C20" s="239"/>
      <c r="D20" s="234"/>
      <c r="E20" s="11"/>
      <c r="F20" s="233"/>
      <c r="G20" s="233"/>
      <c r="H20" s="233"/>
      <c r="I20" s="233"/>
      <c r="J20" s="233"/>
      <c r="K20" s="233"/>
      <c r="L20" s="241"/>
      <c r="M20" s="235"/>
      <c r="N20" s="236"/>
      <c r="O20" s="235"/>
      <c r="P20" s="236"/>
      <c r="Q20" s="236"/>
      <c r="R20" s="236"/>
      <c r="S20" s="237"/>
      <c r="T20" s="236"/>
      <c r="U20" s="233"/>
      <c r="V20" s="233"/>
      <c r="W20" s="233"/>
      <c r="X20" s="238"/>
    </row>
    <row r="21" spans="1:24" s="3" customFormat="1">
      <c r="A21" s="233"/>
      <c r="B21" s="239"/>
      <c r="C21" s="239"/>
      <c r="D21" s="234"/>
      <c r="E21" s="11"/>
      <c r="F21" s="233"/>
      <c r="G21" s="233"/>
      <c r="H21" s="233"/>
      <c r="I21" s="233"/>
      <c r="J21" s="233"/>
      <c r="K21" s="233"/>
      <c r="L21"/>
      <c r="M21" s="235"/>
      <c r="N21" s="236"/>
      <c r="O21" s="235"/>
      <c r="P21" s="236"/>
      <c r="Q21" s="236"/>
      <c r="R21" s="236"/>
      <c r="S21" s="237"/>
      <c r="T21" s="236"/>
      <c r="U21" s="233"/>
      <c r="V21" s="233"/>
      <c r="W21" s="233"/>
      <c r="X21" s="238"/>
    </row>
    <row r="22" spans="1:24" s="3" customFormat="1">
      <c r="A22" s="233"/>
      <c r="B22" s="239"/>
      <c r="C22" s="239"/>
      <c r="D22" s="234"/>
      <c r="E22" s="11"/>
      <c r="F22" s="233"/>
      <c r="G22" s="233"/>
      <c r="H22" s="233"/>
      <c r="I22" s="233"/>
      <c r="J22" s="233"/>
      <c r="K22" s="233"/>
      <c r="L22" s="241"/>
      <c r="M22" s="235"/>
      <c r="N22" s="236"/>
      <c r="O22" s="235"/>
      <c r="P22" s="236"/>
      <c r="Q22" s="236"/>
      <c r="R22" s="236"/>
      <c r="S22" s="237"/>
      <c r="T22" s="236"/>
      <c r="U22" s="233"/>
      <c r="V22" s="233"/>
      <c r="W22" s="233"/>
      <c r="X22" s="238"/>
    </row>
    <row r="23" spans="1:24" s="3" customFormat="1">
      <c r="A23" s="233"/>
      <c r="B23" s="9"/>
      <c r="C23" s="239"/>
      <c r="D23" s="234"/>
      <c r="E23" s="11"/>
      <c r="F23" s="233"/>
      <c r="G23" s="233"/>
      <c r="H23" s="233"/>
      <c r="I23" s="233"/>
      <c r="J23" s="233"/>
      <c r="K23" s="233"/>
      <c r="L23"/>
      <c r="M23" s="235"/>
      <c r="N23" s="236"/>
      <c r="O23" s="235"/>
      <c r="P23" s="236"/>
      <c r="Q23" s="236"/>
      <c r="R23" s="236"/>
      <c r="S23" s="237"/>
      <c r="T23" s="236"/>
      <c r="U23" s="233"/>
      <c r="V23" s="233"/>
      <c r="W23" s="233"/>
      <c r="X23" s="238"/>
    </row>
    <row r="24" spans="1:24" s="3" customFormat="1">
      <c r="A24" s="233"/>
      <c r="B24" s="9"/>
      <c r="C24" s="239"/>
      <c r="D24" s="234"/>
      <c r="E24" s="11"/>
      <c r="F24" s="233"/>
      <c r="G24" s="233"/>
      <c r="H24" s="233"/>
      <c r="I24" s="233"/>
      <c r="J24" s="233"/>
      <c r="K24" s="233"/>
      <c r="L24"/>
      <c r="M24" s="235"/>
      <c r="N24" s="236"/>
      <c r="O24" s="235"/>
      <c r="P24" s="236"/>
      <c r="Q24" s="236"/>
      <c r="R24" s="236"/>
      <c r="S24" s="237"/>
      <c r="T24" s="236"/>
      <c r="U24" s="233"/>
      <c r="V24" s="233"/>
      <c r="W24" s="233"/>
      <c r="X24" s="238"/>
    </row>
    <row r="25" spans="1:24" s="3" customFormat="1">
      <c r="A25" s="233"/>
      <c r="B25" s="9"/>
      <c r="C25" s="239"/>
      <c r="D25" s="234"/>
      <c r="E25" s="11"/>
      <c r="F25" s="233"/>
      <c r="G25" s="233"/>
      <c r="H25" s="233"/>
      <c r="I25" s="233"/>
      <c r="J25" s="233"/>
      <c r="K25" s="233"/>
      <c r="L25"/>
      <c r="M25" s="235"/>
      <c r="N25" s="236"/>
      <c r="O25" s="235"/>
      <c r="P25" s="236"/>
      <c r="Q25" s="236"/>
      <c r="R25" s="236"/>
      <c r="S25" s="237"/>
      <c r="T25" s="236"/>
      <c r="U25" s="233"/>
      <c r="V25" s="233"/>
      <c r="W25" s="233"/>
      <c r="X25" s="238"/>
    </row>
    <row r="26" spans="1:24" s="3" customFormat="1" ht="18">
      <c r="A26" s="233"/>
      <c r="B26" s="140" t="s">
        <v>158</v>
      </c>
      <c r="C26" s="11"/>
      <c r="D26" s="234"/>
      <c r="E26" s="11"/>
      <c r="F26" s="233"/>
      <c r="G26" s="233"/>
      <c r="H26" s="233"/>
      <c r="I26" s="233"/>
      <c r="J26" s="233"/>
      <c r="K26" s="233"/>
      <c r="L26" s="240"/>
      <c r="M26" s="235"/>
      <c r="N26" s="236"/>
      <c r="O26" s="235"/>
      <c r="P26" s="236"/>
      <c r="Q26" s="236"/>
      <c r="R26" s="236"/>
      <c r="S26" s="237"/>
      <c r="T26" s="236"/>
      <c r="U26" s="233"/>
      <c r="V26" s="233"/>
      <c r="W26" s="233"/>
      <c r="X26" s="238"/>
    </row>
    <row r="27" spans="1:24" s="3" customFormat="1">
      <c r="A27" s="233"/>
      <c r="B27" s="242" t="s">
        <v>159</v>
      </c>
      <c r="C27" s="11"/>
      <c r="D27" s="234"/>
      <c r="E27" s="11"/>
      <c r="F27" s="233"/>
      <c r="G27" s="233"/>
      <c r="H27" s="233"/>
      <c r="I27" s="233"/>
      <c r="J27" s="233"/>
      <c r="K27" s="233"/>
      <c r="L27"/>
      <c r="M27" s="235"/>
      <c r="N27" s="236"/>
      <c r="O27" s="235"/>
      <c r="P27" s="236"/>
      <c r="Q27" s="236"/>
      <c r="R27" s="236"/>
      <c r="S27" s="237"/>
      <c r="T27" s="236"/>
      <c r="U27" s="233"/>
      <c r="V27" s="233"/>
      <c r="W27" s="233"/>
      <c r="X27" s="238"/>
    </row>
    <row r="28" spans="1:24" s="3" customFormat="1">
      <c r="A28" s="233"/>
      <c r="B28" s="242" t="s">
        <v>160</v>
      </c>
      <c r="C28" s="11"/>
      <c r="D28" s="234"/>
      <c r="E28" s="11"/>
      <c r="F28" s="233"/>
      <c r="G28" s="233"/>
      <c r="H28" s="233"/>
      <c r="I28" s="233"/>
      <c r="J28" s="233"/>
      <c r="K28" s="233"/>
      <c r="L28" s="241"/>
      <c r="M28" s="235"/>
      <c r="N28" s="236"/>
      <c r="O28" s="235"/>
      <c r="P28" s="236"/>
      <c r="Q28" s="236"/>
      <c r="R28" s="236"/>
      <c r="S28" s="237"/>
      <c r="T28" s="236"/>
      <c r="U28" s="233"/>
      <c r="V28" s="233"/>
      <c r="W28" s="233"/>
      <c r="X28" s="238"/>
    </row>
    <row r="29" spans="1:24" s="3" customFormat="1">
      <c r="A29" s="233"/>
      <c r="B29" s="242"/>
      <c r="C29" s="11"/>
      <c r="D29" s="234"/>
      <c r="E29" s="11"/>
      <c r="F29" s="233"/>
      <c r="G29" s="233"/>
      <c r="H29" s="233"/>
      <c r="I29" s="233"/>
      <c r="J29" s="233"/>
      <c r="K29" s="233"/>
      <c r="L29"/>
      <c r="M29" s="235"/>
      <c r="N29" s="236"/>
      <c r="O29" s="235"/>
      <c r="P29" s="236"/>
      <c r="Q29" s="236"/>
      <c r="R29" s="236"/>
      <c r="S29" s="237"/>
      <c r="T29" s="236"/>
      <c r="U29" s="233"/>
      <c r="V29" s="233"/>
      <c r="W29" s="233"/>
      <c r="X29" s="238"/>
    </row>
    <row r="30" spans="1:24" s="3" customFormat="1" ht="15" customHeight="1">
      <c r="A30" s="233"/>
      <c r="B30" s="430" t="s">
        <v>81</v>
      </c>
      <c r="C30" s="431"/>
      <c r="D30" s="442" t="s">
        <v>226</v>
      </c>
      <c r="E30" s="443"/>
      <c r="F30" s="443"/>
      <c r="G30" s="446" t="s">
        <v>231</v>
      </c>
      <c r="H30" s="447"/>
      <c r="I30" s="447"/>
      <c r="J30" s="428" t="s">
        <v>97</v>
      </c>
      <c r="K30" s="233"/>
      <c r="L30" s="241"/>
      <c r="M30" s="235"/>
      <c r="N30" s="236"/>
      <c r="O30" s="235"/>
      <c r="P30" s="236"/>
      <c r="Q30" s="236"/>
      <c r="R30" s="236"/>
      <c r="S30" s="237"/>
      <c r="T30" s="236"/>
      <c r="U30" s="233"/>
      <c r="V30" s="233"/>
      <c r="W30" s="233"/>
      <c r="X30" s="238"/>
    </row>
    <row r="31" spans="1:24" s="3" customFormat="1" ht="28.8">
      <c r="A31" s="233"/>
      <c r="B31" s="432"/>
      <c r="C31" s="433"/>
      <c r="D31" s="122" t="s">
        <v>227</v>
      </c>
      <c r="E31" s="122" t="s">
        <v>228</v>
      </c>
      <c r="F31" s="122" t="s">
        <v>229</v>
      </c>
      <c r="G31" s="121" t="s">
        <v>230</v>
      </c>
      <c r="H31" s="121" t="s">
        <v>232</v>
      </c>
      <c r="I31" s="121" t="s">
        <v>233</v>
      </c>
      <c r="J31" s="429"/>
      <c r="K31" s="233"/>
      <c r="L31"/>
      <c r="M31" s="235"/>
      <c r="N31" s="236"/>
      <c r="O31" s="235"/>
      <c r="P31" s="236"/>
      <c r="Q31" s="236"/>
      <c r="R31" s="236"/>
      <c r="S31" s="237"/>
      <c r="T31" s="236"/>
      <c r="U31" s="233"/>
      <c r="V31" s="233"/>
      <c r="W31" s="233"/>
      <c r="X31" s="238"/>
    </row>
    <row r="32" spans="1:24" s="3" customFormat="1">
      <c r="A32" s="233"/>
      <c r="B32" s="66" t="s">
        <v>137</v>
      </c>
      <c r="C32" s="60" t="str">
        <f>IF(intervencao1=0,"None",intervencao1)</f>
        <v>Rosuvastatin 5mg</v>
      </c>
      <c r="D32" s="186">
        <f t="shared" ref="D32:D45" ca="1" si="0">IF($D$198="No",SUMIF($B$55:$C$68,C32,$I$55:$I$68),D202)</f>
        <v>0</v>
      </c>
      <c r="E32" s="186">
        <f t="shared" ref="E32:E45" ca="1" si="1">IF($D$198="No",SUMIF($B$76:$C$105,C32,$I$76:$I$105),E202/12)</f>
        <v>4.5</v>
      </c>
      <c r="F32" s="186">
        <f t="shared" ref="F32:F45" ca="1" si="2">IF($D$198="No",SUMIF($B$113:$C$142,C32,$I$113:$I$142),F202/12)</f>
        <v>0</v>
      </c>
      <c r="G32" s="186">
        <f>IF($D$198="No",SUM(I150:I159),G202)</f>
        <v>0</v>
      </c>
      <c r="H32" s="186">
        <f>IF($D$198="No",SUM(I165:I174),H202/12)</f>
        <v>0</v>
      </c>
      <c r="I32" s="186">
        <f>IF($D$198="No",SUM(I180:I189),I202/12)</f>
        <v>0</v>
      </c>
      <c r="J32" s="60" t="str">
        <f>IF($D$198="Yes","Auxiliary cost spreadsheet","See tables below")</f>
        <v>See tables below</v>
      </c>
      <c r="K32" s="233"/>
      <c r="L32" s="241"/>
      <c r="M32" s="235"/>
      <c r="N32" s="236"/>
      <c r="O32" s="235"/>
      <c r="P32" s="236"/>
      <c r="Q32" s="236"/>
      <c r="R32" s="236"/>
      <c r="S32" s="237"/>
      <c r="T32" s="236"/>
      <c r="U32" s="233"/>
      <c r="V32" s="233"/>
      <c r="W32" s="233"/>
      <c r="X32" s="238"/>
    </row>
    <row r="33" spans="1:24" s="3" customFormat="1">
      <c r="A33" s="233"/>
      <c r="B33" s="66" t="s">
        <v>138</v>
      </c>
      <c r="C33" s="60" t="str">
        <f>IF(intervencao2=0,"None",intervencao2)</f>
        <v>Rosuvastatin 10mg</v>
      </c>
      <c r="D33" s="186">
        <f t="shared" ca="1" si="0"/>
        <v>0</v>
      </c>
      <c r="E33" s="186">
        <f t="shared" ca="1" si="1"/>
        <v>2.6999999999999997</v>
      </c>
      <c r="F33" s="186">
        <f t="shared" ca="1" si="2"/>
        <v>0</v>
      </c>
      <c r="G33" s="186">
        <f t="shared" ref="G33:G45" si="3">IF(C33="Do not fill this line",0,$G$32)</f>
        <v>0</v>
      </c>
      <c r="H33" s="186">
        <f t="shared" ref="H33:H45" si="4">IF(C33="Do not fill this line",0,$H$32)</f>
        <v>0</v>
      </c>
      <c r="I33" s="186">
        <f t="shared" ref="I33:I45" si="5">IF(C33="Do not fill this line",0,$I$32)</f>
        <v>0</v>
      </c>
      <c r="J33" s="60" t="str">
        <f t="shared" ref="J33:J45" si="6">IF($D$198="Yes","Auxiliary cost spreadsheet","See tables below")</f>
        <v>See tables below</v>
      </c>
      <c r="K33" s="233"/>
      <c r="L33" s="233"/>
      <c r="M33" s="235"/>
      <c r="N33" s="236"/>
      <c r="O33" s="235"/>
      <c r="P33" s="236"/>
      <c r="Q33" s="236"/>
      <c r="R33" s="236"/>
      <c r="S33" s="237"/>
      <c r="T33" s="236"/>
      <c r="U33" s="233"/>
      <c r="V33" s="233"/>
      <c r="W33" s="233"/>
      <c r="X33" s="238"/>
    </row>
    <row r="34" spans="1:24" s="3" customFormat="1">
      <c r="A34" s="233"/>
      <c r="B34" s="66" t="s">
        <v>139</v>
      </c>
      <c r="C34" s="60" t="str">
        <f>IF(intervencao3=0,"None",intervencao3)</f>
        <v>Rosuvastatin 20mg</v>
      </c>
      <c r="D34" s="186">
        <f t="shared" ca="1" si="0"/>
        <v>0</v>
      </c>
      <c r="E34" s="186">
        <f t="shared" ca="1" si="1"/>
        <v>2.6999999999999997</v>
      </c>
      <c r="F34" s="186">
        <f t="shared" ca="1" si="2"/>
        <v>0</v>
      </c>
      <c r="G34" s="186">
        <f t="shared" si="3"/>
        <v>0</v>
      </c>
      <c r="H34" s="186">
        <f t="shared" si="4"/>
        <v>0</v>
      </c>
      <c r="I34" s="186">
        <f t="shared" si="5"/>
        <v>0</v>
      </c>
      <c r="J34" s="60" t="str">
        <f t="shared" si="6"/>
        <v>See tables below</v>
      </c>
      <c r="K34" s="233"/>
      <c r="L34" s="233"/>
      <c r="M34" s="235"/>
      <c r="N34" s="236"/>
      <c r="O34" s="235"/>
      <c r="P34" s="236"/>
      <c r="Q34" s="236"/>
      <c r="R34" s="236"/>
      <c r="S34" s="237"/>
      <c r="T34" s="236"/>
      <c r="U34" s="233"/>
      <c r="V34" s="233"/>
      <c r="W34" s="233"/>
      <c r="X34" s="238"/>
    </row>
    <row r="35" spans="1:24" s="3" customFormat="1">
      <c r="A35" s="233"/>
      <c r="B35" s="66" t="s">
        <v>140</v>
      </c>
      <c r="C35" s="60" t="str">
        <f>IF(intervencao4=0,"None",intervencao4)</f>
        <v>Rosuvastatin 40mg</v>
      </c>
      <c r="D35" s="186">
        <f t="shared" ca="1" si="0"/>
        <v>0</v>
      </c>
      <c r="E35" s="186">
        <f t="shared" ca="1" si="1"/>
        <v>20.7</v>
      </c>
      <c r="F35" s="186">
        <f t="shared" ca="1" si="2"/>
        <v>0</v>
      </c>
      <c r="G35" s="186">
        <f t="shared" si="3"/>
        <v>0</v>
      </c>
      <c r="H35" s="186">
        <f t="shared" si="4"/>
        <v>0</v>
      </c>
      <c r="I35" s="186">
        <f t="shared" si="5"/>
        <v>0</v>
      </c>
      <c r="J35" s="60" t="str">
        <f t="shared" si="6"/>
        <v>See tables below</v>
      </c>
      <c r="K35" s="233"/>
      <c r="L35" s="233"/>
      <c r="M35" s="235"/>
      <c r="N35" s="236"/>
      <c r="O35" s="235"/>
      <c r="P35" s="236"/>
      <c r="Q35" s="236"/>
      <c r="R35" s="236"/>
      <c r="S35" s="237"/>
      <c r="T35" s="236"/>
      <c r="U35" s="233"/>
      <c r="V35" s="233"/>
      <c r="W35" s="233"/>
      <c r="X35" s="238"/>
    </row>
    <row r="36" spans="1:24" s="3" customFormat="1">
      <c r="A36" s="233"/>
      <c r="B36" s="66" t="s">
        <v>141</v>
      </c>
      <c r="C36" s="60" t="str">
        <f>IF(comparador1=0,"None",comparador1)</f>
        <v>Atorvastatin 10mg</v>
      </c>
      <c r="D36" s="186">
        <f t="shared" ca="1" si="0"/>
        <v>0</v>
      </c>
      <c r="E36" s="186">
        <f t="shared" ca="1" si="1"/>
        <v>0.6</v>
      </c>
      <c r="F36" s="186">
        <f t="shared" ca="1" si="2"/>
        <v>0</v>
      </c>
      <c r="G36" s="186">
        <f t="shared" si="3"/>
        <v>0</v>
      </c>
      <c r="H36" s="186">
        <f t="shared" si="4"/>
        <v>0</v>
      </c>
      <c r="I36" s="186">
        <f t="shared" si="5"/>
        <v>0</v>
      </c>
      <c r="J36" s="60" t="str">
        <f t="shared" si="6"/>
        <v>See tables below</v>
      </c>
      <c r="K36" s="233"/>
      <c r="L36" s="233"/>
      <c r="M36" s="235"/>
      <c r="N36" s="236"/>
      <c r="O36" s="235"/>
      <c r="P36" s="236"/>
      <c r="Q36" s="236"/>
      <c r="R36" s="236"/>
      <c r="S36" s="237"/>
      <c r="T36" s="236"/>
      <c r="U36" s="233"/>
      <c r="V36" s="233"/>
      <c r="W36" s="233"/>
      <c r="X36" s="238"/>
    </row>
    <row r="37" spans="1:24" s="3" customFormat="1">
      <c r="A37" s="233"/>
      <c r="B37" s="66" t="s">
        <v>142</v>
      </c>
      <c r="C37" s="60" t="str">
        <f>IF(comparador2=0,"None",comparador2)</f>
        <v>Atorvastatin 20mg</v>
      </c>
      <c r="D37" s="186">
        <f t="shared" ca="1" si="0"/>
        <v>0</v>
      </c>
      <c r="E37" s="186">
        <f t="shared" ca="1" si="1"/>
        <v>0.89999999999999991</v>
      </c>
      <c r="F37" s="186">
        <f t="shared" ca="1" si="2"/>
        <v>0</v>
      </c>
      <c r="G37" s="186">
        <f t="shared" si="3"/>
        <v>0</v>
      </c>
      <c r="H37" s="186">
        <f t="shared" si="4"/>
        <v>0</v>
      </c>
      <c r="I37" s="186">
        <f t="shared" si="5"/>
        <v>0</v>
      </c>
      <c r="J37" s="60" t="str">
        <f t="shared" si="6"/>
        <v>See tables below</v>
      </c>
      <c r="K37" s="233"/>
      <c r="L37" s="233"/>
      <c r="M37" s="235"/>
      <c r="N37" s="236"/>
      <c r="O37" s="235"/>
      <c r="P37" s="236"/>
      <c r="Q37" s="236"/>
      <c r="R37" s="236"/>
      <c r="S37" s="237"/>
      <c r="T37" s="236"/>
      <c r="U37" s="233"/>
      <c r="V37" s="233"/>
      <c r="W37" s="233"/>
      <c r="X37" s="238"/>
    </row>
    <row r="38" spans="1:24" s="3" customFormat="1">
      <c r="A38" s="233"/>
      <c r="B38" s="66" t="s">
        <v>143</v>
      </c>
      <c r="C38" s="60" t="str">
        <f>IF(comparador3=0,"None",comparador3)</f>
        <v>Atorvastatin 40mg</v>
      </c>
      <c r="D38" s="186">
        <f t="shared" ca="1" si="0"/>
        <v>0</v>
      </c>
      <c r="E38" s="186">
        <f t="shared" ca="1" si="1"/>
        <v>4.5</v>
      </c>
      <c r="F38" s="186">
        <f t="shared" ca="1" si="2"/>
        <v>0</v>
      </c>
      <c r="G38" s="186">
        <f t="shared" si="3"/>
        <v>0</v>
      </c>
      <c r="H38" s="186">
        <f t="shared" si="4"/>
        <v>0</v>
      </c>
      <c r="I38" s="186">
        <f t="shared" si="5"/>
        <v>0</v>
      </c>
      <c r="J38" s="60" t="str">
        <f t="shared" si="6"/>
        <v>See tables below</v>
      </c>
      <c r="K38" s="233"/>
      <c r="L38" s="233"/>
      <c r="M38" s="235"/>
      <c r="N38" s="236"/>
      <c r="O38" s="235"/>
      <c r="P38" s="236"/>
      <c r="Q38" s="236"/>
      <c r="R38" s="236"/>
      <c r="S38" s="237"/>
      <c r="T38" s="236"/>
      <c r="U38" s="233"/>
      <c r="V38" s="233"/>
      <c r="W38" s="233"/>
      <c r="X38" s="238"/>
    </row>
    <row r="39" spans="1:24" s="3" customFormat="1">
      <c r="A39" s="233"/>
      <c r="B39" s="66" t="s">
        <v>144</v>
      </c>
      <c r="C39" s="60" t="str">
        <f>IF(comparador4=0,"None",comparador4)</f>
        <v>Atorvastatin 80mg</v>
      </c>
      <c r="D39" s="186">
        <f t="shared" ca="1" si="0"/>
        <v>0</v>
      </c>
      <c r="E39" s="186">
        <f t="shared" ca="1" si="1"/>
        <v>4.8</v>
      </c>
      <c r="F39" s="186">
        <f t="shared" ca="1" si="2"/>
        <v>0</v>
      </c>
      <c r="G39" s="186">
        <f t="shared" si="3"/>
        <v>0</v>
      </c>
      <c r="H39" s="186">
        <f t="shared" si="4"/>
        <v>0</v>
      </c>
      <c r="I39" s="186">
        <f t="shared" si="5"/>
        <v>0</v>
      </c>
      <c r="J39" s="60" t="str">
        <f t="shared" si="6"/>
        <v>See tables below</v>
      </c>
      <c r="K39" s="233"/>
      <c r="L39" s="233"/>
      <c r="M39" s="235"/>
      <c r="N39" s="236"/>
      <c r="O39" s="235"/>
      <c r="P39" s="236"/>
      <c r="Q39" s="236"/>
      <c r="R39" s="236"/>
      <c r="S39" s="237"/>
      <c r="T39" s="236"/>
      <c r="U39" s="233"/>
      <c r="V39" s="233"/>
      <c r="W39" s="233"/>
      <c r="X39" s="238"/>
    </row>
    <row r="40" spans="1:24" s="3" customFormat="1">
      <c r="A40" s="233"/>
      <c r="B40" s="66" t="s">
        <v>145</v>
      </c>
      <c r="C40" s="60" t="str">
        <f>IF(comparador5=0,"None",comparador5)</f>
        <v>Pravastatin</v>
      </c>
      <c r="D40" s="186">
        <f t="shared" ca="1" si="0"/>
        <v>0</v>
      </c>
      <c r="E40" s="186">
        <f t="shared" ca="1" si="1"/>
        <v>49.934999999999995</v>
      </c>
      <c r="F40" s="186">
        <f t="shared" ca="1" si="2"/>
        <v>0</v>
      </c>
      <c r="G40" s="186">
        <f t="shared" si="3"/>
        <v>0</v>
      </c>
      <c r="H40" s="186">
        <f t="shared" si="4"/>
        <v>0</v>
      </c>
      <c r="I40" s="186">
        <f t="shared" si="5"/>
        <v>0</v>
      </c>
      <c r="J40" s="60" t="str">
        <f t="shared" si="6"/>
        <v>See tables below</v>
      </c>
      <c r="K40" s="233"/>
      <c r="L40" s="233"/>
      <c r="M40" s="235"/>
      <c r="N40" s="236"/>
      <c r="O40" s="235"/>
      <c r="P40" s="236"/>
      <c r="Q40" s="236"/>
      <c r="R40" s="236"/>
      <c r="S40" s="237"/>
      <c r="T40" s="236"/>
      <c r="U40" s="233"/>
      <c r="V40" s="233"/>
      <c r="W40" s="233"/>
      <c r="X40" s="238"/>
    </row>
    <row r="41" spans="1:24" s="3" customFormat="1">
      <c r="A41" s="233"/>
      <c r="B41" s="66" t="s">
        <v>146</v>
      </c>
      <c r="C41" s="60" t="str">
        <f>IF(comparador6=0,"None",comparador6)</f>
        <v>Simvastatin 5mg</v>
      </c>
      <c r="D41" s="186">
        <f t="shared" ca="1" si="0"/>
        <v>0</v>
      </c>
      <c r="E41" s="186">
        <f t="shared" ca="1" si="1"/>
        <v>2.6999999999999997</v>
      </c>
      <c r="F41" s="186">
        <f t="shared" ca="1" si="2"/>
        <v>0</v>
      </c>
      <c r="G41" s="186">
        <f t="shared" si="3"/>
        <v>0</v>
      </c>
      <c r="H41" s="186">
        <f t="shared" si="4"/>
        <v>0</v>
      </c>
      <c r="I41" s="186">
        <f t="shared" si="5"/>
        <v>0</v>
      </c>
      <c r="J41" s="60" t="str">
        <f t="shared" si="6"/>
        <v>See tables below</v>
      </c>
      <c r="K41" s="233"/>
      <c r="L41" s="233"/>
      <c r="M41" s="235"/>
      <c r="N41" s="236"/>
      <c r="O41" s="235"/>
      <c r="P41" s="236"/>
      <c r="Q41" s="236"/>
      <c r="R41" s="236"/>
      <c r="S41" s="237"/>
      <c r="T41" s="236"/>
      <c r="U41" s="233"/>
      <c r="V41" s="233"/>
      <c r="W41" s="233"/>
      <c r="X41" s="238"/>
    </row>
    <row r="42" spans="1:24" s="3" customFormat="1">
      <c r="A42" s="233"/>
      <c r="B42" s="66" t="s">
        <v>147</v>
      </c>
      <c r="C42" s="60" t="str">
        <f>IF(comparador7=0,"None",comparador7)</f>
        <v>Simvastatin 10mg</v>
      </c>
      <c r="D42" s="186">
        <f t="shared" ca="1" si="0"/>
        <v>0</v>
      </c>
      <c r="E42" s="186">
        <f t="shared" ca="1" si="1"/>
        <v>0.89999999999999991</v>
      </c>
      <c r="F42" s="186">
        <f t="shared" ca="1" si="2"/>
        <v>0</v>
      </c>
      <c r="G42" s="186">
        <f t="shared" si="3"/>
        <v>0</v>
      </c>
      <c r="H42" s="186">
        <f t="shared" si="4"/>
        <v>0</v>
      </c>
      <c r="I42" s="186">
        <f t="shared" si="5"/>
        <v>0</v>
      </c>
      <c r="J42" s="60" t="str">
        <f t="shared" si="6"/>
        <v>See tables below</v>
      </c>
      <c r="K42" s="233"/>
      <c r="L42" s="233"/>
      <c r="M42" s="235"/>
      <c r="N42" s="236"/>
      <c r="O42" s="235"/>
      <c r="P42" s="236"/>
      <c r="Q42" s="236"/>
      <c r="R42" s="236"/>
      <c r="S42" s="237"/>
      <c r="T42" s="236"/>
      <c r="U42" s="233"/>
      <c r="V42" s="233"/>
      <c r="W42" s="233"/>
      <c r="X42" s="238"/>
    </row>
    <row r="43" spans="1:24" s="3" customFormat="1">
      <c r="A43" s="233"/>
      <c r="B43" s="66" t="s">
        <v>148</v>
      </c>
      <c r="C43" s="60" t="str">
        <f>IF(comparador8=0,"None",comparador8)</f>
        <v>Simvastatin 20mg</v>
      </c>
      <c r="D43" s="186">
        <f t="shared" ca="1" si="0"/>
        <v>0</v>
      </c>
      <c r="E43" s="186">
        <f t="shared" ca="1" si="1"/>
        <v>0.18</v>
      </c>
      <c r="F43" s="186">
        <f t="shared" ca="1" si="2"/>
        <v>0</v>
      </c>
      <c r="G43" s="186">
        <f t="shared" si="3"/>
        <v>0</v>
      </c>
      <c r="H43" s="186">
        <f t="shared" si="4"/>
        <v>0</v>
      </c>
      <c r="I43" s="186">
        <f t="shared" si="5"/>
        <v>0</v>
      </c>
      <c r="J43" s="60" t="str">
        <f t="shared" si="6"/>
        <v>See tables below</v>
      </c>
      <c r="K43" s="233"/>
      <c r="L43" s="233"/>
      <c r="M43" s="235"/>
      <c r="N43" s="236"/>
      <c r="O43" s="235"/>
      <c r="P43" s="236"/>
      <c r="Q43" s="236"/>
      <c r="R43" s="236"/>
      <c r="S43" s="237"/>
      <c r="T43" s="236"/>
      <c r="U43" s="233"/>
      <c r="V43" s="233"/>
      <c r="W43" s="233"/>
      <c r="X43" s="238"/>
    </row>
    <row r="44" spans="1:24" s="3" customFormat="1">
      <c r="A44" s="233"/>
      <c r="B44" s="66" t="s">
        <v>149</v>
      </c>
      <c r="C44" s="60" t="str">
        <f>IF(comparador9=0,"None",comparador9)</f>
        <v>Simvastatin 40mg</v>
      </c>
      <c r="D44" s="186">
        <f t="shared" ca="1" si="0"/>
        <v>0</v>
      </c>
      <c r="E44" s="186">
        <f t="shared" ca="1" si="1"/>
        <v>1.5</v>
      </c>
      <c r="F44" s="186">
        <f t="shared" ca="1" si="2"/>
        <v>0</v>
      </c>
      <c r="G44" s="186">
        <f t="shared" si="3"/>
        <v>0</v>
      </c>
      <c r="H44" s="186">
        <f t="shared" si="4"/>
        <v>0</v>
      </c>
      <c r="I44" s="186">
        <f t="shared" si="5"/>
        <v>0</v>
      </c>
      <c r="J44" s="60" t="str">
        <f t="shared" si="6"/>
        <v>See tables below</v>
      </c>
      <c r="K44" s="233"/>
      <c r="L44" s="233"/>
      <c r="M44" s="235"/>
      <c r="N44" s="236"/>
      <c r="O44" s="235"/>
      <c r="P44" s="236"/>
      <c r="Q44" s="236"/>
      <c r="R44" s="236"/>
      <c r="S44" s="237"/>
      <c r="T44" s="236"/>
      <c r="U44" s="233"/>
      <c r="V44" s="233"/>
      <c r="W44" s="233"/>
      <c r="X44" s="238"/>
    </row>
    <row r="45" spans="1:24" s="3" customFormat="1">
      <c r="A45" s="233"/>
      <c r="B45" s="66" t="s">
        <v>150</v>
      </c>
      <c r="C45" s="60" t="str">
        <f>IF(comparador10=0,"None",comparador10)</f>
        <v>None</v>
      </c>
      <c r="D45" s="186">
        <f t="shared" ca="1" si="0"/>
        <v>0</v>
      </c>
      <c r="E45" s="186">
        <f t="shared" ca="1" si="1"/>
        <v>0</v>
      </c>
      <c r="F45" s="186">
        <f t="shared" ca="1" si="2"/>
        <v>0</v>
      </c>
      <c r="G45" s="186">
        <f t="shared" si="3"/>
        <v>0</v>
      </c>
      <c r="H45" s="186">
        <f t="shared" si="4"/>
        <v>0</v>
      </c>
      <c r="I45" s="186">
        <f t="shared" si="5"/>
        <v>0</v>
      </c>
      <c r="J45" s="60" t="str">
        <f t="shared" si="6"/>
        <v>See tables below</v>
      </c>
      <c r="K45" s="233"/>
      <c r="L45" s="233"/>
      <c r="M45" s="235"/>
      <c r="N45" s="236"/>
      <c r="O45" s="235"/>
      <c r="P45" s="236"/>
      <c r="Q45" s="236"/>
      <c r="R45" s="236"/>
      <c r="S45" s="237"/>
      <c r="T45" s="236"/>
      <c r="U45" s="233"/>
      <c r="V45" s="233"/>
      <c r="W45" s="233"/>
      <c r="X45" s="238"/>
    </row>
    <row r="46" spans="1:24" s="3" customFormat="1">
      <c r="A46" s="233"/>
      <c r="B46" s="187"/>
      <c r="C46" s="11"/>
      <c r="D46" s="234"/>
      <c r="E46" s="11"/>
      <c r="F46" s="233"/>
      <c r="G46" s="233"/>
      <c r="H46" s="233"/>
      <c r="I46" s="233"/>
      <c r="J46" s="233"/>
      <c r="K46" s="233"/>
      <c r="L46" s="233"/>
      <c r="M46" s="235"/>
      <c r="N46" s="236"/>
      <c r="O46" s="235"/>
      <c r="P46" s="236"/>
      <c r="Q46" s="236"/>
      <c r="R46" s="236"/>
      <c r="S46" s="237"/>
      <c r="T46" s="236"/>
      <c r="U46" s="233"/>
      <c r="V46" s="233"/>
      <c r="W46" s="233"/>
      <c r="X46" s="238"/>
    </row>
    <row r="47" spans="1:24" customFormat="1">
      <c r="B47" s="63"/>
      <c r="C47" s="63"/>
      <c r="D47" s="7"/>
      <c r="E47" s="7"/>
      <c r="F47" s="7"/>
      <c r="G47" s="7"/>
      <c r="H47" s="7"/>
      <c r="I47" s="7"/>
      <c r="J47" s="7"/>
      <c r="K47" s="7"/>
      <c r="L47" s="7"/>
      <c r="M47" s="7"/>
      <c r="N47" s="7"/>
      <c r="O47" s="7"/>
      <c r="P47" s="7"/>
      <c r="Q47" s="7"/>
      <c r="R47" s="7"/>
      <c r="S47" s="7"/>
      <c r="T47" s="7"/>
    </row>
    <row r="48" spans="1:24" customFormat="1">
      <c r="B48" s="64"/>
      <c r="C48" s="64"/>
      <c r="D48" s="65"/>
      <c r="E48" s="65"/>
      <c r="F48" s="65"/>
      <c r="G48" s="65"/>
      <c r="H48" s="65"/>
      <c r="I48" s="65"/>
      <c r="J48" s="65"/>
      <c r="K48" s="65"/>
      <c r="L48" s="65"/>
      <c r="M48" s="65"/>
      <c r="N48" s="65"/>
      <c r="O48" s="7"/>
      <c r="P48" s="7"/>
      <c r="Q48" s="7"/>
      <c r="R48" s="7"/>
      <c r="S48" s="7"/>
      <c r="T48" s="7"/>
    </row>
    <row r="49" spans="1:24" s="3" customFormat="1">
      <c r="A49" s="233"/>
      <c r="B49" s="136"/>
      <c r="C49" s="11"/>
      <c r="D49" s="234"/>
      <c r="E49" s="11"/>
      <c r="F49" s="233"/>
      <c r="G49" s="233"/>
      <c r="H49" s="233"/>
      <c r="I49" s="233"/>
      <c r="J49" s="233"/>
      <c r="K49" s="233"/>
      <c r="L49" s="233"/>
      <c r="M49" s="235"/>
      <c r="N49" s="236"/>
      <c r="O49" s="235"/>
      <c r="P49" s="236"/>
      <c r="Q49" s="236"/>
      <c r="R49" s="236"/>
      <c r="S49" s="237"/>
      <c r="T49" s="236"/>
      <c r="U49" s="233"/>
      <c r="V49" s="233"/>
      <c r="W49" s="233"/>
      <c r="X49" s="238"/>
    </row>
    <row r="50" spans="1:24" s="3" customFormat="1" ht="18">
      <c r="A50" s="233"/>
      <c r="B50" s="243" t="s">
        <v>161</v>
      </c>
      <c r="C50" s="11"/>
      <c r="D50" s="234"/>
      <c r="E50" s="11"/>
      <c r="F50" s="233"/>
      <c r="G50" s="233"/>
      <c r="H50" s="233"/>
      <c r="I50" s="233"/>
      <c r="J50" s="233"/>
      <c r="K50" s="233"/>
      <c r="L50" s="233"/>
      <c r="M50" s="235"/>
      <c r="N50" s="236"/>
      <c r="O50" s="235"/>
      <c r="P50" s="236"/>
      <c r="Q50" s="236"/>
      <c r="R50" s="236"/>
      <c r="S50" s="237"/>
      <c r="T50" s="236"/>
      <c r="U50" s="233"/>
      <c r="V50" s="233"/>
      <c r="W50" s="233"/>
      <c r="X50" s="238"/>
    </row>
    <row r="51" spans="1:24" s="3" customFormat="1">
      <c r="A51" s="233"/>
      <c r="B51" s="242" t="s">
        <v>162</v>
      </c>
      <c r="C51" s="11"/>
      <c r="D51" s="234"/>
      <c r="E51" s="11"/>
      <c r="F51" s="233"/>
      <c r="G51" s="233"/>
      <c r="H51" s="233"/>
      <c r="I51" s="233"/>
      <c r="J51" s="233"/>
      <c r="K51" s="233"/>
      <c r="L51" s="233"/>
      <c r="M51" s="235"/>
      <c r="N51" s="236"/>
      <c r="O51" s="235"/>
      <c r="P51" s="236"/>
      <c r="Q51" s="236"/>
      <c r="R51" s="236"/>
      <c r="S51" s="237"/>
      <c r="T51" s="236"/>
      <c r="U51" s="233"/>
      <c r="V51" s="233"/>
      <c r="W51" s="233"/>
      <c r="X51" s="238"/>
    </row>
    <row r="52" spans="1:24" s="3" customFormat="1">
      <c r="A52" s="233"/>
      <c r="B52" s="242" t="s">
        <v>163</v>
      </c>
      <c r="C52" s="11"/>
      <c r="D52" s="234"/>
      <c r="E52" s="11"/>
      <c r="F52" s="233"/>
      <c r="G52" s="233"/>
      <c r="H52" s="233"/>
      <c r="I52" s="233"/>
      <c r="J52" s="233"/>
      <c r="K52" s="233"/>
      <c r="L52" s="233"/>
      <c r="M52" s="235"/>
      <c r="N52" s="236"/>
      <c r="O52" s="235"/>
      <c r="P52" s="236"/>
      <c r="Q52" s="236"/>
      <c r="R52" s="236"/>
      <c r="S52" s="237"/>
      <c r="T52" s="236"/>
      <c r="U52" s="233"/>
      <c r="V52" s="233"/>
      <c r="W52" s="233"/>
      <c r="X52" s="238"/>
    </row>
    <row r="53" spans="1:24" s="3" customFormat="1">
      <c r="A53" s="233"/>
      <c r="B53" s="187"/>
      <c r="C53" s="11"/>
      <c r="D53" s="234"/>
      <c r="E53" s="11"/>
      <c r="F53" s="233"/>
      <c r="G53" s="233"/>
      <c r="H53" s="233"/>
      <c r="I53" s="233"/>
      <c r="J53" s="233"/>
      <c r="K53" s="233"/>
      <c r="L53" s="233"/>
      <c r="M53" s="235"/>
      <c r="N53" s="236"/>
      <c r="O53" s="235"/>
      <c r="P53" s="236"/>
      <c r="Q53" s="236"/>
      <c r="R53" s="236"/>
      <c r="S53" s="237"/>
      <c r="T53" s="236"/>
      <c r="U53" s="233"/>
      <c r="V53" s="233"/>
      <c r="W53" s="233"/>
      <c r="X53" s="238"/>
    </row>
    <row r="54" spans="1:24" s="3" customFormat="1">
      <c r="A54" s="233"/>
      <c r="B54" s="438" t="s">
        <v>152</v>
      </c>
      <c r="C54" s="439"/>
      <c r="D54" s="438" t="s">
        <v>153</v>
      </c>
      <c r="E54" s="439"/>
      <c r="F54" s="123" t="s">
        <v>154</v>
      </c>
      <c r="G54" s="123" t="s">
        <v>155</v>
      </c>
      <c r="H54" s="123" t="s">
        <v>156</v>
      </c>
      <c r="I54" s="123" t="s">
        <v>157</v>
      </c>
      <c r="J54" s="123" t="s">
        <v>97</v>
      </c>
      <c r="K54" s="233"/>
      <c r="L54" s="233"/>
      <c r="M54" s="235"/>
      <c r="N54" s="236"/>
      <c r="O54" s="235"/>
      <c r="P54" s="236"/>
      <c r="Q54" s="236"/>
      <c r="R54" s="236"/>
      <c r="S54" s="237"/>
      <c r="T54" s="236"/>
      <c r="U54" s="233"/>
      <c r="V54" s="233"/>
      <c r="W54" s="233"/>
      <c r="X54" s="238"/>
    </row>
    <row r="55" spans="1:24" s="3" customFormat="1">
      <c r="A55" s="233"/>
      <c r="B55" s="440"/>
      <c r="C55" s="441"/>
      <c r="D55" s="435"/>
      <c r="E55" s="435"/>
      <c r="F55" s="50"/>
      <c r="G55" s="62"/>
      <c r="H55" s="185"/>
      <c r="I55" s="186">
        <f>IF(B55="",0,H55*G55*F55)</f>
        <v>0</v>
      </c>
      <c r="J55" s="59"/>
      <c r="K55" s="233"/>
      <c r="L55" s="233"/>
      <c r="M55" s="235"/>
      <c r="N55" s="236"/>
      <c r="O55" s="235"/>
      <c r="P55" s="236"/>
      <c r="Q55" s="236"/>
      <c r="R55" s="236"/>
      <c r="S55" s="237"/>
      <c r="T55" s="236"/>
      <c r="U55" s="233"/>
      <c r="V55" s="233"/>
      <c r="W55" s="233"/>
      <c r="X55" s="238"/>
    </row>
    <row r="56" spans="1:24" s="3" customFormat="1">
      <c r="A56" s="233"/>
      <c r="B56" s="436"/>
      <c r="C56" s="437"/>
      <c r="D56" s="435"/>
      <c r="E56" s="435"/>
      <c r="F56" s="50"/>
      <c r="G56" s="62"/>
      <c r="H56" s="185"/>
      <c r="I56" s="186">
        <f t="shared" ref="I56:I68" si="7">IF(B56="",0,H56*G56*F56)</f>
        <v>0</v>
      </c>
      <c r="J56" s="59"/>
      <c r="K56" s="233"/>
      <c r="L56" s="233"/>
      <c r="M56" s="235"/>
      <c r="N56" s="236"/>
      <c r="O56" s="235"/>
      <c r="P56" s="236"/>
      <c r="Q56" s="236"/>
      <c r="R56" s="236"/>
      <c r="S56" s="237"/>
      <c r="T56" s="236"/>
      <c r="U56" s="233"/>
      <c r="V56" s="233"/>
      <c r="W56" s="233"/>
      <c r="X56" s="238"/>
    </row>
    <row r="57" spans="1:24" s="3" customFormat="1">
      <c r="A57" s="233"/>
      <c r="B57" s="436"/>
      <c r="C57" s="437"/>
      <c r="D57" s="435"/>
      <c r="E57" s="435"/>
      <c r="F57" s="50"/>
      <c r="G57" s="62"/>
      <c r="H57" s="185"/>
      <c r="I57" s="186">
        <f t="shared" ref="I57" si="8">IF(B57="",0,H57*G57*F57)</f>
        <v>0</v>
      </c>
      <c r="J57" s="59"/>
      <c r="K57" s="233"/>
      <c r="L57" s="233"/>
      <c r="M57" s="235"/>
      <c r="N57" s="236"/>
      <c r="O57" s="235"/>
      <c r="P57" s="236"/>
      <c r="Q57" s="236"/>
      <c r="R57" s="236"/>
      <c r="S57" s="237"/>
      <c r="T57" s="236"/>
      <c r="U57" s="233"/>
      <c r="V57" s="233"/>
      <c r="W57" s="233"/>
      <c r="X57" s="238"/>
    </row>
    <row r="58" spans="1:24" s="3" customFormat="1">
      <c r="A58" s="233"/>
      <c r="B58" s="436"/>
      <c r="C58" s="437"/>
      <c r="D58" s="435"/>
      <c r="E58" s="435"/>
      <c r="F58" s="50"/>
      <c r="G58" s="62"/>
      <c r="H58" s="185"/>
      <c r="I58" s="186">
        <f t="shared" si="7"/>
        <v>0</v>
      </c>
      <c r="J58" s="59"/>
      <c r="K58" s="233"/>
      <c r="L58" s="233"/>
      <c r="M58" s="235"/>
      <c r="N58" s="236"/>
      <c r="O58" s="235"/>
      <c r="P58" s="236"/>
      <c r="Q58" s="236"/>
      <c r="R58" s="236"/>
      <c r="S58" s="237"/>
      <c r="T58" s="236"/>
      <c r="U58" s="233"/>
      <c r="V58" s="233"/>
      <c r="W58" s="233"/>
      <c r="X58" s="238"/>
    </row>
    <row r="59" spans="1:24" s="3" customFormat="1">
      <c r="A59" s="233"/>
      <c r="B59" s="436"/>
      <c r="C59" s="437"/>
      <c r="D59" s="435"/>
      <c r="E59" s="435"/>
      <c r="F59" s="50"/>
      <c r="G59" s="62"/>
      <c r="H59" s="185"/>
      <c r="I59" s="186">
        <f t="shared" si="7"/>
        <v>0</v>
      </c>
      <c r="J59" s="59"/>
      <c r="K59" s="233"/>
      <c r="L59" s="233"/>
      <c r="M59" s="235"/>
      <c r="N59" s="236"/>
      <c r="O59" s="235"/>
      <c r="P59" s="236"/>
      <c r="Q59" s="236"/>
      <c r="R59" s="236"/>
      <c r="S59" s="237"/>
      <c r="T59" s="236"/>
      <c r="U59" s="233"/>
      <c r="V59" s="233"/>
      <c r="W59" s="233"/>
      <c r="X59" s="238"/>
    </row>
    <row r="60" spans="1:24" s="3" customFormat="1">
      <c r="A60" s="233"/>
      <c r="B60" s="436"/>
      <c r="C60" s="437"/>
      <c r="D60" s="435"/>
      <c r="E60" s="435"/>
      <c r="F60" s="50"/>
      <c r="G60" s="62"/>
      <c r="H60" s="185"/>
      <c r="I60" s="186">
        <f t="shared" si="7"/>
        <v>0</v>
      </c>
      <c r="J60" s="59"/>
      <c r="K60" s="233"/>
      <c r="L60" s="233"/>
      <c r="M60" s="235"/>
      <c r="N60" s="236"/>
      <c r="O60" s="235"/>
      <c r="P60" s="236"/>
      <c r="Q60" s="236"/>
      <c r="R60" s="236"/>
      <c r="S60" s="237"/>
      <c r="T60" s="236"/>
      <c r="U60" s="233"/>
      <c r="V60" s="233"/>
      <c r="W60" s="233"/>
      <c r="X60" s="238"/>
    </row>
    <row r="61" spans="1:24" s="3" customFormat="1">
      <c r="A61" s="233"/>
      <c r="B61" s="436"/>
      <c r="C61" s="437"/>
      <c r="D61" s="435"/>
      <c r="E61" s="435"/>
      <c r="F61" s="50"/>
      <c r="G61" s="62"/>
      <c r="H61" s="185"/>
      <c r="I61" s="186">
        <f t="shared" si="7"/>
        <v>0</v>
      </c>
      <c r="J61" s="59"/>
      <c r="K61" s="233"/>
      <c r="L61" s="233"/>
      <c r="M61" s="235"/>
      <c r="N61" s="236"/>
      <c r="O61" s="235"/>
      <c r="P61" s="236"/>
      <c r="Q61" s="236"/>
      <c r="R61" s="236"/>
      <c r="S61" s="237"/>
      <c r="T61" s="236"/>
      <c r="U61" s="233"/>
      <c r="V61" s="233"/>
      <c r="W61" s="233"/>
      <c r="X61" s="238"/>
    </row>
    <row r="62" spans="1:24" s="3" customFormat="1">
      <c r="A62" s="233"/>
      <c r="B62" s="436"/>
      <c r="C62" s="437"/>
      <c r="D62" s="435"/>
      <c r="E62" s="435"/>
      <c r="F62" s="50"/>
      <c r="G62" s="62"/>
      <c r="H62" s="185"/>
      <c r="I62" s="186">
        <f t="shared" si="7"/>
        <v>0</v>
      </c>
      <c r="J62" s="59"/>
      <c r="K62" s="233"/>
      <c r="L62" s="233"/>
      <c r="M62" s="235"/>
      <c r="N62" s="236"/>
      <c r="O62" s="235"/>
      <c r="P62" s="236"/>
      <c r="Q62" s="236"/>
      <c r="R62" s="236"/>
      <c r="S62" s="237"/>
      <c r="T62" s="236"/>
      <c r="U62" s="233"/>
      <c r="V62" s="233"/>
      <c r="W62" s="233"/>
      <c r="X62" s="238"/>
    </row>
    <row r="63" spans="1:24" s="3" customFormat="1">
      <c r="A63" s="233"/>
      <c r="B63" s="436"/>
      <c r="C63" s="437"/>
      <c r="D63" s="435"/>
      <c r="E63" s="435"/>
      <c r="F63" s="50"/>
      <c r="G63" s="62"/>
      <c r="H63" s="185"/>
      <c r="I63" s="186">
        <f t="shared" si="7"/>
        <v>0</v>
      </c>
      <c r="J63" s="59"/>
      <c r="K63" s="233"/>
      <c r="L63" s="233"/>
      <c r="M63" s="235"/>
      <c r="N63" s="236"/>
      <c r="O63" s="235"/>
      <c r="P63" s="236"/>
      <c r="Q63" s="236"/>
      <c r="R63" s="236"/>
      <c r="S63" s="237"/>
      <c r="T63" s="236"/>
      <c r="U63" s="233"/>
      <c r="V63" s="233"/>
      <c r="W63" s="233"/>
      <c r="X63" s="238"/>
    </row>
    <row r="64" spans="1:24" s="3" customFormat="1">
      <c r="A64" s="233"/>
      <c r="B64" s="436"/>
      <c r="C64" s="437"/>
      <c r="D64" s="435"/>
      <c r="E64" s="435"/>
      <c r="F64" s="50"/>
      <c r="G64" s="62"/>
      <c r="H64" s="185"/>
      <c r="I64" s="186">
        <f t="shared" si="7"/>
        <v>0</v>
      </c>
      <c r="J64" s="59"/>
      <c r="K64" s="233"/>
      <c r="L64" s="233"/>
      <c r="M64" s="235"/>
      <c r="N64" s="236"/>
      <c r="O64" s="235"/>
      <c r="P64" s="236"/>
      <c r="Q64" s="236"/>
      <c r="R64" s="236"/>
      <c r="S64" s="237"/>
      <c r="T64" s="236"/>
      <c r="U64" s="233"/>
      <c r="V64" s="233"/>
      <c r="W64" s="233"/>
      <c r="X64" s="238"/>
    </row>
    <row r="65" spans="1:24" s="3" customFormat="1">
      <c r="A65" s="233"/>
      <c r="B65" s="436"/>
      <c r="C65" s="437"/>
      <c r="D65" s="435"/>
      <c r="E65" s="435"/>
      <c r="F65" s="50"/>
      <c r="G65" s="62"/>
      <c r="H65" s="185"/>
      <c r="I65" s="186">
        <f t="shared" si="7"/>
        <v>0</v>
      </c>
      <c r="J65" s="59"/>
      <c r="K65" s="233"/>
      <c r="L65" s="233"/>
      <c r="M65" s="235"/>
      <c r="N65" s="236"/>
      <c r="O65" s="235"/>
      <c r="P65" s="236"/>
      <c r="Q65" s="236"/>
      <c r="R65" s="236"/>
      <c r="S65" s="237"/>
      <c r="T65" s="236"/>
      <c r="U65" s="233"/>
      <c r="V65" s="233"/>
      <c r="W65" s="233"/>
      <c r="X65" s="238"/>
    </row>
    <row r="66" spans="1:24" s="3" customFormat="1">
      <c r="A66" s="233"/>
      <c r="B66" s="436"/>
      <c r="C66" s="437"/>
      <c r="D66" s="435"/>
      <c r="E66" s="435"/>
      <c r="F66" s="50"/>
      <c r="G66" s="62"/>
      <c r="H66" s="185"/>
      <c r="I66" s="186">
        <f t="shared" si="7"/>
        <v>0</v>
      </c>
      <c r="J66" s="59"/>
      <c r="K66" s="233"/>
      <c r="L66" s="233"/>
      <c r="M66" s="235"/>
      <c r="N66" s="236"/>
      <c r="O66" s="235"/>
      <c r="P66" s="236"/>
      <c r="Q66" s="236"/>
      <c r="R66" s="236"/>
      <c r="S66" s="237"/>
      <c r="T66" s="236"/>
      <c r="U66" s="233"/>
      <c r="V66" s="233"/>
      <c r="W66" s="233"/>
      <c r="X66" s="238"/>
    </row>
    <row r="67" spans="1:24" s="3" customFormat="1">
      <c r="A67" s="233"/>
      <c r="B67" s="436"/>
      <c r="C67" s="437"/>
      <c r="D67" s="435"/>
      <c r="E67" s="435"/>
      <c r="F67" s="50"/>
      <c r="G67" s="62"/>
      <c r="H67" s="185"/>
      <c r="I67" s="186">
        <f t="shared" si="7"/>
        <v>0</v>
      </c>
      <c r="J67" s="59"/>
      <c r="K67" s="233"/>
      <c r="L67" s="233"/>
      <c r="M67" s="235"/>
      <c r="N67" s="236"/>
      <c r="O67" s="235"/>
      <c r="P67" s="236"/>
      <c r="Q67" s="236"/>
      <c r="R67" s="236"/>
      <c r="S67" s="237"/>
      <c r="T67" s="236"/>
      <c r="U67" s="233"/>
      <c r="V67" s="233"/>
      <c r="W67" s="233"/>
      <c r="X67" s="238"/>
    </row>
    <row r="68" spans="1:24" s="3" customFormat="1">
      <c r="A68" s="233"/>
      <c r="B68" s="435"/>
      <c r="C68" s="435"/>
      <c r="D68" s="435"/>
      <c r="E68" s="435"/>
      <c r="F68" s="50"/>
      <c r="G68" s="62"/>
      <c r="H68" s="185"/>
      <c r="I68" s="186">
        <f t="shared" si="7"/>
        <v>0</v>
      </c>
      <c r="J68" s="59"/>
      <c r="K68" s="233"/>
      <c r="L68" s="233"/>
      <c r="M68" s="235"/>
      <c r="N68" s="236"/>
      <c r="O68" s="235"/>
      <c r="P68" s="236"/>
      <c r="Q68" s="236"/>
      <c r="R68" s="236"/>
      <c r="S68" s="237"/>
      <c r="T68" s="236"/>
      <c r="U68" s="233"/>
      <c r="V68" s="233"/>
      <c r="W68" s="233"/>
      <c r="X68" s="238"/>
    </row>
    <row r="69" spans="1:24" s="3" customFormat="1">
      <c r="A69" s="233"/>
      <c r="B69" s="136"/>
      <c r="C69" s="11"/>
      <c r="D69" s="234"/>
      <c r="E69" s="11"/>
      <c r="F69" s="233"/>
      <c r="G69" s="233"/>
      <c r="H69" s="233"/>
      <c r="I69" s="233"/>
      <c r="J69" s="233"/>
      <c r="K69" s="233"/>
      <c r="L69" s="233"/>
      <c r="M69" s="235"/>
      <c r="N69" s="236"/>
      <c r="O69" s="235"/>
      <c r="P69" s="236"/>
      <c r="Q69" s="236"/>
      <c r="R69" s="236"/>
      <c r="S69" s="237"/>
      <c r="T69" s="236"/>
      <c r="U69" s="233"/>
      <c r="V69" s="233"/>
      <c r="W69" s="233"/>
      <c r="X69" s="238"/>
    </row>
    <row r="70" spans="1:24" s="3" customFormat="1">
      <c r="A70" s="233"/>
      <c r="B70" s="136"/>
      <c r="C70" s="11"/>
      <c r="D70" s="234"/>
      <c r="E70" s="11"/>
      <c r="F70" s="233"/>
      <c r="G70" s="233"/>
      <c r="H70" s="233"/>
      <c r="I70" s="233"/>
      <c r="J70" s="233"/>
      <c r="K70" s="233"/>
      <c r="L70" s="233"/>
      <c r="M70" s="235"/>
      <c r="N70" s="236"/>
      <c r="O70" s="235"/>
      <c r="P70" s="236"/>
      <c r="Q70" s="236"/>
      <c r="R70" s="236"/>
      <c r="S70" s="237"/>
      <c r="T70" s="236"/>
      <c r="U70" s="233"/>
      <c r="V70" s="233"/>
      <c r="W70" s="233"/>
      <c r="X70" s="238"/>
    </row>
    <row r="71" spans="1:24" s="3" customFormat="1" ht="18">
      <c r="A71" s="233"/>
      <c r="B71" s="243" t="s">
        <v>238</v>
      </c>
      <c r="C71" s="11"/>
      <c r="D71" s="234"/>
      <c r="E71" s="11"/>
      <c r="F71" s="233"/>
      <c r="G71" s="233"/>
      <c r="H71" s="233"/>
      <c r="I71" s="233"/>
      <c r="J71" s="233"/>
      <c r="K71" s="233"/>
      <c r="L71" s="233"/>
      <c r="M71" s="235"/>
      <c r="N71" s="236"/>
      <c r="O71" s="235"/>
      <c r="P71" s="236"/>
      <c r="Q71" s="236"/>
      <c r="R71" s="236"/>
      <c r="S71" s="237"/>
      <c r="T71" s="236"/>
      <c r="U71" s="233"/>
      <c r="V71" s="233"/>
      <c r="W71" s="233"/>
      <c r="X71" s="238"/>
    </row>
    <row r="72" spans="1:24" s="3" customFormat="1">
      <c r="A72" s="233"/>
      <c r="B72" s="242" t="s">
        <v>239</v>
      </c>
      <c r="C72" s="11"/>
      <c r="D72" s="234"/>
      <c r="E72" s="11"/>
      <c r="F72" s="233"/>
      <c r="G72" s="233"/>
      <c r="H72" s="233"/>
      <c r="I72" s="233"/>
      <c r="J72" s="233"/>
      <c r="K72" s="233"/>
      <c r="L72" s="233"/>
      <c r="M72" s="235"/>
      <c r="N72" s="236"/>
      <c r="O72" s="235"/>
      <c r="P72" s="236"/>
      <c r="Q72" s="236"/>
      <c r="R72" s="236"/>
      <c r="S72" s="237"/>
      <c r="T72" s="236"/>
      <c r="U72" s="233"/>
      <c r="V72" s="233"/>
      <c r="W72" s="233"/>
      <c r="X72" s="238"/>
    </row>
    <row r="73" spans="1:24" s="3" customFormat="1">
      <c r="A73" s="233"/>
      <c r="B73" s="242" t="s">
        <v>240</v>
      </c>
      <c r="C73" s="11"/>
      <c r="D73" s="234"/>
      <c r="E73" s="11"/>
      <c r="F73" s="233"/>
      <c r="G73" s="233"/>
      <c r="H73" s="233"/>
      <c r="I73" s="233"/>
      <c r="J73" s="233"/>
      <c r="K73" s="233"/>
      <c r="L73" s="233"/>
      <c r="M73" s="235"/>
      <c r="N73" s="236"/>
      <c r="O73" s="235"/>
      <c r="P73" s="236"/>
      <c r="Q73" s="236"/>
      <c r="R73" s="236"/>
      <c r="S73" s="237"/>
      <c r="T73" s="236"/>
      <c r="U73" s="233"/>
      <c r="V73" s="233"/>
      <c r="W73" s="233"/>
      <c r="X73" s="238"/>
    </row>
    <row r="74" spans="1:24" s="3" customFormat="1">
      <c r="A74" s="233"/>
      <c r="B74" s="242" t="s">
        <v>257</v>
      </c>
      <c r="C74" s="11"/>
      <c r="D74" s="234"/>
      <c r="E74" s="11"/>
      <c r="F74" s="233"/>
      <c r="G74" s="233"/>
      <c r="H74" s="233"/>
      <c r="I74" s="233"/>
      <c r="J74" s="233"/>
      <c r="K74" s="233"/>
      <c r="L74" s="233"/>
      <c r="M74" s="235"/>
      <c r="N74" s="236"/>
      <c r="O74" s="235"/>
      <c r="P74" s="236"/>
      <c r="Q74" s="236"/>
      <c r="R74" s="236"/>
      <c r="S74" s="237"/>
      <c r="T74" s="236"/>
      <c r="U74" s="233"/>
      <c r="V74" s="233"/>
      <c r="W74" s="233"/>
      <c r="X74" s="238"/>
    </row>
    <row r="75" spans="1:24" s="3" customFormat="1">
      <c r="A75" s="233"/>
      <c r="B75" s="438" t="s">
        <v>152</v>
      </c>
      <c r="C75" s="439"/>
      <c r="D75" s="438" t="s">
        <v>153</v>
      </c>
      <c r="E75" s="439"/>
      <c r="F75" s="123" t="s">
        <v>154</v>
      </c>
      <c r="G75" s="123" t="s">
        <v>155</v>
      </c>
      <c r="H75" s="123" t="s">
        <v>156</v>
      </c>
      <c r="I75" s="123" t="s">
        <v>157</v>
      </c>
      <c r="J75" s="123" t="s">
        <v>97</v>
      </c>
      <c r="K75" s="233"/>
      <c r="L75" s="233"/>
      <c r="M75" s="235"/>
      <c r="N75" s="236"/>
      <c r="O75" s="235"/>
      <c r="P75" s="236"/>
      <c r="Q75" s="236"/>
      <c r="R75" s="236"/>
      <c r="S75" s="237"/>
      <c r="T75" s="236"/>
      <c r="U75" s="233"/>
      <c r="V75" s="233"/>
      <c r="W75" s="233"/>
      <c r="X75" s="238"/>
    </row>
    <row r="76" spans="1:24" s="3" customFormat="1">
      <c r="A76" s="233"/>
      <c r="B76" s="435" t="s">
        <v>351</v>
      </c>
      <c r="C76" s="435"/>
      <c r="D76" s="440" t="s">
        <v>369</v>
      </c>
      <c r="E76" s="441"/>
      <c r="F76" s="50">
        <v>1</v>
      </c>
      <c r="G76" s="62">
        <v>30</v>
      </c>
      <c r="H76" s="185">
        <v>0.02</v>
      </c>
      <c r="I76" s="186">
        <f t="shared" ref="I76:I105" si="9">IF(B76=0,0,H76*G76*F76)</f>
        <v>0.6</v>
      </c>
      <c r="J76" s="59"/>
      <c r="K76" s="233"/>
      <c r="L76" s="233"/>
      <c r="M76" s="235"/>
      <c r="N76" s="236"/>
      <c r="O76" s="235"/>
      <c r="P76" s="236"/>
      <c r="Q76" s="236"/>
      <c r="R76" s="236"/>
      <c r="S76" s="237"/>
      <c r="T76" s="236"/>
      <c r="U76" s="233"/>
      <c r="V76" s="233"/>
      <c r="W76" s="233"/>
      <c r="X76" s="238"/>
    </row>
    <row r="77" spans="1:24" s="3" customFormat="1">
      <c r="A77" s="233"/>
      <c r="B77" s="435" t="s">
        <v>352</v>
      </c>
      <c r="C77" s="435"/>
      <c r="D77" s="436" t="s">
        <v>369</v>
      </c>
      <c r="E77" s="437"/>
      <c r="F77" s="50">
        <v>1</v>
      </c>
      <c r="G77" s="62">
        <v>30</v>
      </c>
      <c r="H77" s="185">
        <v>0.03</v>
      </c>
      <c r="I77" s="186">
        <f t="shared" si="9"/>
        <v>0.89999999999999991</v>
      </c>
      <c r="J77" s="59"/>
      <c r="K77" s="233"/>
      <c r="L77" s="233"/>
      <c r="M77" s="235"/>
      <c r="N77" s="236"/>
      <c r="O77" s="235"/>
      <c r="P77" s="236"/>
      <c r="Q77" s="236"/>
      <c r="R77" s="236"/>
      <c r="S77" s="237"/>
      <c r="T77" s="236"/>
      <c r="U77" s="233"/>
      <c r="V77" s="233"/>
      <c r="W77" s="233"/>
      <c r="X77" s="238"/>
    </row>
    <row r="78" spans="1:24" s="3" customFormat="1">
      <c r="A78" s="233"/>
      <c r="B78" s="435" t="s">
        <v>353</v>
      </c>
      <c r="C78" s="435"/>
      <c r="D78" s="436" t="s">
        <v>369</v>
      </c>
      <c r="E78" s="437"/>
      <c r="F78" s="50">
        <v>1</v>
      </c>
      <c r="G78" s="62">
        <v>30</v>
      </c>
      <c r="H78" s="185">
        <v>0.15</v>
      </c>
      <c r="I78" s="186">
        <f>IF(B78=0,0,H78*G78*F78)</f>
        <v>4.5</v>
      </c>
      <c r="J78" s="59"/>
      <c r="K78" s="233"/>
      <c r="L78" s="233"/>
      <c r="M78" s="235"/>
      <c r="N78" s="236"/>
      <c r="O78" s="235"/>
      <c r="P78" s="236"/>
      <c r="Q78" s="236"/>
      <c r="R78" s="236"/>
      <c r="S78" s="237"/>
      <c r="T78" s="236"/>
      <c r="U78" s="233"/>
      <c r="V78" s="233"/>
      <c r="W78" s="233"/>
      <c r="X78" s="238"/>
    </row>
    <row r="79" spans="1:24" s="3" customFormat="1">
      <c r="A79" s="233"/>
      <c r="B79" s="435" t="s">
        <v>354</v>
      </c>
      <c r="C79" s="435"/>
      <c r="D79" s="436" t="s">
        <v>369</v>
      </c>
      <c r="E79" s="437"/>
      <c r="F79" s="50">
        <v>1</v>
      </c>
      <c r="G79" s="62">
        <v>30</v>
      </c>
      <c r="H79" s="185">
        <v>0.16</v>
      </c>
      <c r="I79" s="186">
        <f>IF(B79=0,0,H79*G79*F79)</f>
        <v>4.8</v>
      </c>
      <c r="J79" s="59"/>
      <c r="K79" s="233"/>
      <c r="L79" s="233"/>
      <c r="M79" s="235"/>
      <c r="N79" s="236"/>
      <c r="O79" s="235"/>
      <c r="P79" s="236"/>
      <c r="Q79" s="236"/>
      <c r="R79" s="236"/>
      <c r="S79" s="237"/>
      <c r="T79" s="236"/>
      <c r="U79" s="233"/>
      <c r="V79" s="233"/>
      <c r="W79" s="233"/>
      <c r="X79" s="238"/>
    </row>
    <row r="80" spans="1:24" s="3" customFormat="1">
      <c r="A80" s="233"/>
      <c r="B80" s="435" t="s">
        <v>355</v>
      </c>
      <c r="C80" s="435"/>
      <c r="D80" s="436" t="s">
        <v>369</v>
      </c>
      <c r="E80" s="437"/>
      <c r="F80" s="50">
        <v>1</v>
      </c>
      <c r="G80" s="62">
        <v>30</v>
      </c>
      <c r="H80" s="185">
        <v>1.6644999999999999</v>
      </c>
      <c r="I80" s="186">
        <f t="shared" si="9"/>
        <v>49.934999999999995</v>
      </c>
      <c r="J80" s="59"/>
      <c r="K80" s="233"/>
      <c r="L80" s="233"/>
      <c r="M80" s="235"/>
      <c r="N80" s="236"/>
      <c r="O80" s="235"/>
      <c r="P80" s="236"/>
      <c r="Q80" s="236"/>
      <c r="R80" s="236"/>
      <c r="S80" s="237"/>
      <c r="T80" s="236"/>
      <c r="U80" s="233"/>
      <c r="V80" s="233"/>
      <c r="W80" s="233"/>
      <c r="X80" s="238"/>
    </row>
    <row r="81" spans="1:24" s="3" customFormat="1">
      <c r="A81" s="233"/>
      <c r="B81" s="435" t="s">
        <v>356</v>
      </c>
      <c r="C81" s="435"/>
      <c r="D81" s="436" t="s">
        <v>369</v>
      </c>
      <c r="E81" s="437"/>
      <c r="F81" s="50">
        <v>1</v>
      </c>
      <c r="G81" s="62">
        <v>30</v>
      </c>
      <c r="H81" s="185">
        <v>0.09</v>
      </c>
      <c r="I81" s="186">
        <f t="shared" si="9"/>
        <v>2.6999999999999997</v>
      </c>
      <c r="J81" s="59"/>
      <c r="K81" s="233"/>
      <c r="L81" s="233"/>
      <c r="M81" s="235"/>
      <c r="N81" s="236"/>
      <c r="O81" s="235"/>
      <c r="P81" s="236"/>
      <c r="Q81" s="236"/>
      <c r="R81" s="236"/>
      <c r="S81" s="237"/>
      <c r="T81" s="236"/>
      <c r="U81" s="233"/>
      <c r="V81" s="233"/>
      <c r="W81" s="233"/>
      <c r="X81" s="238"/>
    </row>
    <row r="82" spans="1:24" s="3" customFormat="1">
      <c r="A82" s="233"/>
      <c r="B82" s="435" t="s">
        <v>357</v>
      </c>
      <c r="C82" s="435"/>
      <c r="D82" s="436" t="s">
        <v>369</v>
      </c>
      <c r="E82" s="437"/>
      <c r="F82" s="50">
        <v>1</v>
      </c>
      <c r="G82" s="62">
        <v>30</v>
      </c>
      <c r="H82" s="185">
        <v>0.03</v>
      </c>
      <c r="I82" s="186">
        <f t="shared" si="9"/>
        <v>0.89999999999999991</v>
      </c>
      <c r="J82" s="59"/>
      <c r="K82" s="233"/>
      <c r="L82" s="233"/>
      <c r="M82" s="235"/>
      <c r="N82" s="236"/>
      <c r="O82" s="235"/>
      <c r="P82" s="236"/>
      <c r="Q82" s="236"/>
      <c r="R82" s="236"/>
      <c r="S82" s="237"/>
      <c r="T82" s="236"/>
      <c r="U82" s="233"/>
      <c r="V82" s="233"/>
      <c r="W82" s="233"/>
      <c r="X82" s="238"/>
    </row>
    <row r="83" spans="1:24" s="3" customFormat="1">
      <c r="A83" s="233"/>
      <c r="B83" s="435" t="s">
        <v>358</v>
      </c>
      <c r="C83" s="435"/>
      <c r="D83" s="436" t="s">
        <v>369</v>
      </c>
      <c r="E83" s="437"/>
      <c r="F83" s="50">
        <v>1</v>
      </c>
      <c r="G83" s="62">
        <v>30</v>
      </c>
      <c r="H83" s="185">
        <v>6.0000000000000001E-3</v>
      </c>
      <c r="I83" s="186">
        <f t="shared" si="9"/>
        <v>0.18</v>
      </c>
      <c r="J83" s="59"/>
      <c r="K83" s="233"/>
      <c r="L83" s="233"/>
      <c r="M83" s="235"/>
      <c r="N83" s="236"/>
      <c r="O83" s="235"/>
      <c r="P83" s="236"/>
      <c r="Q83" s="236"/>
      <c r="R83" s="236"/>
      <c r="S83" s="237"/>
      <c r="T83" s="236"/>
      <c r="U83" s="233"/>
      <c r="V83" s="233"/>
      <c r="W83" s="233"/>
      <c r="X83" s="238"/>
    </row>
    <row r="84" spans="1:24" s="3" customFormat="1">
      <c r="A84" s="233"/>
      <c r="B84" s="435" t="s">
        <v>359</v>
      </c>
      <c r="C84" s="435"/>
      <c r="D84" s="436" t="s">
        <v>369</v>
      </c>
      <c r="E84" s="437"/>
      <c r="F84" s="50">
        <v>1</v>
      </c>
      <c r="G84" s="62">
        <v>30</v>
      </c>
      <c r="H84" s="185">
        <v>0.05</v>
      </c>
      <c r="I84" s="186">
        <f t="shared" si="9"/>
        <v>1.5</v>
      </c>
      <c r="J84" s="59"/>
      <c r="K84" s="233"/>
      <c r="L84" s="233"/>
      <c r="M84" s="235"/>
      <c r="N84" s="236"/>
      <c r="O84" s="235"/>
      <c r="P84" s="236"/>
      <c r="Q84" s="236"/>
      <c r="R84" s="236"/>
      <c r="S84" s="237"/>
      <c r="T84" s="236"/>
      <c r="U84" s="233"/>
      <c r="V84" s="233"/>
      <c r="W84" s="233"/>
      <c r="X84" s="238"/>
    </row>
    <row r="85" spans="1:24" s="3" customFormat="1">
      <c r="A85" s="233"/>
      <c r="B85" s="435" t="s">
        <v>347</v>
      </c>
      <c r="C85" s="435"/>
      <c r="D85" s="436" t="s">
        <v>369</v>
      </c>
      <c r="E85" s="437"/>
      <c r="F85" s="50">
        <v>1</v>
      </c>
      <c r="G85" s="62">
        <v>30</v>
      </c>
      <c r="H85" s="185">
        <v>0.15</v>
      </c>
      <c r="I85" s="186">
        <f t="shared" si="9"/>
        <v>4.5</v>
      </c>
      <c r="J85" s="59"/>
      <c r="K85" s="233"/>
      <c r="L85" s="233"/>
      <c r="M85" s="235"/>
      <c r="N85" s="236"/>
      <c r="O85" s="235"/>
      <c r="P85" s="236"/>
      <c r="Q85" s="236"/>
      <c r="R85" s="236"/>
      <c r="S85" s="237"/>
      <c r="T85" s="236"/>
      <c r="U85" s="233"/>
      <c r="V85" s="233"/>
      <c r="W85" s="233"/>
      <c r="X85" s="238"/>
    </row>
    <row r="86" spans="1:24" s="3" customFormat="1">
      <c r="A86" s="233"/>
      <c r="B86" s="435" t="s">
        <v>348</v>
      </c>
      <c r="C86" s="435"/>
      <c r="D86" s="436" t="s">
        <v>369</v>
      </c>
      <c r="E86" s="437"/>
      <c r="F86" s="50">
        <v>1</v>
      </c>
      <c r="G86" s="62">
        <v>30</v>
      </c>
      <c r="H86" s="185">
        <v>0.09</v>
      </c>
      <c r="I86" s="186">
        <f t="shared" si="9"/>
        <v>2.6999999999999997</v>
      </c>
      <c r="J86" s="59"/>
      <c r="K86" s="233"/>
      <c r="L86" s="233"/>
      <c r="M86" s="235"/>
      <c r="N86" s="236"/>
      <c r="O86" s="235"/>
      <c r="P86" s="236"/>
      <c r="Q86" s="236"/>
      <c r="R86" s="236"/>
      <c r="S86" s="237"/>
      <c r="T86" s="236"/>
      <c r="U86" s="233"/>
      <c r="V86" s="233"/>
      <c r="W86" s="233"/>
      <c r="X86" s="238"/>
    </row>
    <row r="87" spans="1:24" s="3" customFormat="1">
      <c r="A87" s="233"/>
      <c r="B87" s="435" t="s">
        <v>349</v>
      </c>
      <c r="C87" s="435"/>
      <c r="D87" s="436" t="s">
        <v>369</v>
      </c>
      <c r="E87" s="437"/>
      <c r="F87" s="50">
        <v>1</v>
      </c>
      <c r="G87" s="62">
        <v>30</v>
      </c>
      <c r="H87" s="185">
        <v>0.09</v>
      </c>
      <c r="I87" s="186">
        <f t="shared" si="9"/>
        <v>2.6999999999999997</v>
      </c>
      <c r="J87" s="59"/>
      <c r="K87" s="233"/>
      <c r="L87" s="233"/>
      <c r="M87" s="235"/>
      <c r="N87" s="236"/>
      <c r="O87" s="235"/>
      <c r="P87" s="236"/>
      <c r="Q87" s="236"/>
      <c r="R87" s="236"/>
      <c r="S87" s="237"/>
      <c r="T87" s="236"/>
      <c r="U87" s="233"/>
      <c r="V87" s="233"/>
      <c r="W87" s="233"/>
      <c r="X87" s="238"/>
    </row>
    <row r="88" spans="1:24" s="3" customFormat="1">
      <c r="A88" s="233"/>
      <c r="B88" s="435" t="s">
        <v>350</v>
      </c>
      <c r="C88" s="435"/>
      <c r="D88" s="436" t="s">
        <v>369</v>
      </c>
      <c r="E88" s="437"/>
      <c r="F88" s="50">
        <v>1</v>
      </c>
      <c r="G88" s="62">
        <v>30</v>
      </c>
      <c r="H88" s="185">
        <v>0.69</v>
      </c>
      <c r="I88" s="186">
        <f t="shared" si="9"/>
        <v>20.7</v>
      </c>
      <c r="J88" s="59"/>
      <c r="K88" s="233"/>
      <c r="L88" s="233"/>
      <c r="M88" s="235"/>
      <c r="N88" s="236"/>
      <c r="O88" s="235"/>
      <c r="P88" s="236"/>
      <c r="Q88" s="236"/>
      <c r="R88" s="236"/>
      <c r="S88" s="237"/>
      <c r="T88" s="236"/>
      <c r="U88" s="233"/>
      <c r="V88" s="233"/>
      <c r="W88" s="233"/>
      <c r="X88" s="238"/>
    </row>
    <row r="89" spans="1:24" s="3" customFormat="1">
      <c r="A89" s="233"/>
      <c r="B89" s="435"/>
      <c r="C89" s="435"/>
      <c r="D89" s="435"/>
      <c r="E89" s="435"/>
      <c r="F89" s="50"/>
      <c r="G89" s="62"/>
      <c r="H89" s="185"/>
      <c r="I89" s="186">
        <f t="shared" si="9"/>
        <v>0</v>
      </c>
      <c r="J89" s="59"/>
      <c r="K89" s="233"/>
      <c r="L89" s="233"/>
      <c r="M89" s="235"/>
      <c r="N89" s="236"/>
      <c r="O89" s="235"/>
      <c r="P89" s="236"/>
      <c r="Q89" s="236"/>
      <c r="R89" s="236"/>
      <c r="S89" s="237"/>
      <c r="T89" s="236"/>
      <c r="U89" s="233"/>
      <c r="V89" s="233"/>
      <c r="W89" s="233"/>
      <c r="X89" s="238"/>
    </row>
    <row r="90" spans="1:24" s="3" customFormat="1">
      <c r="A90" s="233"/>
      <c r="B90" s="435"/>
      <c r="C90" s="435"/>
      <c r="D90" s="435"/>
      <c r="E90" s="435"/>
      <c r="F90" s="50"/>
      <c r="G90" s="62"/>
      <c r="H90" s="185"/>
      <c r="I90" s="186">
        <f t="shared" si="9"/>
        <v>0</v>
      </c>
      <c r="J90" s="59"/>
      <c r="K90" s="233"/>
      <c r="L90" s="233"/>
      <c r="M90" s="235"/>
      <c r="N90" s="236"/>
      <c r="O90" s="235"/>
      <c r="P90" s="236"/>
      <c r="Q90" s="236"/>
      <c r="R90" s="236"/>
      <c r="S90" s="237"/>
      <c r="T90" s="236"/>
      <c r="U90" s="233"/>
      <c r="V90" s="233"/>
      <c r="W90" s="233"/>
      <c r="X90" s="238"/>
    </row>
    <row r="91" spans="1:24" s="3" customFormat="1">
      <c r="A91" s="233"/>
      <c r="B91" s="435"/>
      <c r="C91" s="435"/>
      <c r="D91" s="435"/>
      <c r="E91" s="435"/>
      <c r="F91" s="50"/>
      <c r="G91" s="62"/>
      <c r="H91" s="185"/>
      <c r="I91" s="186">
        <f t="shared" si="9"/>
        <v>0</v>
      </c>
      <c r="J91" s="59"/>
      <c r="K91" s="233"/>
      <c r="L91" s="233"/>
      <c r="M91" s="235"/>
      <c r="N91" s="236"/>
      <c r="O91" s="235"/>
      <c r="P91" s="236"/>
      <c r="Q91" s="236"/>
      <c r="R91" s="236"/>
      <c r="S91" s="237"/>
      <c r="T91" s="236"/>
      <c r="U91" s="233"/>
      <c r="V91" s="233"/>
      <c r="W91" s="233"/>
      <c r="X91" s="238"/>
    </row>
    <row r="92" spans="1:24" s="3" customFormat="1">
      <c r="A92" s="233"/>
      <c r="B92" s="435"/>
      <c r="C92" s="435"/>
      <c r="D92" s="435"/>
      <c r="E92" s="435"/>
      <c r="F92" s="50"/>
      <c r="G92" s="62"/>
      <c r="H92" s="185"/>
      <c r="I92" s="186">
        <f t="shared" si="9"/>
        <v>0</v>
      </c>
      <c r="J92" s="59"/>
      <c r="K92" s="233"/>
      <c r="L92" s="233"/>
      <c r="M92" s="235"/>
      <c r="N92" s="236"/>
      <c r="O92" s="235"/>
      <c r="P92" s="236"/>
      <c r="Q92" s="236"/>
      <c r="R92" s="236"/>
      <c r="S92" s="237"/>
      <c r="T92" s="236"/>
      <c r="U92" s="233"/>
      <c r="V92" s="233"/>
      <c r="W92" s="233"/>
      <c r="X92" s="238"/>
    </row>
    <row r="93" spans="1:24" s="3" customFormat="1">
      <c r="A93" s="233"/>
      <c r="B93" s="435"/>
      <c r="C93" s="435"/>
      <c r="D93" s="435"/>
      <c r="E93" s="435"/>
      <c r="F93" s="50"/>
      <c r="G93" s="62"/>
      <c r="H93" s="185"/>
      <c r="I93" s="186">
        <f t="shared" si="9"/>
        <v>0</v>
      </c>
      <c r="J93" s="59"/>
      <c r="K93" s="233"/>
      <c r="L93" s="233"/>
      <c r="M93" s="235"/>
      <c r="N93" s="236"/>
      <c r="O93" s="235"/>
      <c r="P93" s="236"/>
      <c r="Q93" s="236"/>
      <c r="R93" s="236"/>
      <c r="S93" s="237"/>
      <c r="T93" s="236"/>
      <c r="U93" s="233"/>
      <c r="V93" s="233"/>
      <c r="W93" s="233"/>
      <c r="X93" s="238"/>
    </row>
    <row r="94" spans="1:24" s="3" customFormat="1">
      <c r="A94" s="233"/>
      <c r="B94" s="435"/>
      <c r="C94" s="435"/>
      <c r="D94" s="435"/>
      <c r="E94" s="435"/>
      <c r="F94" s="50"/>
      <c r="G94" s="62"/>
      <c r="H94" s="185"/>
      <c r="I94" s="186">
        <f t="shared" si="9"/>
        <v>0</v>
      </c>
      <c r="J94" s="59"/>
      <c r="K94" s="233"/>
      <c r="L94" s="233"/>
      <c r="M94" s="235"/>
      <c r="N94" s="236"/>
      <c r="O94" s="235"/>
      <c r="P94" s="236"/>
      <c r="Q94" s="236"/>
      <c r="R94" s="236"/>
      <c r="S94" s="237"/>
      <c r="T94" s="236"/>
      <c r="U94" s="233"/>
      <c r="V94" s="233"/>
      <c r="W94" s="233"/>
      <c r="X94" s="238"/>
    </row>
    <row r="95" spans="1:24" s="3" customFormat="1">
      <c r="A95" s="233"/>
      <c r="B95" s="435"/>
      <c r="C95" s="435"/>
      <c r="D95" s="435"/>
      <c r="E95" s="435"/>
      <c r="F95" s="50"/>
      <c r="G95" s="62"/>
      <c r="H95" s="185"/>
      <c r="I95" s="186">
        <f t="shared" si="9"/>
        <v>0</v>
      </c>
      <c r="J95" s="59"/>
      <c r="K95" s="233"/>
      <c r="L95" s="233"/>
      <c r="M95" s="235"/>
      <c r="N95" s="236"/>
      <c r="O95" s="235"/>
      <c r="P95" s="236"/>
      <c r="Q95" s="236"/>
      <c r="R95" s="236"/>
      <c r="S95" s="237"/>
      <c r="T95" s="236"/>
      <c r="U95" s="233"/>
      <c r="V95" s="233"/>
      <c r="W95" s="233"/>
      <c r="X95" s="238"/>
    </row>
    <row r="96" spans="1:24" s="3" customFormat="1">
      <c r="A96" s="233"/>
      <c r="B96" s="435"/>
      <c r="C96" s="435"/>
      <c r="D96" s="435"/>
      <c r="E96" s="435"/>
      <c r="F96" s="50"/>
      <c r="G96" s="62"/>
      <c r="H96" s="185"/>
      <c r="I96" s="186">
        <f t="shared" si="9"/>
        <v>0</v>
      </c>
      <c r="J96" s="59"/>
      <c r="K96" s="233"/>
      <c r="L96" s="233"/>
      <c r="M96" s="235"/>
      <c r="N96" s="236"/>
      <c r="O96" s="235"/>
      <c r="P96" s="236"/>
      <c r="Q96" s="236"/>
      <c r="R96" s="236"/>
      <c r="S96" s="237"/>
      <c r="T96" s="236"/>
      <c r="U96" s="233"/>
      <c r="V96" s="233"/>
      <c r="W96" s="233"/>
      <c r="X96" s="238"/>
    </row>
    <row r="97" spans="1:24" s="3" customFormat="1">
      <c r="A97" s="233"/>
      <c r="B97" s="435"/>
      <c r="C97" s="435"/>
      <c r="D97" s="435"/>
      <c r="E97" s="435"/>
      <c r="F97" s="50"/>
      <c r="G97" s="62"/>
      <c r="H97" s="185"/>
      <c r="I97" s="186">
        <f t="shared" si="9"/>
        <v>0</v>
      </c>
      <c r="J97" s="59"/>
      <c r="K97" s="233"/>
      <c r="L97" s="233"/>
      <c r="M97" s="235"/>
      <c r="N97" s="236"/>
      <c r="O97" s="235"/>
      <c r="P97" s="236"/>
      <c r="Q97" s="236"/>
      <c r="R97" s="236"/>
      <c r="S97" s="237"/>
      <c r="T97" s="236"/>
      <c r="U97" s="233"/>
      <c r="V97" s="233"/>
      <c r="W97" s="233"/>
      <c r="X97" s="238"/>
    </row>
    <row r="98" spans="1:24" s="3" customFormat="1">
      <c r="A98" s="233"/>
      <c r="B98" s="435"/>
      <c r="C98" s="435"/>
      <c r="D98" s="435"/>
      <c r="E98" s="435"/>
      <c r="F98" s="50"/>
      <c r="G98" s="62"/>
      <c r="H98" s="185"/>
      <c r="I98" s="186">
        <f t="shared" si="9"/>
        <v>0</v>
      </c>
      <c r="J98" s="59"/>
      <c r="K98" s="233"/>
      <c r="L98" s="233"/>
      <c r="M98" s="235"/>
      <c r="N98" s="236"/>
      <c r="O98" s="235"/>
      <c r="P98" s="236"/>
      <c r="Q98" s="236"/>
      <c r="R98" s="236"/>
      <c r="S98" s="237"/>
      <c r="T98" s="236"/>
      <c r="U98" s="233"/>
      <c r="V98" s="233"/>
      <c r="W98" s="233"/>
      <c r="X98" s="238"/>
    </row>
    <row r="99" spans="1:24" s="3" customFormat="1">
      <c r="A99" s="233"/>
      <c r="B99" s="435"/>
      <c r="C99" s="435"/>
      <c r="D99" s="435"/>
      <c r="E99" s="435"/>
      <c r="F99" s="50"/>
      <c r="G99" s="62"/>
      <c r="H99" s="185"/>
      <c r="I99" s="186">
        <f t="shared" si="9"/>
        <v>0</v>
      </c>
      <c r="J99" s="59"/>
      <c r="K99" s="233"/>
      <c r="L99" s="233"/>
      <c r="M99" s="235"/>
      <c r="N99" s="236"/>
      <c r="O99" s="235"/>
      <c r="P99" s="236"/>
      <c r="Q99" s="236"/>
      <c r="R99" s="236"/>
      <c r="S99" s="237"/>
      <c r="T99" s="236"/>
      <c r="U99" s="233"/>
      <c r="V99" s="233"/>
      <c r="W99" s="233"/>
      <c r="X99" s="238"/>
    </row>
    <row r="100" spans="1:24" s="3" customFormat="1">
      <c r="A100" s="233"/>
      <c r="B100" s="435"/>
      <c r="C100" s="435"/>
      <c r="D100" s="435"/>
      <c r="E100" s="435"/>
      <c r="F100" s="50"/>
      <c r="G100" s="62"/>
      <c r="H100" s="185"/>
      <c r="I100" s="186">
        <f t="shared" si="9"/>
        <v>0</v>
      </c>
      <c r="J100" s="59"/>
      <c r="K100" s="233"/>
      <c r="L100" s="233"/>
      <c r="M100" s="235"/>
      <c r="N100" s="236"/>
      <c r="O100" s="235"/>
      <c r="P100" s="236"/>
      <c r="Q100" s="236"/>
      <c r="R100" s="236"/>
      <c r="S100" s="237"/>
      <c r="T100" s="236"/>
      <c r="U100" s="233"/>
      <c r="V100" s="233"/>
      <c r="W100" s="233"/>
      <c r="X100" s="238"/>
    </row>
    <row r="101" spans="1:24" s="3" customFormat="1">
      <c r="A101" s="233"/>
      <c r="B101" s="435"/>
      <c r="C101" s="435"/>
      <c r="D101" s="435"/>
      <c r="E101" s="435"/>
      <c r="F101" s="50"/>
      <c r="G101" s="62"/>
      <c r="H101" s="185"/>
      <c r="I101" s="186">
        <f t="shared" si="9"/>
        <v>0</v>
      </c>
      <c r="J101" s="59"/>
      <c r="K101" s="233"/>
      <c r="L101" s="233"/>
      <c r="M101" s="235"/>
      <c r="N101" s="236"/>
      <c r="O101" s="235"/>
      <c r="P101" s="236"/>
      <c r="Q101" s="236"/>
      <c r="R101" s="236"/>
      <c r="S101" s="237"/>
      <c r="T101" s="236"/>
      <c r="U101" s="233"/>
      <c r="V101" s="233"/>
      <c r="W101" s="233"/>
      <c r="X101" s="238"/>
    </row>
    <row r="102" spans="1:24" s="3" customFormat="1">
      <c r="A102" s="233"/>
      <c r="B102" s="435"/>
      <c r="C102" s="435"/>
      <c r="D102" s="435"/>
      <c r="E102" s="435"/>
      <c r="F102" s="50"/>
      <c r="G102" s="62"/>
      <c r="H102" s="185"/>
      <c r="I102" s="186">
        <f t="shared" si="9"/>
        <v>0</v>
      </c>
      <c r="J102" s="59"/>
      <c r="K102" s="233"/>
      <c r="L102" s="233"/>
      <c r="M102" s="235"/>
      <c r="N102" s="236"/>
      <c r="O102" s="235"/>
      <c r="P102" s="236"/>
      <c r="Q102" s="236"/>
      <c r="R102" s="236"/>
      <c r="S102" s="237"/>
      <c r="T102" s="236"/>
      <c r="U102" s="233"/>
      <c r="V102" s="233"/>
      <c r="W102" s="233"/>
      <c r="X102" s="238"/>
    </row>
    <row r="103" spans="1:24" s="3" customFormat="1">
      <c r="A103" s="233"/>
      <c r="B103" s="435"/>
      <c r="C103" s="435"/>
      <c r="D103" s="435"/>
      <c r="E103" s="435"/>
      <c r="F103" s="50"/>
      <c r="G103" s="62"/>
      <c r="H103" s="185"/>
      <c r="I103" s="186">
        <f t="shared" si="9"/>
        <v>0</v>
      </c>
      <c r="J103" s="59"/>
      <c r="K103" s="233"/>
      <c r="L103" s="233"/>
      <c r="M103" s="235"/>
      <c r="N103" s="236"/>
      <c r="O103" s="235"/>
      <c r="P103" s="236"/>
      <c r="Q103" s="236"/>
      <c r="R103" s="236"/>
      <c r="S103" s="237"/>
      <c r="T103" s="236"/>
      <c r="U103" s="233"/>
      <c r="V103" s="233"/>
      <c r="W103" s="233"/>
      <c r="X103" s="238"/>
    </row>
    <row r="104" spans="1:24" s="3" customFormat="1">
      <c r="A104" s="233"/>
      <c r="B104" s="435"/>
      <c r="C104" s="435"/>
      <c r="D104" s="435"/>
      <c r="E104" s="435"/>
      <c r="F104" s="50"/>
      <c r="G104" s="62"/>
      <c r="H104" s="185"/>
      <c r="I104" s="186">
        <f t="shared" si="9"/>
        <v>0</v>
      </c>
      <c r="J104" s="59"/>
      <c r="K104" s="233"/>
      <c r="L104" s="233"/>
      <c r="M104" s="235"/>
      <c r="N104" s="236"/>
      <c r="O104" s="235"/>
      <c r="P104" s="236"/>
      <c r="Q104" s="236"/>
      <c r="R104" s="236"/>
      <c r="S104" s="237"/>
      <c r="T104" s="236"/>
      <c r="U104" s="233"/>
      <c r="V104" s="233"/>
      <c r="W104" s="233"/>
      <c r="X104" s="238"/>
    </row>
    <row r="105" spans="1:24" s="3" customFormat="1">
      <c r="A105" s="233"/>
      <c r="B105" s="435"/>
      <c r="C105" s="435"/>
      <c r="D105" s="435"/>
      <c r="E105" s="435"/>
      <c r="F105" s="50"/>
      <c r="G105" s="62"/>
      <c r="H105" s="185"/>
      <c r="I105" s="186">
        <f t="shared" si="9"/>
        <v>0</v>
      </c>
      <c r="J105" s="59"/>
      <c r="K105" s="233"/>
      <c r="L105" s="233"/>
      <c r="M105" s="235"/>
      <c r="N105" s="236"/>
      <c r="O105" s="235"/>
      <c r="P105" s="236"/>
      <c r="Q105" s="236"/>
      <c r="R105" s="236"/>
      <c r="S105" s="237"/>
      <c r="T105" s="236"/>
      <c r="U105" s="233"/>
      <c r="V105" s="233"/>
      <c r="W105" s="233"/>
      <c r="X105" s="238"/>
    </row>
    <row r="106" spans="1:24" s="3" customFormat="1">
      <c r="A106" s="233"/>
      <c r="B106" s="136"/>
      <c r="C106" s="11"/>
      <c r="D106" s="234"/>
      <c r="E106" s="11"/>
      <c r="F106" s="233"/>
      <c r="G106" s="233"/>
      <c r="H106" s="233"/>
      <c r="I106" s="233"/>
      <c r="J106" s="233"/>
      <c r="K106" s="233"/>
      <c r="L106" s="233"/>
      <c r="M106" s="235"/>
      <c r="N106" s="236"/>
      <c r="O106" s="235"/>
      <c r="P106" s="236"/>
      <c r="Q106" s="236"/>
      <c r="R106" s="236"/>
      <c r="S106" s="237"/>
      <c r="T106" s="236"/>
      <c r="U106" s="233"/>
      <c r="V106" s="233"/>
      <c r="W106" s="233"/>
      <c r="X106" s="238"/>
    </row>
    <row r="107" spans="1:24" s="3" customFormat="1">
      <c r="A107" s="233"/>
      <c r="B107" s="136"/>
      <c r="C107" s="11"/>
      <c r="D107" s="234"/>
      <c r="E107" s="11"/>
      <c r="F107" s="233"/>
      <c r="G107" s="233"/>
      <c r="H107" s="233"/>
      <c r="I107" s="233"/>
      <c r="J107" s="233"/>
      <c r="K107" s="233"/>
      <c r="L107" s="233"/>
      <c r="M107" s="235"/>
      <c r="N107" s="236"/>
      <c r="O107" s="235"/>
      <c r="P107" s="236"/>
      <c r="Q107" s="236"/>
      <c r="R107" s="236"/>
      <c r="S107" s="237"/>
      <c r="T107" s="236"/>
      <c r="U107" s="233"/>
      <c r="V107" s="233"/>
      <c r="W107" s="233"/>
      <c r="X107" s="238"/>
    </row>
    <row r="108" spans="1:24" s="181" customFormat="1" ht="18">
      <c r="A108" s="244"/>
      <c r="B108" s="243" t="s">
        <v>241</v>
      </c>
      <c r="C108" s="245"/>
      <c r="D108" s="246"/>
      <c r="E108" s="245"/>
      <c r="F108" s="244"/>
      <c r="G108" s="244"/>
      <c r="H108" s="244"/>
      <c r="I108" s="244"/>
      <c r="J108" s="244"/>
      <c r="K108" s="244"/>
      <c r="L108" s="244"/>
      <c r="M108" s="247"/>
      <c r="N108" s="248"/>
      <c r="O108" s="247"/>
      <c r="P108" s="248"/>
      <c r="Q108" s="248"/>
      <c r="R108" s="248"/>
      <c r="S108" s="249"/>
      <c r="T108" s="248"/>
      <c r="U108" s="244"/>
      <c r="V108" s="244"/>
      <c r="W108" s="244"/>
      <c r="X108" s="250"/>
    </row>
    <row r="109" spans="1:24" s="3" customFormat="1">
      <c r="A109" s="233"/>
      <c r="B109" s="242" t="s">
        <v>242</v>
      </c>
      <c r="C109" s="11"/>
      <c r="D109" s="234"/>
      <c r="E109" s="11"/>
      <c r="F109" s="233"/>
      <c r="G109" s="233"/>
      <c r="H109" s="233"/>
      <c r="I109" s="233"/>
      <c r="J109" s="233"/>
      <c r="K109" s="233"/>
      <c r="L109" s="233"/>
      <c r="M109" s="235"/>
      <c r="N109" s="236"/>
      <c r="O109" s="235"/>
      <c r="P109" s="236"/>
      <c r="Q109" s="236"/>
      <c r="R109" s="236"/>
      <c r="S109" s="237"/>
      <c r="T109" s="236"/>
      <c r="U109" s="233"/>
      <c r="V109" s="233"/>
      <c r="W109" s="233"/>
      <c r="X109" s="238"/>
    </row>
    <row r="110" spans="1:24" s="3" customFormat="1">
      <c r="A110" s="233"/>
      <c r="B110" s="242" t="s">
        <v>243</v>
      </c>
      <c r="C110" s="11"/>
      <c r="D110" s="234"/>
      <c r="E110" s="11"/>
      <c r="F110" s="233"/>
      <c r="G110" s="233"/>
      <c r="H110" s="233"/>
      <c r="I110" s="233"/>
      <c r="J110" s="233"/>
      <c r="K110" s="233"/>
      <c r="L110" s="233"/>
      <c r="M110" s="235"/>
      <c r="N110" s="236"/>
      <c r="O110" s="235"/>
      <c r="P110" s="236"/>
      <c r="Q110" s="236"/>
      <c r="R110" s="236"/>
      <c r="S110" s="237"/>
      <c r="T110" s="236"/>
      <c r="U110" s="233"/>
      <c r="V110" s="233"/>
      <c r="W110" s="233"/>
      <c r="X110" s="238"/>
    </row>
    <row r="111" spans="1:24" s="3" customFormat="1">
      <c r="A111" s="233"/>
      <c r="B111" s="242" t="s">
        <v>244</v>
      </c>
      <c r="C111" s="11"/>
      <c r="D111" s="234"/>
      <c r="E111" s="11"/>
      <c r="F111" s="233"/>
      <c r="G111" s="233"/>
      <c r="H111" s="233"/>
      <c r="I111" s="233"/>
      <c r="J111" s="233"/>
      <c r="K111" s="233"/>
      <c r="L111" s="233"/>
      <c r="M111" s="235"/>
      <c r="N111" s="236"/>
      <c r="O111" s="235"/>
      <c r="P111" s="236"/>
      <c r="Q111" s="236"/>
      <c r="R111" s="236"/>
      <c r="S111" s="237"/>
      <c r="T111" s="236"/>
      <c r="U111" s="233"/>
      <c r="V111" s="233"/>
      <c r="W111" s="233"/>
      <c r="X111" s="238"/>
    </row>
    <row r="112" spans="1:24" s="3" customFormat="1">
      <c r="A112" s="233"/>
      <c r="B112" s="438" t="s">
        <v>152</v>
      </c>
      <c r="C112" s="439"/>
      <c r="D112" s="438" t="s">
        <v>153</v>
      </c>
      <c r="E112" s="439"/>
      <c r="F112" s="123" t="s">
        <v>154</v>
      </c>
      <c r="G112" s="123" t="s">
        <v>155</v>
      </c>
      <c r="H112" s="123" t="s">
        <v>156</v>
      </c>
      <c r="I112" s="123" t="s">
        <v>157</v>
      </c>
      <c r="J112" s="123" t="s">
        <v>97</v>
      </c>
      <c r="K112" s="233"/>
      <c r="L112" s="233"/>
      <c r="M112" s="235"/>
      <c r="N112" s="236"/>
      <c r="O112" s="235"/>
      <c r="P112" s="236"/>
      <c r="Q112" s="236"/>
      <c r="R112" s="236"/>
      <c r="S112" s="237"/>
      <c r="T112" s="236"/>
      <c r="U112" s="233"/>
      <c r="V112" s="233"/>
      <c r="W112" s="233"/>
      <c r="X112" s="238"/>
    </row>
    <row r="113" spans="1:24" s="3" customFormat="1">
      <c r="A113" s="233"/>
      <c r="B113" s="435"/>
      <c r="C113" s="435"/>
      <c r="D113" s="435"/>
      <c r="E113" s="435"/>
      <c r="F113" s="50"/>
      <c r="G113" s="62"/>
      <c r="H113" s="185"/>
      <c r="I113" s="186">
        <f t="shared" ref="I113:I142" si="10">IF(B113=0,0,H113*G113*F113)</f>
        <v>0</v>
      </c>
      <c r="J113" s="59"/>
      <c r="K113" s="233"/>
      <c r="L113" s="233"/>
      <c r="M113" s="235"/>
      <c r="N113" s="236"/>
      <c r="O113" s="235"/>
      <c r="P113" s="236"/>
      <c r="Q113" s="236"/>
      <c r="R113" s="236"/>
      <c r="S113" s="237"/>
      <c r="T113" s="236"/>
      <c r="U113" s="233"/>
      <c r="V113" s="233"/>
      <c r="W113" s="233"/>
      <c r="X113" s="238"/>
    </row>
    <row r="114" spans="1:24" s="3" customFormat="1">
      <c r="A114" s="233"/>
      <c r="B114" s="435"/>
      <c r="C114" s="435"/>
      <c r="D114" s="435"/>
      <c r="E114" s="435"/>
      <c r="F114" s="50"/>
      <c r="G114" s="62"/>
      <c r="H114" s="185"/>
      <c r="I114" s="186">
        <f t="shared" si="10"/>
        <v>0</v>
      </c>
      <c r="J114" s="59"/>
      <c r="K114" s="233"/>
      <c r="L114" s="233"/>
      <c r="M114" s="235"/>
      <c r="N114" s="236"/>
      <c r="O114" s="235"/>
      <c r="P114" s="236"/>
      <c r="Q114" s="236"/>
      <c r="R114" s="236"/>
      <c r="S114" s="237"/>
      <c r="T114" s="236"/>
      <c r="U114" s="233"/>
      <c r="V114" s="233"/>
      <c r="W114" s="233"/>
      <c r="X114" s="238"/>
    </row>
    <row r="115" spans="1:24" s="3" customFormat="1">
      <c r="A115" s="233"/>
      <c r="B115" s="435"/>
      <c r="C115" s="435"/>
      <c r="D115" s="435"/>
      <c r="E115" s="435"/>
      <c r="F115" s="50"/>
      <c r="G115" s="62"/>
      <c r="H115" s="185"/>
      <c r="I115" s="186">
        <f t="shared" si="10"/>
        <v>0</v>
      </c>
      <c r="J115" s="59"/>
      <c r="K115" s="233"/>
      <c r="L115" s="233"/>
      <c r="M115" s="235"/>
      <c r="N115" s="236"/>
      <c r="O115" s="235"/>
      <c r="P115" s="236"/>
      <c r="Q115" s="236"/>
      <c r="R115" s="236"/>
      <c r="S115" s="237"/>
      <c r="T115" s="236"/>
      <c r="U115" s="233"/>
      <c r="V115" s="233"/>
      <c r="W115" s="233"/>
      <c r="X115" s="238"/>
    </row>
    <row r="116" spans="1:24" s="3" customFormat="1">
      <c r="A116" s="233"/>
      <c r="B116" s="435"/>
      <c r="C116" s="435"/>
      <c r="D116" s="435"/>
      <c r="E116" s="435"/>
      <c r="F116" s="50"/>
      <c r="G116" s="62"/>
      <c r="H116" s="185"/>
      <c r="I116" s="186">
        <f t="shared" si="10"/>
        <v>0</v>
      </c>
      <c r="J116" s="59"/>
      <c r="K116" s="233"/>
      <c r="L116" s="233"/>
      <c r="M116" s="235"/>
      <c r="N116" s="236"/>
      <c r="O116" s="235"/>
      <c r="P116" s="236"/>
      <c r="Q116" s="236"/>
      <c r="R116" s="236"/>
      <c r="S116" s="237"/>
      <c r="T116" s="236"/>
      <c r="U116" s="233"/>
      <c r="V116" s="233"/>
      <c r="W116" s="233"/>
      <c r="X116" s="238"/>
    </row>
    <row r="117" spans="1:24" s="3" customFormat="1">
      <c r="A117" s="233"/>
      <c r="B117" s="435"/>
      <c r="C117" s="435"/>
      <c r="D117" s="435"/>
      <c r="E117" s="435"/>
      <c r="F117" s="50"/>
      <c r="G117" s="62"/>
      <c r="H117" s="185"/>
      <c r="I117" s="186">
        <f t="shared" si="10"/>
        <v>0</v>
      </c>
      <c r="J117" s="59"/>
      <c r="K117" s="233"/>
      <c r="L117" s="233"/>
      <c r="M117" s="235"/>
      <c r="N117" s="236"/>
      <c r="O117" s="235"/>
      <c r="P117" s="236"/>
      <c r="Q117" s="236"/>
      <c r="R117" s="236"/>
      <c r="S117" s="237"/>
      <c r="T117" s="236"/>
      <c r="U117" s="233"/>
      <c r="V117" s="233"/>
      <c r="W117" s="233"/>
      <c r="X117" s="238"/>
    </row>
    <row r="118" spans="1:24" s="3" customFormat="1">
      <c r="A118" s="233"/>
      <c r="B118" s="435"/>
      <c r="C118" s="435"/>
      <c r="D118" s="435"/>
      <c r="E118" s="435"/>
      <c r="F118" s="50"/>
      <c r="G118" s="62"/>
      <c r="H118" s="185"/>
      <c r="I118" s="186">
        <f t="shared" si="10"/>
        <v>0</v>
      </c>
      <c r="J118" s="59"/>
      <c r="K118" s="233"/>
      <c r="L118" s="233"/>
      <c r="M118" s="235"/>
      <c r="N118" s="236"/>
      <c r="O118" s="235"/>
      <c r="P118" s="236"/>
      <c r="Q118" s="236"/>
      <c r="R118" s="236"/>
      <c r="S118" s="237"/>
      <c r="T118" s="236"/>
      <c r="U118" s="233"/>
      <c r="V118" s="233"/>
      <c r="W118" s="233"/>
      <c r="X118" s="238"/>
    </row>
    <row r="119" spans="1:24" s="3" customFormat="1">
      <c r="A119" s="233"/>
      <c r="B119" s="435"/>
      <c r="C119" s="435"/>
      <c r="D119" s="435"/>
      <c r="E119" s="435"/>
      <c r="F119" s="50"/>
      <c r="G119" s="62"/>
      <c r="H119" s="185"/>
      <c r="I119" s="186">
        <f t="shared" si="10"/>
        <v>0</v>
      </c>
      <c r="J119" s="59"/>
      <c r="K119" s="233"/>
      <c r="L119" s="233"/>
      <c r="M119" s="235"/>
      <c r="N119" s="236"/>
      <c r="O119" s="235"/>
      <c r="P119" s="236"/>
      <c r="Q119" s="236"/>
      <c r="R119" s="236"/>
      <c r="S119" s="237"/>
      <c r="T119" s="236"/>
      <c r="U119" s="233"/>
      <c r="V119" s="233"/>
      <c r="W119" s="233"/>
      <c r="X119" s="238"/>
    </row>
    <row r="120" spans="1:24" s="3" customFormat="1">
      <c r="A120" s="233"/>
      <c r="B120" s="435"/>
      <c r="C120" s="435"/>
      <c r="D120" s="435"/>
      <c r="E120" s="435"/>
      <c r="F120" s="50"/>
      <c r="G120" s="62"/>
      <c r="H120" s="185"/>
      <c r="I120" s="186">
        <f t="shared" si="10"/>
        <v>0</v>
      </c>
      <c r="J120" s="59"/>
      <c r="K120" s="233"/>
      <c r="L120" s="233"/>
      <c r="M120" s="235"/>
      <c r="N120" s="236"/>
      <c r="O120" s="235"/>
      <c r="P120" s="236"/>
      <c r="Q120" s="236"/>
      <c r="R120" s="236"/>
      <c r="S120" s="237"/>
      <c r="T120" s="236"/>
      <c r="U120" s="233"/>
      <c r="V120" s="233"/>
      <c r="W120" s="233"/>
      <c r="X120" s="238"/>
    </row>
    <row r="121" spans="1:24" s="3" customFormat="1">
      <c r="A121" s="233"/>
      <c r="B121" s="435"/>
      <c r="C121" s="435"/>
      <c r="D121" s="435"/>
      <c r="E121" s="435"/>
      <c r="F121" s="50"/>
      <c r="G121" s="62"/>
      <c r="H121" s="185"/>
      <c r="I121" s="186">
        <f t="shared" si="10"/>
        <v>0</v>
      </c>
      <c r="J121" s="59"/>
      <c r="K121" s="233"/>
      <c r="L121" s="233"/>
      <c r="M121" s="235"/>
      <c r="N121" s="236"/>
      <c r="O121" s="235"/>
      <c r="P121" s="236"/>
      <c r="Q121" s="236"/>
      <c r="R121" s="236"/>
      <c r="S121" s="237"/>
      <c r="T121" s="236"/>
      <c r="U121" s="233"/>
      <c r="V121" s="233"/>
      <c r="W121" s="233"/>
      <c r="X121" s="238"/>
    </row>
    <row r="122" spans="1:24" s="3" customFormat="1">
      <c r="A122" s="233"/>
      <c r="B122" s="435"/>
      <c r="C122" s="435"/>
      <c r="D122" s="435"/>
      <c r="E122" s="435"/>
      <c r="F122" s="50"/>
      <c r="G122" s="62"/>
      <c r="H122" s="185"/>
      <c r="I122" s="186">
        <f t="shared" si="10"/>
        <v>0</v>
      </c>
      <c r="J122" s="59"/>
      <c r="K122" s="233"/>
      <c r="L122" s="233"/>
      <c r="M122" s="235"/>
      <c r="N122" s="236"/>
      <c r="O122" s="235"/>
      <c r="P122" s="236"/>
      <c r="Q122" s="236"/>
      <c r="R122" s="236"/>
      <c r="S122" s="237"/>
      <c r="T122" s="236"/>
      <c r="U122" s="233"/>
      <c r="V122" s="233"/>
      <c r="W122" s="233"/>
      <c r="X122" s="238"/>
    </row>
    <row r="123" spans="1:24" s="3" customFormat="1">
      <c r="A123" s="233"/>
      <c r="B123" s="435"/>
      <c r="C123" s="435"/>
      <c r="D123" s="435"/>
      <c r="E123" s="435"/>
      <c r="F123" s="50"/>
      <c r="G123" s="62"/>
      <c r="H123" s="185"/>
      <c r="I123" s="186">
        <f t="shared" si="10"/>
        <v>0</v>
      </c>
      <c r="J123" s="59"/>
      <c r="K123" s="233"/>
      <c r="L123" s="233"/>
      <c r="M123" s="235"/>
      <c r="N123" s="236"/>
      <c r="O123" s="235"/>
      <c r="P123" s="236"/>
      <c r="Q123" s="236"/>
      <c r="R123" s="236"/>
      <c r="S123" s="237"/>
      <c r="T123" s="236"/>
      <c r="U123" s="233"/>
      <c r="V123" s="233"/>
      <c r="W123" s="233"/>
      <c r="X123" s="238"/>
    </row>
    <row r="124" spans="1:24" s="3" customFormat="1">
      <c r="A124" s="233"/>
      <c r="B124" s="435"/>
      <c r="C124" s="435"/>
      <c r="D124" s="435"/>
      <c r="E124" s="435"/>
      <c r="F124" s="50"/>
      <c r="G124" s="62"/>
      <c r="H124" s="185"/>
      <c r="I124" s="186">
        <f t="shared" si="10"/>
        <v>0</v>
      </c>
      <c r="J124" s="59"/>
      <c r="K124" s="233"/>
      <c r="L124" s="233"/>
      <c r="M124" s="235"/>
      <c r="N124" s="236"/>
      <c r="O124" s="235"/>
      <c r="P124" s="236"/>
      <c r="Q124" s="236"/>
      <c r="R124" s="236"/>
      <c r="S124" s="237"/>
      <c r="T124" s="236"/>
      <c r="U124" s="233"/>
      <c r="V124" s="233"/>
      <c r="W124" s="233"/>
      <c r="X124" s="238"/>
    </row>
    <row r="125" spans="1:24" s="3" customFormat="1">
      <c r="A125" s="233"/>
      <c r="B125" s="435"/>
      <c r="C125" s="435"/>
      <c r="D125" s="435"/>
      <c r="E125" s="435"/>
      <c r="F125" s="50"/>
      <c r="G125" s="62"/>
      <c r="H125" s="185"/>
      <c r="I125" s="186">
        <f t="shared" si="10"/>
        <v>0</v>
      </c>
      <c r="J125" s="59"/>
      <c r="K125" s="233"/>
      <c r="L125" s="233"/>
      <c r="M125" s="235"/>
      <c r="N125" s="236"/>
      <c r="O125" s="235"/>
      <c r="P125" s="236"/>
      <c r="Q125" s="236"/>
      <c r="R125" s="236"/>
      <c r="S125" s="237"/>
      <c r="T125" s="236"/>
      <c r="U125" s="233"/>
      <c r="V125" s="233"/>
      <c r="W125" s="233"/>
      <c r="X125" s="238"/>
    </row>
    <row r="126" spans="1:24" s="3" customFormat="1">
      <c r="A126" s="233"/>
      <c r="B126" s="435"/>
      <c r="C126" s="435"/>
      <c r="D126" s="435"/>
      <c r="E126" s="435"/>
      <c r="F126" s="50"/>
      <c r="G126" s="62"/>
      <c r="H126" s="185"/>
      <c r="I126" s="186">
        <f t="shared" si="10"/>
        <v>0</v>
      </c>
      <c r="J126" s="59"/>
      <c r="K126" s="233"/>
      <c r="L126" s="233"/>
      <c r="M126" s="235"/>
      <c r="N126" s="236"/>
      <c r="O126" s="235"/>
      <c r="P126" s="236"/>
      <c r="Q126" s="236"/>
      <c r="R126" s="236"/>
      <c r="S126" s="237"/>
      <c r="T126" s="236"/>
      <c r="U126" s="233"/>
      <c r="V126" s="233"/>
      <c r="W126" s="233"/>
      <c r="X126" s="238"/>
    </row>
    <row r="127" spans="1:24" s="3" customFormat="1">
      <c r="A127" s="233"/>
      <c r="B127" s="435"/>
      <c r="C127" s="435"/>
      <c r="D127" s="435"/>
      <c r="E127" s="435"/>
      <c r="F127" s="50"/>
      <c r="G127" s="62"/>
      <c r="H127" s="185"/>
      <c r="I127" s="186">
        <f t="shared" si="10"/>
        <v>0</v>
      </c>
      <c r="J127" s="59"/>
      <c r="K127" s="233"/>
      <c r="L127" s="233"/>
      <c r="M127" s="235"/>
      <c r="N127" s="236"/>
      <c r="O127" s="235"/>
      <c r="P127" s="236"/>
      <c r="Q127" s="236"/>
      <c r="R127" s="236"/>
      <c r="S127" s="237"/>
      <c r="T127" s="236"/>
      <c r="U127" s="233"/>
      <c r="V127" s="233"/>
      <c r="W127" s="233"/>
      <c r="X127" s="238"/>
    </row>
    <row r="128" spans="1:24" s="3" customFormat="1">
      <c r="A128" s="233"/>
      <c r="B128" s="435"/>
      <c r="C128" s="435"/>
      <c r="D128" s="435"/>
      <c r="E128" s="435"/>
      <c r="F128" s="50"/>
      <c r="G128" s="62"/>
      <c r="H128" s="185"/>
      <c r="I128" s="186">
        <f t="shared" si="10"/>
        <v>0</v>
      </c>
      <c r="J128" s="59"/>
      <c r="K128" s="233"/>
      <c r="L128" s="233"/>
      <c r="M128" s="235"/>
      <c r="N128" s="236"/>
      <c r="O128" s="235"/>
      <c r="P128" s="236"/>
      <c r="Q128" s="236"/>
      <c r="R128" s="236"/>
      <c r="S128" s="237"/>
      <c r="T128" s="236"/>
      <c r="U128" s="233"/>
      <c r="V128" s="233"/>
      <c r="W128" s="233"/>
      <c r="X128" s="238"/>
    </row>
    <row r="129" spans="1:24" s="3" customFormat="1">
      <c r="A129" s="233"/>
      <c r="B129" s="435"/>
      <c r="C129" s="435"/>
      <c r="D129" s="435"/>
      <c r="E129" s="435"/>
      <c r="F129" s="50"/>
      <c r="G129" s="62"/>
      <c r="H129" s="185"/>
      <c r="I129" s="186">
        <f t="shared" si="10"/>
        <v>0</v>
      </c>
      <c r="J129" s="59"/>
      <c r="K129" s="233"/>
      <c r="L129" s="233"/>
      <c r="M129" s="235"/>
      <c r="N129" s="236"/>
      <c r="O129" s="235"/>
      <c r="P129" s="236"/>
      <c r="Q129" s="236"/>
      <c r="R129" s="236"/>
      <c r="S129" s="237"/>
      <c r="T129" s="236"/>
      <c r="U129" s="233"/>
      <c r="V129" s="233"/>
      <c r="W129" s="233"/>
      <c r="X129" s="238"/>
    </row>
    <row r="130" spans="1:24" s="3" customFormat="1">
      <c r="A130" s="233"/>
      <c r="B130" s="435"/>
      <c r="C130" s="435"/>
      <c r="D130" s="435"/>
      <c r="E130" s="435"/>
      <c r="F130" s="50"/>
      <c r="G130" s="62"/>
      <c r="H130" s="185"/>
      <c r="I130" s="186">
        <f t="shared" si="10"/>
        <v>0</v>
      </c>
      <c r="J130" s="59"/>
      <c r="K130" s="233"/>
      <c r="L130" s="233"/>
      <c r="M130" s="235"/>
      <c r="N130" s="236"/>
      <c r="O130" s="235"/>
      <c r="P130" s="236"/>
      <c r="Q130" s="236"/>
      <c r="R130" s="236"/>
      <c r="S130" s="237"/>
      <c r="T130" s="236"/>
      <c r="U130" s="233"/>
      <c r="V130" s="233"/>
      <c r="W130" s="233"/>
      <c r="X130" s="238"/>
    </row>
    <row r="131" spans="1:24" s="3" customFormat="1">
      <c r="A131" s="233"/>
      <c r="B131" s="435"/>
      <c r="C131" s="435"/>
      <c r="D131" s="435"/>
      <c r="E131" s="435"/>
      <c r="F131" s="50"/>
      <c r="G131" s="62"/>
      <c r="H131" s="185"/>
      <c r="I131" s="186">
        <f t="shared" si="10"/>
        <v>0</v>
      </c>
      <c r="J131" s="59"/>
      <c r="K131" s="233"/>
      <c r="L131" s="233"/>
      <c r="M131" s="235"/>
      <c r="N131" s="236"/>
      <c r="O131" s="235"/>
      <c r="P131" s="236"/>
      <c r="Q131" s="236"/>
      <c r="R131" s="236"/>
      <c r="S131" s="237"/>
      <c r="T131" s="236"/>
      <c r="U131" s="233"/>
      <c r="V131" s="233"/>
      <c r="W131" s="233"/>
      <c r="X131" s="238"/>
    </row>
    <row r="132" spans="1:24" s="3" customFormat="1">
      <c r="A132" s="233"/>
      <c r="B132" s="435"/>
      <c r="C132" s="435"/>
      <c r="D132" s="435"/>
      <c r="E132" s="435"/>
      <c r="F132" s="50"/>
      <c r="G132" s="62"/>
      <c r="H132" s="185"/>
      <c r="I132" s="186">
        <f t="shared" si="10"/>
        <v>0</v>
      </c>
      <c r="J132" s="59"/>
      <c r="K132" s="233"/>
      <c r="L132" s="233"/>
      <c r="M132" s="235"/>
      <c r="N132" s="236"/>
      <c r="O132" s="235"/>
      <c r="P132" s="236"/>
      <c r="Q132" s="236"/>
      <c r="R132" s="236"/>
      <c r="S132" s="237"/>
      <c r="T132" s="236"/>
      <c r="U132" s="233"/>
      <c r="V132" s="233"/>
      <c r="W132" s="233"/>
      <c r="X132" s="238"/>
    </row>
    <row r="133" spans="1:24" s="3" customFormat="1">
      <c r="A133" s="233"/>
      <c r="B133" s="435"/>
      <c r="C133" s="435"/>
      <c r="D133" s="435"/>
      <c r="E133" s="435"/>
      <c r="F133" s="50"/>
      <c r="G133" s="62"/>
      <c r="H133" s="185"/>
      <c r="I133" s="186">
        <f t="shared" si="10"/>
        <v>0</v>
      </c>
      <c r="J133" s="59"/>
      <c r="K133" s="233"/>
      <c r="L133" s="233"/>
      <c r="M133" s="235"/>
      <c r="N133" s="236"/>
      <c r="O133" s="235"/>
      <c r="P133" s="236"/>
      <c r="Q133" s="236"/>
      <c r="R133" s="236"/>
      <c r="S133" s="237"/>
      <c r="T133" s="236"/>
      <c r="U133" s="233"/>
      <c r="V133" s="233"/>
      <c r="W133" s="233"/>
      <c r="X133" s="238"/>
    </row>
    <row r="134" spans="1:24" s="3" customFormat="1">
      <c r="A134" s="233"/>
      <c r="B134" s="435"/>
      <c r="C134" s="435"/>
      <c r="D134" s="435"/>
      <c r="E134" s="435"/>
      <c r="F134" s="50"/>
      <c r="G134" s="62"/>
      <c r="H134" s="185"/>
      <c r="I134" s="186">
        <f t="shared" si="10"/>
        <v>0</v>
      </c>
      <c r="J134" s="59"/>
      <c r="K134" s="233"/>
      <c r="L134" s="233"/>
      <c r="M134" s="235"/>
      <c r="N134" s="236"/>
      <c r="O134" s="235"/>
      <c r="P134" s="236"/>
      <c r="Q134" s="236"/>
      <c r="R134" s="236"/>
      <c r="S134" s="237"/>
      <c r="T134" s="236"/>
      <c r="U134" s="233"/>
      <c r="V134" s="233"/>
      <c r="W134" s="233"/>
      <c r="X134" s="238"/>
    </row>
    <row r="135" spans="1:24" s="3" customFormat="1">
      <c r="A135" s="233"/>
      <c r="B135" s="435"/>
      <c r="C135" s="435"/>
      <c r="D135" s="435"/>
      <c r="E135" s="435"/>
      <c r="F135" s="50"/>
      <c r="G135" s="62"/>
      <c r="H135" s="185"/>
      <c r="I135" s="186">
        <f t="shared" si="10"/>
        <v>0</v>
      </c>
      <c r="J135" s="59"/>
      <c r="K135" s="233"/>
      <c r="L135" s="233"/>
      <c r="M135" s="235"/>
      <c r="N135" s="236"/>
      <c r="O135" s="235"/>
      <c r="P135" s="236"/>
      <c r="Q135" s="236"/>
      <c r="R135" s="236"/>
      <c r="S135" s="237"/>
      <c r="T135" s="236"/>
      <c r="U135" s="233"/>
      <c r="V135" s="233"/>
      <c r="W135" s="233"/>
      <c r="X135" s="238"/>
    </row>
    <row r="136" spans="1:24" s="3" customFormat="1">
      <c r="A136" s="233"/>
      <c r="B136" s="435"/>
      <c r="C136" s="435"/>
      <c r="D136" s="435"/>
      <c r="E136" s="435"/>
      <c r="F136" s="50"/>
      <c r="G136" s="62"/>
      <c r="H136" s="185"/>
      <c r="I136" s="186">
        <f t="shared" si="10"/>
        <v>0</v>
      </c>
      <c r="J136" s="59"/>
      <c r="K136" s="233"/>
      <c r="L136" s="233"/>
      <c r="M136" s="235"/>
      <c r="N136" s="236"/>
      <c r="O136" s="235"/>
      <c r="P136" s="236"/>
      <c r="Q136" s="236"/>
      <c r="R136" s="236"/>
      <c r="S136" s="237"/>
      <c r="T136" s="236"/>
      <c r="U136" s="233"/>
      <c r="V136" s="233"/>
      <c r="W136" s="233"/>
      <c r="X136" s="238"/>
    </row>
    <row r="137" spans="1:24" s="3" customFormat="1">
      <c r="A137" s="233"/>
      <c r="B137" s="435"/>
      <c r="C137" s="435"/>
      <c r="D137" s="435"/>
      <c r="E137" s="435"/>
      <c r="F137" s="50"/>
      <c r="G137" s="62"/>
      <c r="H137" s="185"/>
      <c r="I137" s="186">
        <f t="shared" si="10"/>
        <v>0</v>
      </c>
      <c r="J137" s="59"/>
      <c r="K137" s="233"/>
      <c r="L137" s="233"/>
      <c r="M137" s="235"/>
      <c r="N137" s="236"/>
      <c r="O137" s="235"/>
      <c r="P137" s="236"/>
      <c r="Q137" s="236"/>
      <c r="R137" s="236"/>
      <c r="S137" s="237"/>
      <c r="T137" s="236"/>
      <c r="U137" s="233"/>
      <c r="V137" s="233"/>
      <c r="W137" s="233"/>
      <c r="X137" s="238"/>
    </row>
    <row r="138" spans="1:24" s="3" customFormat="1">
      <c r="A138" s="233"/>
      <c r="B138" s="435"/>
      <c r="C138" s="435"/>
      <c r="D138" s="435"/>
      <c r="E138" s="435"/>
      <c r="F138" s="50"/>
      <c r="G138" s="62"/>
      <c r="H138" s="185"/>
      <c r="I138" s="186">
        <f t="shared" si="10"/>
        <v>0</v>
      </c>
      <c r="J138" s="59"/>
      <c r="K138" s="233"/>
      <c r="L138" s="233"/>
      <c r="M138" s="235"/>
      <c r="N138" s="236"/>
      <c r="O138" s="235"/>
      <c r="P138" s="236"/>
      <c r="Q138" s="236"/>
      <c r="R138" s="236"/>
      <c r="S138" s="237"/>
      <c r="T138" s="236"/>
      <c r="U138" s="233"/>
      <c r="V138" s="233"/>
      <c r="W138" s="233"/>
      <c r="X138" s="238"/>
    </row>
    <row r="139" spans="1:24" s="3" customFormat="1">
      <c r="A139" s="233"/>
      <c r="B139" s="435"/>
      <c r="C139" s="435"/>
      <c r="D139" s="435"/>
      <c r="E139" s="435"/>
      <c r="F139" s="50"/>
      <c r="G139" s="62"/>
      <c r="H139" s="185"/>
      <c r="I139" s="186">
        <f t="shared" si="10"/>
        <v>0</v>
      </c>
      <c r="J139" s="59"/>
      <c r="K139" s="233"/>
      <c r="L139" s="233"/>
      <c r="M139" s="235"/>
      <c r="N139" s="236"/>
      <c r="O139" s="235"/>
      <c r="P139" s="236"/>
      <c r="Q139" s="236"/>
      <c r="R139" s="236"/>
      <c r="S139" s="237"/>
      <c r="T139" s="236"/>
      <c r="U139" s="233"/>
      <c r="V139" s="233"/>
      <c r="W139" s="233"/>
      <c r="X139" s="238"/>
    </row>
    <row r="140" spans="1:24" s="3" customFormat="1">
      <c r="A140" s="233"/>
      <c r="B140" s="435"/>
      <c r="C140" s="435"/>
      <c r="D140" s="435"/>
      <c r="E140" s="435"/>
      <c r="F140" s="50"/>
      <c r="G140" s="62"/>
      <c r="H140" s="185"/>
      <c r="I140" s="186">
        <f t="shared" si="10"/>
        <v>0</v>
      </c>
      <c r="J140" s="59"/>
      <c r="K140" s="233"/>
      <c r="L140" s="233"/>
      <c r="M140" s="235"/>
      <c r="N140" s="236"/>
      <c r="O140" s="235"/>
      <c r="P140" s="236"/>
      <c r="Q140" s="236"/>
      <c r="R140" s="236"/>
      <c r="S140" s="237"/>
      <c r="T140" s="236"/>
      <c r="U140" s="233"/>
      <c r="V140" s="233"/>
      <c r="W140" s="233"/>
      <c r="X140" s="238"/>
    </row>
    <row r="141" spans="1:24" s="3" customFormat="1">
      <c r="A141" s="233"/>
      <c r="B141" s="435"/>
      <c r="C141" s="435"/>
      <c r="D141" s="435"/>
      <c r="E141" s="435"/>
      <c r="F141" s="50"/>
      <c r="G141" s="62"/>
      <c r="H141" s="185"/>
      <c r="I141" s="186">
        <f t="shared" si="10"/>
        <v>0</v>
      </c>
      <c r="J141" s="59"/>
      <c r="K141" s="233"/>
      <c r="L141" s="233"/>
      <c r="M141" s="235"/>
      <c r="N141" s="236"/>
      <c r="O141" s="235"/>
      <c r="P141" s="236"/>
      <c r="Q141" s="236"/>
      <c r="R141" s="236"/>
      <c r="S141" s="237"/>
      <c r="T141" s="236"/>
      <c r="U141" s="233"/>
      <c r="V141" s="233"/>
      <c r="W141" s="233"/>
      <c r="X141" s="238"/>
    </row>
    <row r="142" spans="1:24" s="3" customFormat="1">
      <c r="A142" s="233"/>
      <c r="B142" s="435"/>
      <c r="C142" s="435"/>
      <c r="D142" s="435"/>
      <c r="E142" s="435"/>
      <c r="F142" s="50"/>
      <c r="G142" s="62"/>
      <c r="H142" s="185"/>
      <c r="I142" s="186">
        <f t="shared" si="10"/>
        <v>0</v>
      </c>
      <c r="J142" s="59"/>
      <c r="K142" s="233"/>
      <c r="L142" s="233"/>
      <c r="M142" s="235"/>
      <c r="N142" s="236"/>
      <c r="O142" s="235"/>
      <c r="P142" s="236"/>
      <c r="Q142" s="236"/>
      <c r="R142" s="236"/>
      <c r="S142" s="237"/>
      <c r="T142" s="236"/>
      <c r="U142" s="233"/>
      <c r="V142" s="233"/>
      <c r="W142" s="233"/>
      <c r="X142" s="238"/>
    </row>
    <row r="143" spans="1:24" s="3" customFormat="1">
      <c r="A143" s="233"/>
      <c r="B143" s="136"/>
      <c r="C143" s="11"/>
      <c r="D143" s="234"/>
      <c r="E143" s="11"/>
      <c r="F143" s="233"/>
      <c r="G143" s="233"/>
      <c r="H143" s="233"/>
      <c r="I143" s="233"/>
      <c r="J143" s="233"/>
      <c r="K143" s="233"/>
      <c r="L143" s="233"/>
      <c r="M143" s="235"/>
      <c r="N143" s="236"/>
      <c r="O143" s="235"/>
      <c r="P143" s="236"/>
      <c r="Q143" s="236"/>
      <c r="R143" s="236"/>
      <c r="S143" s="237"/>
      <c r="T143" s="236"/>
      <c r="U143" s="233"/>
      <c r="V143" s="233"/>
      <c r="W143" s="233"/>
      <c r="X143" s="238"/>
    </row>
    <row r="144" spans="1:24" customFormat="1">
      <c r="B144" s="63"/>
      <c r="C144" s="63"/>
      <c r="D144" s="7"/>
      <c r="E144" s="7"/>
      <c r="F144" s="7"/>
      <c r="G144" s="7"/>
      <c r="H144" s="7"/>
      <c r="I144" s="7"/>
      <c r="J144" s="7"/>
      <c r="K144" s="7"/>
      <c r="L144" s="7"/>
      <c r="M144" s="7"/>
      <c r="N144" s="7"/>
      <c r="O144" s="7"/>
      <c r="P144" s="7"/>
      <c r="Q144" s="7"/>
      <c r="R144" s="7"/>
      <c r="S144" s="7"/>
      <c r="T144" s="7"/>
    </row>
    <row r="145" spans="1:24" customFormat="1">
      <c r="B145" s="64"/>
      <c r="C145" s="64"/>
      <c r="D145" s="65"/>
      <c r="E145" s="65"/>
      <c r="F145" s="65"/>
      <c r="G145" s="65"/>
      <c r="H145" s="65"/>
      <c r="I145" s="65"/>
      <c r="J145" s="65"/>
      <c r="K145" s="65"/>
      <c r="L145" s="65"/>
      <c r="M145" s="65"/>
      <c r="N145" s="65"/>
      <c r="O145" s="7"/>
      <c r="P145" s="7"/>
      <c r="Q145" s="7"/>
      <c r="R145" s="7"/>
      <c r="S145" s="7"/>
      <c r="T145" s="7"/>
    </row>
    <row r="146" spans="1:24" s="3" customFormat="1">
      <c r="A146" s="233"/>
      <c r="B146" s="136"/>
      <c r="C146" s="11"/>
      <c r="D146" s="234"/>
      <c r="E146" s="11"/>
      <c r="F146" s="233"/>
      <c r="G146" s="233"/>
      <c r="H146" s="233"/>
      <c r="I146" s="233"/>
      <c r="J146" s="233"/>
      <c r="K146" s="233"/>
      <c r="L146" s="233"/>
      <c r="M146" s="235"/>
      <c r="N146" s="236"/>
      <c r="O146" s="235"/>
      <c r="P146" s="236"/>
      <c r="Q146" s="236"/>
      <c r="R146" s="236"/>
      <c r="S146" s="237"/>
      <c r="T146" s="236"/>
      <c r="U146" s="233"/>
      <c r="V146" s="233"/>
      <c r="W146" s="233"/>
      <c r="X146" s="238"/>
    </row>
    <row r="147" spans="1:24" s="3" customFormat="1" ht="18">
      <c r="A147" s="233"/>
      <c r="B147" s="251" t="s">
        <v>245</v>
      </c>
      <c r="C147" s="11"/>
      <c r="D147" s="234"/>
      <c r="E147" s="11"/>
      <c r="F147" s="233"/>
      <c r="G147" s="233"/>
      <c r="H147" s="233"/>
      <c r="I147" s="233"/>
      <c r="J147" s="233"/>
      <c r="K147" s="233"/>
      <c r="L147" s="233"/>
      <c r="M147" s="235"/>
      <c r="N147" s="236"/>
      <c r="O147" s="235"/>
      <c r="P147" s="236"/>
      <c r="Q147" s="236"/>
      <c r="R147" s="236"/>
      <c r="S147" s="237"/>
      <c r="T147" s="236"/>
      <c r="U147" s="233"/>
      <c r="V147" s="233"/>
      <c r="W147" s="233"/>
      <c r="X147" s="238"/>
    </row>
    <row r="148" spans="1:24" s="3" customFormat="1">
      <c r="A148" s="233"/>
      <c r="B148" s="242" t="s">
        <v>246</v>
      </c>
      <c r="C148" s="11"/>
      <c r="D148" s="234"/>
      <c r="E148" s="11"/>
      <c r="F148" s="233"/>
      <c r="G148" s="233"/>
      <c r="H148" s="233"/>
      <c r="I148" s="233"/>
      <c r="J148" s="233"/>
      <c r="K148" s="233"/>
      <c r="L148" s="233"/>
      <c r="M148" s="235"/>
      <c r="N148" s="236"/>
      <c r="O148" s="235"/>
      <c r="P148" s="236"/>
      <c r="Q148" s="236"/>
      <c r="R148" s="236"/>
      <c r="S148" s="237"/>
      <c r="T148" s="236"/>
      <c r="U148" s="233"/>
      <c r="V148" s="233"/>
      <c r="W148" s="233"/>
      <c r="X148" s="238"/>
    </row>
    <row r="149" spans="1:24" s="3" customFormat="1">
      <c r="A149" s="233"/>
      <c r="B149" s="444" t="s">
        <v>81</v>
      </c>
      <c r="C149" s="445"/>
      <c r="D149" s="444" t="s">
        <v>153</v>
      </c>
      <c r="E149" s="445"/>
      <c r="F149" s="124" t="s">
        <v>154</v>
      </c>
      <c r="G149" s="124" t="s">
        <v>155</v>
      </c>
      <c r="H149" s="124" t="s">
        <v>156</v>
      </c>
      <c r="I149" s="124" t="s">
        <v>157</v>
      </c>
      <c r="J149" s="126" t="s">
        <v>97</v>
      </c>
      <c r="K149" s="233"/>
      <c r="L149" s="233"/>
      <c r="M149" s="235"/>
      <c r="N149" s="236"/>
      <c r="O149" s="235"/>
      <c r="P149" s="236"/>
      <c r="Q149" s="236"/>
      <c r="R149" s="236"/>
      <c r="S149" s="237"/>
      <c r="T149" s="236"/>
      <c r="U149" s="233"/>
      <c r="V149" s="233"/>
      <c r="W149" s="233"/>
      <c r="X149" s="238"/>
    </row>
    <row r="150" spans="1:24" s="3" customFormat="1">
      <c r="A150" s="233"/>
      <c r="B150" s="434" t="s">
        <v>151</v>
      </c>
      <c r="C150" s="434"/>
      <c r="D150" s="435"/>
      <c r="E150" s="435"/>
      <c r="F150" s="50"/>
      <c r="G150" s="62"/>
      <c r="H150" s="185"/>
      <c r="I150" s="186">
        <f t="shared" ref="I150:I159" si="11">IF(B150=0,0,H150*G150*F150)</f>
        <v>0</v>
      </c>
      <c r="J150" s="59"/>
      <c r="K150" s="233"/>
      <c r="L150" s="233"/>
      <c r="M150" s="235"/>
      <c r="N150" s="236"/>
      <c r="O150" s="235"/>
      <c r="P150" s="236"/>
      <c r="Q150" s="236"/>
      <c r="R150" s="236"/>
      <c r="S150" s="237"/>
      <c r="T150" s="236"/>
      <c r="U150" s="233"/>
      <c r="V150" s="233"/>
      <c r="W150" s="233"/>
      <c r="X150" s="238"/>
    </row>
    <row r="151" spans="1:24" s="3" customFormat="1">
      <c r="A151" s="233"/>
      <c r="B151" s="434" t="s">
        <v>151</v>
      </c>
      <c r="C151" s="434"/>
      <c r="D151" s="435"/>
      <c r="E151" s="435"/>
      <c r="F151" s="50"/>
      <c r="G151" s="62"/>
      <c r="H151" s="185"/>
      <c r="I151" s="186">
        <f t="shared" si="11"/>
        <v>0</v>
      </c>
      <c r="J151" s="59"/>
      <c r="K151" s="233"/>
      <c r="L151" s="233"/>
      <c r="M151" s="235"/>
      <c r="N151" s="236"/>
      <c r="O151" s="235"/>
      <c r="P151" s="236"/>
      <c r="Q151" s="236"/>
      <c r="R151" s="236"/>
      <c r="S151" s="237"/>
      <c r="T151" s="236"/>
      <c r="U151" s="233"/>
      <c r="V151" s="233"/>
      <c r="W151" s="233"/>
      <c r="X151" s="238"/>
    </row>
    <row r="152" spans="1:24" s="3" customFormat="1">
      <c r="A152" s="233"/>
      <c r="B152" s="434" t="s">
        <v>151</v>
      </c>
      <c r="C152" s="434"/>
      <c r="D152" s="435"/>
      <c r="E152" s="435"/>
      <c r="F152" s="50"/>
      <c r="G152" s="62"/>
      <c r="H152" s="185"/>
      <c r="I152" s="186">
        <f t="shared" si="11"/>
        <v>0</v>
      </c>
      <c r="J152" s="59"/>
      <c r="K152" s="233"/>
      <c r="L152" s="233"/>
      <c r="M152" s="235"/>
      <c r="N152" s="236"/>
      <c r="O152" s="235"/>
      <c r="P152" s="236"/>
      <c r="Q152" s="236"/>
      <c r="R152" s="236"/>
      <c r="S152" s="237"/>
      <c r="T152" s="236"/>
      <c r="U152" s="233"/>
      <c r="V152" s="233"/>
      <c r="W152" s="233"/>
      <c r="X152" s="238"/>
    </row>
    <row r="153" spans="1:24" s="3" customFormat="1">
      <c r="A153" s="233"/>
      <c r="B153" s="434" t="s">
        <v>151</v>
      </c>
      <c r="C153" s="434"/>
      <c r="D153" s="435"/>
      <c r="E153" s="435"/>
      <c r="F153" s="50"/>
      <c r="G153" s="62"/>
      <c r="H153" s="185"/>
      <c r="I153" s="186">
        <f t="shared" si="11"/>
        <v>0</v>
      </c>
      <c r="J153" s="59"/>
      <c r="K153" s="233"/>
      <c r="L153" s="233"/>
      <c r="M153" s="235"/>
      <c r="N153" s="236"/>
      <c r="O153" s="235"/>
      <c r="P153" s="236"/>
      <c r="Q153" s="236"/>
      <c r="R153" s="236"/>
      <c r="S153" s="237"/>
      <c r="T153" s="236"/>
      <c r="U153" s="233"/>
      <c r="V153" s="233"/>
      <c r="W153" s="233"/>
      <c r="X153" s="238"/>
    </row>
    <row r="154" spans="1:24" s="3" customFormat="1">
      <c r="A154" s="233"/>
      <c r="B154" s="434" t="s">
        <v>151</v>
      </c>
      <c r="C154" s="434"/>
      <c r="D154" s="435"/>
      <c r="E154" s="435"/>
      <c r="F154" s="50"/>
      <c r="G154" s="62"/>
      <c r="H154" s="185"/>
      <c r="I154" s="186">
        <f t="shared" si="11"/>
        <v>0</v>
      </c>
      <c r="J154" s="59"/>
      <c r="K154" s="233"/>
      <c r="L154" s="233"/>
      <c r="M154" s="235"/>
      <c r="N154" s="236"/>
      <c r="O154" s="235"/>
      <c r="P154" s="236"/>
      <c r="Q154" s="236"/>
      <c r="R154" s="236"/>
      <c r="S154" s="237"/>
      <c r="T154" s="236"/>
      <c r="U154" s="233"/>
      <c r="V154" s="233"/>
      <c r="W154" s="233"/>
      <c r="X154" s="238"/>
    </row>
    <row r="155" spans="1:24" s="3" customFormat="1">
      <c r="A155" s="233"/>
      <c r="B155" s="434" t="s">
        <v>151</v>
      </c>
      <c r="C155" s="434"/>
      <c r="D155" s="435"/>
      <c r="E155" s="435"/>
      <c r="F155" s="50"/>
      <c r="G155" s="62"/>
      <c r="H155" s="185"/>
      <c r="I155" s="186">
        <f t="shared" si="11"/>
        <v>0</v>
      </c>
      <c r="J155" s="59"/>
      <c r="K155" s="233"/>
      <c r="L155" s="233"/>
      <c r="M155" s="235"/>
      <c r="N155" s="236"/>
      <c r="O155" s="235"/>
      <c r="P155" s="236"/>
      <c r="Q155" s="236"/>
      <c r="R155" s="236"/>
      <c r="S155" s="237"/>
      <c r="T155" s="236"/>
      <c r="U155" s="233"/>
      <c r="V155" s="233"/>
      <c r="W155" s="233"/>
      <c r="X155" s="238"/>
    </row>
    <row r="156" spans="1:24" s="3" customFormat="1">
      <c r="A156" s="233"/>
      <c r="B156" s="434" t="s">
        <v>151</v>
      </c>
      <c r="C156" s="434"/>
      <c r="D156" s="435"/>
      <c r="E156" s="435"/>
      <c r="F156" s="50"/>
      <c r="G156" s="62"/>
      <c r="H156" s="185"/>
      <c r="I156" s="186">
        <f t="shared" si="11"/>
        <v>0</v>
      </c>
      <c r="J156" s="59"/>
      <c r="K156" s="233"/>
      <c r="L156" s="233"/>
      <c r="M156" s="235"/>
      <c r="N156" s="236"/>
      <c r="O156" s="235"/>
      <c r="P156" s="236"/>
      <c r="Q156" s="236"/>
      <c r="R156" s="236"/>
      <c r="S156" s="237"/>
      <c r="T156" s="236"/>
      <c r="U156" s="233"/>
      <c r="V156" s="233"/>
      <c r="W156" s="233"/>
      <c r="X156" s="238"/>
    </row>
    <row r="157" spans="1:24" s="3" customFormat="1">
      <c r="A157" s="233"/>
      <c r="B157" s="434" t="s">
        <v>151</v>
      </c>
      <c r="C157" s="434"/>
      <c r="D157" s="435"/>
      <c r="E157" s="435"/>
      <c r="F157" s="50"/>
      <c r="G157" s="62"/>
      <c r="H157" s="185"/>
      <c r="I157" s="186">
        <f t="shared" si="11"/>
        <v>0</v>
      </c>
      <c r="J157" s="59"/>
      <c r="K157" s="233"/>
      <c r="L157" s="233"/>
      <c r="M157" s="235"/>
      <c r="N157" s="236"/>
      <c r="O157" s="235"/>
      <c r="P157" s="236"/>
      <c r="Q157" s="236"/>
      <c r="R157" s="236"/>
      <c r="S157" s="237"/>
      <c r="T157" s="236"/>
      <c r="U157" s="233"/>
      <c r="V157" s="233"/>
      <c r="W157" s="233"/>
      <c r="X157" s="238"/>
    </row>
    <row r="158" spans="1:24" s="3" customFormat="1">
      <c r="A158" s="233"/>
      <c r="B158" s="434" t="s">
        <v>151</v>
      </c>
      <c r="C158" s="434"/>
      <c r="D158" s="435"/>
      <c r="E158" s="435"/>
      <c r="F158" s="50"/>
      <c r="G158" s="62"/>
      <c r="H158" s="185"/>
      <c r="I158" s="186">
        <f t="shared" si="11"/>
        <v>0</v>
      </c>
      <c r="J158" s="59"/>
      <c r="K158" s="233"/>
      <c r="L158" s="233"/>
      <c r="M158" s="235"/>
      <c r="N158" s="236"/>
      <c r="O158" s="235"/>
      <c r="P158" s="236"/>
      <c r="Q158" s="236"/>
      <c r="R158" s="236"/>
      <c r="S158" s="237"/>
      <c r="T158" s="236"/>
      <c r="U158" s="233"/>
      <c r="V158" s="233"/>
      <c r="W158" s="233"/>
      <c r="X158" s="238"/>
    </row>
    <row r="159" spans="1:24" s="3" customFormat="1">
      <c r="A159" s="233"/>
      <c r="B159" s="434" t="s">
        <v>151</v>
      </c>
      <c r="C159" s="434"/>
      <c r="D159" s="435"/>
      <c r="E159" s="435"/>
      <c r="F159" s="50"/>
      <c r="G159" s="62"/>
      <c r="H159" s="185"/>
      <c r="I159" s="186">
        <f t="shared" si="11"/>
        <v>0</v>
      </c>
      <c r="J159" s="59"/>
      <c r="K159" s="233"/>
      <c r="L159" s="233"/>
      <c r="M159" s="235"/>
      <c r="N159" s="236"/>
      <c r="O159" s="235"/>
      <c r="P159" s="236"/>
      <c r="Q159" s="236"/>
      <c r="R159" s="236"/>
      <c r="S159" s="237"/>
      <c r="T159" s="236"/>
      <c r="U159" s="233"/>
      <c r="V159" s="233"/>
      <c r="W159" s="233"/>
      <c r="X159" s="238"/>
    </row>
    <row r="160" spans="1:24" s="3" customFormat="1">
      <c r="A160" s="233"/>
      <c r="B160" s="233"/>
      <c r="C160" s="233"/>
      <c r="D160" s="233"/>
      <c r="E160" s="233"/>
      <c r="F160" s="233"/>
      <c r="G160" s="233"/>
      <c r="H160" s="233"/>
      <c r="I160" s="233"/>
      <c r="J160" s="233"/>
      <c r="K160" s="233"/>
      <c r="L160" s="233"/>
      <c r="M160" s="235"/>
      <c r="N160" s="236"/>
      <c r="O160" s="235"/>
      <c r="P160" s="236"/>
      <c r="Q160" s="236"/>
      <c r="R160" s="236"/>
      <c r="S160" s="237"/>
      <c r="T160" s="236"/>
      <c r="U160" s="233"/>
      <c r="V160" s="233"/>
      <c r="W160" s="233"/>
      <c r="X160" s="238"/>
    </row>
    <row r="161" spans="1:24" s="3" customFormat="1">
      <c r="A161" s="233"/>
      <c r="B161" s="136"/>
      <c r="C161" s="11"/>
      <c r="D161" s="234"/>
      <c r="E161" s="11"/>
      <c r="F161" s="233"/>
      <c r="G161" s="233"/>
      <c r="H161" s="233"/>
      <c r="I161" s="233"/>
      <c r="J161" s="233"/>
      <c r="K161" s="233"/>
      <c r="L161" s="233"/>
      <c r="M161" s="235"/>
      <c r="N161" s="236"/>
      <c r="O161" s="235"/>
      <c r="P161" s="236"/>
      <c r="Q161" s="236"/>
      <c r="R161" s="236"/>
      <c r="S161" s="237"/>
      <c r="T161" s="236"/>
      <c r="U161" s="233"/>
      <c r="V161" s="233"/>
      <c r="W161" s="233"/>
      <c r="X161" s="238"/>
    </row>
    <row r="162" spans="1:24" s="181" customFormat="1" ht="18">
      <c r="A162" s="244"/>
      <c r="B162" s="251" t="s">
        <v>247</v>
      </c>
      <c r="C162" s="245"/>
      <c r="D162" s="246"/>
      <c r="E162" s="245"/>
      <c r="F162" s="244"/>
      <c r="G162" s="244"/>
      <c r="H162" s="244"/>
      <c r="I162" s="244"/>
      <c r="J162" s="244"/>
      <c r="K162" s="244"/>
      <c r="L162" s="244"/>
      <c r="M162" s="247"/>
      <c r="N162" s="248"/>
      <c r="O162" s="247"/>
      <c r="P162" s="248"/>
      <c r="Q162" s="248"/>
      <c r="R162" s="248"/>
      <c r="S162" s="249"/>
      <c r="T162" s="248"/>
      <c r="U162" s="244"/>
      <c r="V162" s="244"/>
      <c r="W162" s="244"/>
      <c r="X162" s="250"/>
    </row>
    <row r="163" spans="1:24" s="3" customFormat="1">
      <c r="A163" s="233"/>
      <c r="B163" s="242" t="s">
        <v>248</v>
      </c>
      <c r="C163" s="11"/>
      <c r="D163" s="234"/>
      <c r="E163" s="11"/>
      <c r="F163" s="233"/>
      <c r="G163" s="233"/>
      <c r="H163" s="233"/>
      <c r="I163" s="233"/>
      <c r="J163" s="233"/>
      <c r="K163" s="233"/>
      <c r="L163" s="233"/>
      <c r="M163" s="235"/>
      <c r="N163" s="236"/>
      <c r="O163" s="235"/>
      <c r="P163" s="236"/>
      <c r="Q163" s="236"/>
      <c r="R163" s="236"/>
      <c r="S163" s="237"/>
      <c r="T163" s="236"/>
      <c r="U163" s="233"/>
      <c r="V163" s="233"/>
      <c r="W163" s="233"/>
      <c r="X163" s="238"/>
    </row>
    <row r="164" spans="1:24" s="3" customFormat="1">
      <c r="A164" s="233"/>
      <c r="B164" s="444" t="s">
        <v>81</v>
      </c>
      <c r="C164" s="445"/>
      <c r="D164" s="444" t="s">
        <v>153</v>
      </c>
      <c r="E164" s="445"/>
      <c r="F164" s="124" t="s">
        <v>154</v>
      </c>
      <c r="G164" s="124" t="s">
        <v>155</v>
      </c>
      <c r="H164" s="124" t="s">
        <v>156</v>
      </c>
      <c r="I164" s="124" t="s">
        <v>157</v>
      </c>
      <c r="J164" s="126" t="s">
        <v>97</v>
      </c>
      <c r="K164" s="233"/>
      <c r="L164" s="233"/>
      <c r="M164" s="235"/>
      <c r="N164" s="236"/>
      <c r="O164" s="235"/>
      <c r="P164" s="236"/>
      <c r="Q164" s="236"/>
      <c r="R164" s="236"/>
      <c r="S164" s="237"/>
      <c r="T164" s="236"/>
      <c r="U164" s="233"/>
      <c r="V164" s="233"/>
      <c r="W164" s="233"/>
      <c r="X164" s="238"/>
    </row>
    <row r="165" spans="1:24" s="3" customFormat="1">
      <c r="A165" s="233"/>
      <c r="B165" s="434" t="s">
        <v>151</v>
      </c>
      <c r="C165" s="434"/>
      <c r="D165" s="435"/>
      <c r="E165" s="435"/>
      <c r="F165" s="50"/>
      <c r="G165" s="62"/>
      <c r="H165" s="185"/>
      <c r="I165" s="186">
        <f t="shared" ref="I165:I174" si="12">IF(B165=0,0,H165*G165*F165)</f>
        <v>0</v>
      </c>
      <c r="J165" s="59"/>
      <c r="K165" s="233"/>
      <c r="L165" s="233"/>
      <c r="M165" s="235"/>
      <c r="N165" s="236"/>
      <c r="O165" s="235"/>
      <c r="P165" s="236"/>
      <c r="Q165" s="236"/>
      <c r="R165" s="236"/>
      <c r="S165" s="237"/>
      <c r="T165" s="236"/>
      <c r="U165" s="233"/>
      <c r="V165" s="233"/>
      <c r="W165" s="233"/>
      <c r="X165" s="238"/>
    </row>
    <row r="166" spans="1:24" s="3" customFormat="1">
      <c r="A166" s="233"/>
      <c r="B166" s="434" t="s">
        <v>151</v>
      </c>
      <c r="C166" s="434"/>
      <c r="D166" s="435"/>
      <c r="E166" s="435"/>
      <c r="F166" s="50"/>
      <c r="G166" s="62"/>
      <c r="H166" s="185"/>
      <c r="I166" s="186">
        <f t="shared" si="12"/>
        <v>0</v>
      </c>
      <c r="J166" s="59"/>
      <c r="K166" s="233"/>
      <c r="L166" s="233"/>
      <c r="M166" s="235"/>
      <c r="N166" s="236"/>
      <c r="O166" s="235"/>
      <c r="P166" s="236"/>
      <c r="Q166" s="236"/>
      <c r="R166" s="236"/>
      <c r="S166" s="237"/>
      <c r="T166" s="236"/>
      <c r="U166" s="233"/>
      <c r="V166" s="233"/>
      <c r="W166" s="233"/>
      <c r="X166" s="238"/>
    </row>
    <row r="167" spans="1:24" s="3" customFormat="1">
      <c r="A167" s="233"/>
      <c r="B167" s="434" t="s">
        <v>151</v>
      </c>
      <c r="C167" s="434"/>
      <c r="D167" s="435"/>
      <c r="E167" s="435"/>
      <c r="F167" s="50"/>
      <c r="G167" s="62"/>
      <c r="H167" s="185"/>
      <c r="I167" s="186">
        <f t="shared" si="12"/>
        <v>0</v>
      </c>
      <c r="J167" s="59"/>
      <c r="K167" s="233"/>
      <c r="L167" s="233"/>
      <c r="M167" s="235"/>
      <c r="N167" s="236"/>
      <c r="O167" s="235"/>
      <c r="P167" s="236"/>
      <c r="Q167" s="236"/>
      <c r="R167" s="236"/>
      <c r="S167" s="237"/>
      <c r="T167" s="236"/>
      <c r="U167" s="233"/>
      <c r="V167" s="233"/>
      <c r="W167" s="233"/>
      <c r="X167" s="238"/>
    </row>
    <row r="168" spans="1:24" s="3" customFormat="1">
      <c r="A168" s="233"/>
      <c r="B168" s="434" t="s">
        <v>151</v>
      </c>
      <c r="C168" s="434"/>
      <c r="D168" s="435"/>
      <c r="E168" s="435"/>
      <c r="F168" s="50"/>
      <c r="G168" s="62"/>
      <c r="H168" s="185"/>
      <c r="I168" s="186">
        <f t="shared" si="12"/>
        <v>0</v>
      </c>
      <c r="J168" s="59"/>
      <c r="K168" s="233"/>
      <c r="L168" s="233"/>
      <c r="M168" s="235"/>
      <c r="N168" s="236"/>
      <c r="O168" s="235"/>
      <c r="P168" s="236"/>
      <c r="Q168" s="236"/>
      <c r="R168" s="236"/>
      <c r="S168" s="237"/>
      <c r="T168" s="236"/>
      <c r="U168" s="233"/>
      <c r="V168" s="233"/>
      <c r="W168" s="233"/>
      <c r="X168" s="238"/>
    </row>
    <row r="169" spans="1:24" s="3" customFormat="1">
      <c r="A169" s="233"/>
      <c r="B169" s="434" t="s">
        <v>151</v>
      </c>
      <c r="C169" s="434"/>
      <c r="D169" s="435"/>
      <c r="E169" s="435"/>
      <c r="F169" s="50"/>
      <c r="G169" s="62"/>
      <c r="H169" s="185"/>
      <c r="I169" s="186">
        <f t="shared" si="12"/>
        <v>0</v>
      </c>
      <c r="J169" s="59"/>
      <c r="K169" s="233"/>
      <c r="L169" s="233"/>
      <c r="M169" s="235"/>
      <c r="N169" s="236"/>
      <c r="O169" s="235"/>
      <c r="P169" s="236"/>
      <c r="Q169" s="236"/>
      <c r="R169" s="236"/>
      <c r="S169" s="237"/>
      <c r="T169" s="236"/>
      <c r="U169" s="233"/>
      <c r="V169" s="233"/>
      <c r="W169" s="233"/>
      <c r="X169" s="238"/>
    </row>
    <row r="170" spans="1:24" s="3" customFormat="1">
      <c r="A170" s="233"/>
      <c r="B170" s="434" t="s">
        <v>151</v>
      </c>
      <c r="C170" s="434"/>
      <c r="D170" s="435"/>
      <c r="E170" s="435"/>
      <c r="F170" s="50"/>
      <c r="G170" s="62"/>
      <c r="H170" s="185"/>
      <c r="I170" s="186">
        <f t="shared" si="12"/>
        <v>0</v>
      </c>
      <c r="J170" s="59"/>
      <c r="K170" s="233"/>
      <c r="L170" s="233"/>
      <c r="M170" s="235"/>
      <c r="N170" s="236"/>
      <c r="O170" s="235"/>
      <c r="P170" s="236"/>
      <c r="Q170" s="236"/>
      <c r="R170" s="236"/>
      <c r="S170" s="237"/>
      <c r="T170" s="236"/>
      <c r="U170" s="233"/>
      <c r="V170" s="233"/>
      <c r="W170" s="233"/>
      <c r="X170" s="238"/>
    </row>
    <row r="171" spans="1:24" s="3" customFormat="1">
      <c r="A171" s="233"/>
      <c r="B171" s="434" t="s">
        <v>151</v>
      </c>
      <c r="C171" s="434"/>
      <c r="D171" s="435"/>
      <c r="E171" s="435"/>
      <c r="F171" s="50"/>
      <c r="G171" s="62"/>
      <c r="H171" s="185"/>
      <c r="I171" s="186">
        <f t="shared" si="12"/>
        <v>0</v>
      </c>
      <c r="J171" s="59"/>
      <c r="K171" s="233"/>
      <c r="L171" s="233"/>
      <c r="M171" s="235"/>
      <c r="N171" s="236"/>
      <c r="O171" s="235"/>
      <c r="P171" s="236"/>
      <c r="Q171" s="236"/>
      <c r="R171" s="236"/>
      <c r="S171" s="237"/>
      <c r="T171" s="236"/>
      <c r="U171" s="233"/>
      <c r="V171" s="233"/>
      <c r="W171" s="233"/>
      <c r="X171" s="238"/>
    </row>
    <row r="172" spans="1:24" s="3" customFormat="1">
      <c r="A172" s="233"/>
      <c r="B172" s="434" t="s">
        <v>151</v>
      </c>
      <c r="C172" s="434"/>
      <c r="D172" s="435"/>
      <c r="E172" s="435"/>
      <c r="F172" s="50"/>
      <c r="G172" s="62"/>
      <c r="H172" s="185"/>
      <c r="I172" s="186">
        <f t="shared" si="12"/>
        <v>0</v>
      </c>
      <c r="J172" s="59"/>
      <c r="K172" s="233"/>
      <c r="L172" s="233"/>
      <c r="M172" s="235"/>
      <c r="N172" s="236"/>
      <c r="O172" s="235"/>
      <c r="P172" s="236"/>
      <c r="Q172" s="236"/>
      <c r="R172" s="236"/>
      <c r="S172" s="237"/>
      <c r="T172" s="236"/>
      <c r="U172" s="233"/>
      <c r="V172" s="233"/>
      <c r="W172" s="233"/>
      <c r="X172" s="238"/>
    </row>
    <row r="173" spans="1:24" s="3" customFormat="1">
      <c r="A173" s="233"/>
      <c r="B173" s="434" t="s">
        <v>151</v>
      </c>
      <c r="C173" s="434"/>
      <c r="D173" s="435"/>
      <c r="E173" s="435"/>
      <c r="F173" s="50"/>
      <c r="G173" s="62"/>
      <c r="H173" s="185"/>
      <c r="I173" s="186">
        <f t="shared" si="12"/>
        <v>0</v>
      </c>
      <c r="J173" s="59"/>
      <c r="K173" s="233"/>
      <c r="L173" s="233"/>
      <c r="M173" s="235"/>
      <c r="N173" s="236"/>
      <c r="O173" s="235"/>
      <c r="P173" s="236"/>
      <c r="Q173" s="236"/>
      <c r="R173" s="236"/>
      <c r="S173" s="237"/>
      <c r="T173" s="236"/>
      <c r="U173" s="233"/>
      <c r="V173" s="233"/>
      <c r="W173" s="233"/>
      <c r="X173" s="238"/>
    </row>
    <row r="174" spans="1:24" s="3" customFormat="1">
      <c r="A174" s="233"/>
      <c r="B174" s="434" t="s">
        <v>151</v>
      </c>
      <c r="C174" s="434"/>
      <c r="D174" s="435"/>
      <c r="E174" s="435"/>
      <c r="F174" s="50"/>
      <c r="G174" s="62"/>
      <c r="H174" s="185"/>
      <c r="I174" s="186">
        <f t="shared" si="12"/>
        <v>0</v>
      </c>
      <c r="J174" s="59"/>
      <c r="K174" s="233"/>
      <c r="L174" s="233"/>
      <c r="M174" s="235"/>
      <c r="N174" s="236"/>
      <c r="O174" s="235"/>
      <c r="P174" s="236"/>
      <c r="Q174" s="236"/>
      <c r="R174" s="236"/>
      <c r="S174" s="237"/>
      <c r="T174" s="236"/>
      <c r="U174" s="233"/>
      <c r="V174" s="233"/>
      <c r="W174" s="233"/>
      <c r="X174" s="238"/>
    </row>
    <row r="175" spans="1:24" s="3" customFormat="1">
      <c r="A175" s="233"/>
      <c r="B175" s="136"/>
      <c r="C175" s="11"/>
      <c r="D175" s="234"/>
      <c r="E175" s="11"/>
      <c r="F175" s="233"/>
      <c r="G175" s="233"/>
      <c r="H175" s="233"/>
      <c r="I175" s="233"/>
      <c r="J175" s="233"/>
      <c r="K175" s="233"/>
      <c r="L175" s="233"/>
      <c r="M175" s="235"/>
      <c r="N175" s="236"/>
      <c r="O175" s="235"/>
      <c r="P175" s="236"/>
      <c r="Q175" s="236"/>
      <c r="R175" s="236"/>
      <c r="S175" s="237"/>
      <c r="T175" s="236"/>
      <c r="U175" s="233"/>
      <c r="V175" s="233"/>
      <c r="W175" s="233"/>
      <c r="X175" s="238"/>
    </row>
    <row r="176" spans="1:24" s="3" customFormat="1">
      <c r="A176" s="233"/>
      <c r="B176" s="136"/>
      <c r="C176" s="11"/>
      <c r="D176" s="234"/>
      <c r="E176" s="11"/>
      <c r="F176" s="233"/>
      <c r="G176" s="233"/>
      <c r="H176" s="233"/>
      <c r="I176" s="233"/>
      <c r="J176" s="233"/>
      <c r="K176" s="233"/>
      <c r="L176" s="233"/>
      <c r="M176" s="235"/>
      <c r="N176" s="236"/>
      <c r="O176" s="235"/>
      <c r="P176" s="236"/>
      <c r="Q176" s="236"/>
      <c r="R176" s="236"/>
      <c r="S176" s="237"/>
      <c r="T176" s="236"/>
      <c r="U176" s="233"/>
      <c r="V176" s="233"/>
      <c r="W176" s="233"/>
      <c r="X176" s="238"/>
    </row>
    <row r="177" spans="1:24" s="181" customFormat="1" ht="18">
      <c r="A177" s="244"/>
      <c r="B177" s="251" t="s">
        <v>249</v>
      </c>
      <c r="C177" s="245"/>
      <c r="D177" s="246"/>
      <c r="E177" s="245"/>
      <c r="F177" s="244"/>
      <c r="G177" s="244"/>
      <c r="H177" s="244"/>
      <c r="I177" s="244"/>
      <c r="J177" s="244"/>
      <c r="K177" s="244"/>
      <c r="L177" s="244"/>
      <c r="M177" s="247"/>
      <c r="N177" s="248"/>
      <c r="O177" s="247"/>
      <c r="P177" s="248"/>
      <c r="Q177" s="248"/>
      <c r="R177" s="248"/>
      <c r="S177" s="249"/>
      <c r="T177" s="248"/>
      <c r="U177" s="244"/>
      <c r="V177" s="244"/>
      <c r="W177" s="244"/>
      <c r="X177" s="250"/>
    </row>
    <row r="178" spans="1:24" s="3" customFormat="1">
      <c r="A178" s="233"/>
      <c r="B178" s="242" t="s">
        <v>250</v>
      </c>
      <c r="C178" s="11"/>
      <c r="D178" s="234"/>
      <c r="E178" s="11"/>
      <c r="F178" s="233"/>
      <c r="G178" s="233"/>
      <c r="H178" s="233"/>
      <c r="I178" s="233"/>
      <c r="J178" s="233"/>
      <c r="K178" s="233"/>
      <c r="L178" s="233"/>
      <c r="M178" s="235"/>
      <c r="N178" s="236"/>
      <c r="O178" s="235"/>
      <c r="P178" s="236"/>
      <c r="Q178" s="236"/>
      <c r="R178" s="236"/>
      <c r="S178" s="237"/>
      <c r="T178" s="236"/>
      <c r="U178" s="233"/>
      <c r="V178" s="233"/>
      <c r="W178" s="233"/>
      <c r="X178" s="238"/>
    </row>
    <row r="179" spans="1:24" s="3" customFormat="1">
      <c r="A179" s="233"/>
      <c r="B179" s="444" t="s">
        <v>81</v>
      </c>
      <c r="C179" s="445"/>
      <c r="D179" s="444" t="s">
        <v>153</v>
      </c>
      <c r="E179" s="445"/>
      <c r="F179" s="124" t="s">
        <v>154</v>
      </c>
      <c r="G179" s="124" t="s">
        <v>155</v>
      </c>
      <c r="H179" s="124" t="s">
        <v>156</v>
      </c>
      <c r="I179" s="124" t="s">
        <v>157</v>
      </c>
      <c r="J179" s="126" t="s">
        <v>97</v>
      </c>
      <c r="K179" s="233"/>
      <c r="L179" s="233"/>
      <c r="M179" s="235"/>
      <c r="N179" s="236"/>
      <c r="O179" s="235"/>
      <c r="P179" s="236"/>
      <c r="Q179" s="236"/>
      <c r="R179" s="236"/>
      <c r="S179" s="237"/>
      <c r="T179" s="236"/>
      <c r="U179" s="233"/>
      <c r="V179" s="233"/>
      <c r="W179" s="233"/>
      <c r="X179" s="238"/>
    </row>
    <row r="180" spans="1:24" s="3" customFormat="1">
      <c r="A180" s="233"/>
      <c r="B180" s="434" t="s">
        <v>151</v>
      </c>
      <c r="C180" s="434"/>
      <c r="D180" s="435"/>
      <c r="E180" s="435"/>
      <c r="F180" s="50"/>
      <c r="G180" s="62"/>
      <c r="H180" s="185"/>
      <c r="I180" s="186">
        <f t="shared" ref="I180:I189" si="13">IF(B180=0,0,H180*G180*F180)</f>
        <v>0</v>
      </c>
      <c r="J180" s="59"/>
      <c r="K180" s="233"/>
      <c r="L180" s="233"/>
      <c r="M180" s="235"/>
      <c r="N180" s="236"/>
      <c r="O180" s="235"/>
      <c r="P180" s="236"/>
      <c r="Q180" s="236"/>
      <c r="R180" s="236"/>
      <c r="S180" s="237"/>
      <c r="T180" s="236"/>
      <c r="U180" s="233"/>
      <c r="V180" s="233"/>
      <c r="W180" s="233"/>
      <c r="X180" s="238"/>
    </row>
    <row r="181" spans="1:24" s="3" customFormat="1">
      <c r="A181" s="233"/>
      <c r="B181" s="434" t="s">
        <v>151</v>
      </c>
      <c r="C181" s="434"/>
      <c r="D181" s="435"/>
      <c r="E181" s="435"/>
      <c r="F181" s="50"/>
      <c r="G181" s="62"/>
      <c r="H181" s="185"/>
      <c r="I181" s="186">
        <f t="shared" si="13"/>
        <v>0</v>
      </c>
      <c r="J181" s="59"/>
      <c r="K181" s="233"/>
      <c r="L181" s="233"/>
      <c r="M181" s="235"/>
      <c r="N181" s="236"/>
      <c r="O181" s="235"/>
      <c r="P181" s="236"/>
      <c r="Q181" s="236"/>
      <c r="R181" s="236"/>
      <c r="S181" s="237"/>
      <c r="T181" s="236"/>
      <c r="U181" s="233"/>
      <c r="V181" s="233"/>
      <c r="W181" s="233"/>
      <c r="X181" s="238"/>
    </row>
    <row r="182" spans="1:24" s="3" customFormat="1">
      <c r="A182" s="233"/>
      <c r="B182" s="434" t="s">
        <v>151</v>
      </c>
      <c r="C182" s="434"/>
      <c r="D182" s="435"/>
      <c r="E182" s="435"/>
      <c r="F182" s="50"/>
      <c r="G182" s="62"/>
      <c r="H182" s="185"/>
      <c r="I182" s="186">
        <f t="shared" si="13"/>
        <v>0</v>
      </c>
      <c r="J182" s="59"/>
      <c r="K182" s="233"/>
      <c r="L182" s="233"/>
      <c r="M182" s="235"/>
      <c r="N182" s="236"/>
      <c r="O182" s="235"/>
      <c r="P182" s="236"/>
      <c r="Q182" s="236"/>
      <c r="R182" s="236"/>
      <c r="S182" s="237"/>
      <c r="T182" s="236"/>
      <c r="U182" s="233"/>
      <c r="V182" s="233"/>
      <c r="W182" s="233"/>
      <c r="X182" s="238"/>
    </row>
    <row r="183" spans="1:24" s="3" customFormat="1">
      <c r="A183" s="233"/>
      <c r="B183" s="434" t="s">
        <v>151</v>
      </c>
      <c r="C183" s="434"/>
      <c r="D183" s="435"/>
      <c r="E183" s="435"/>
      <c r="F183" s="50"/>
      <c r="G183" s="62"/>
      <c r="H183" s="185"/>
      <c r="I183" s="186">
        <f t="shared" si="13"/>
        <v>0</v>
      </c>
      <c r="J183" s="59"/>
      <c r="K183" s="233"/>
      <c r="L183" s="233"/>
      <c r="M183" s="235"/>
      <c r="N183" s="236"/>
      <c r="O183" s="235"/>
      <c r="P183" s="236"/>
      <c r="Q183" s="236"/>
      <c r="R183" s="236"/>
      <c r="S183" s="237"/>
      <c r="T183" s="236"/>
      <c r="U183" s="233"/>
      <c r="V183" s="233"/>
      <c r="W183" s="233"/>
      <c r="X183" s="238"/>
    </row>
    <row r="184" spans="1:24" s="3" customFormat="1">
      <c r="A184" s="233"/>
      <c r="B184" s="434" t="s">
        <v>151</v>
      </c>
      <c r="C184" s="434"/>
      <c r="D184" s="435"/>
      <c r="E184" s="435"/>
      <c r="F184" s="50"/>
      <c r="G184" s="62"/>
      <c r="H184" s="185"/>
      <c r="I184" s="186">
        <f t="shared" si="13"/>
        <v>0</v>
      </c>
      <c r="J184" s="59"/>
      <c r="K184" s="233"/>
      <c r="L184" s="233"/>
      <c r="M184" s="235"/>
      <c r="N184" s="236"/>
      <c r="O184" s="235"/>
      <c r="P184" s="236"/>
      <c r="Q184" s="236"/>
      <c r="R184" s="236"/>
      <c r="S184" s="237"/>
      <c r="T184" s="236"/>
      <c r="U184" s="233"/>
      <c r="V184" s="233"/>
      <c r="W184" s="233"/>
      <c r="X184" s="238"/>
    </row>
    <row r="185" spans="1:24" s="3" customFormat="1">
      <c r="A185" s="233"/>
      <c r="B185" s="434" t="s">
        <v>151</v>
      </c>
      <c r="C185" s="434"/>
      <c r="D185" s="435"/>
      <c r="E185" s="435"/>
      <c r="F185" s="50"/>
      <c r="G185" s="62"/>
      <c r="H185" s="185"/>
      <c r="I185" s="186">
        <f t="shared" si="13"/>
        <v>0</v>
      </c>
      <c r="J185" s="59"/>
      <c r="K185" s="233"/>
      <c r="L185" s="233"/>
      <c r="M185" s="235"/>
      <c r="N185" s="236"/>
      <c r="O185" s="235"/>
      <c r="P185" s="236"/>
      <c r="Q185" s="236"/>
      <c r="R185" s="236"/>
      <c r="S185" s="237"/>
      <c r="T185" s="236"/>
      <c r="U185" s="233"/>
      <c r="V185" s="233"/>
      <c r="W185" s="233"/>
      <c r="X185" s="238"/>
    </row>
    <row r="186" spans="1:24" s="3" customFormat="1">
      <c r="A186" s="233"/>
      <c r="B186" s="434" t="s">
        <v>151</v>
      </c>
      <c r="C186" s="434"/>
      <c r="D186" s="435"/>
      <c r="E186" s="435"/>
      <c r="F186" s="50"/>
      <c r="G186" s="62"/>
      <c r="H186" s="185"/>
      <c r="I186" s="186">
        <f t="shared" si="13"/>
        <v>0</v>
      </c>
      <c r="J186" s="59"/>
      <c r="K186" s="233"/>
      <c r="L186" s="233"/>
      <c r="M186" s="235"/>
      <c r="N186" s="236"/>
      <c r="O186" s="235"/>
      <c r="P186" s="236"/>
      <c r="Q186" s="236"/>
      <c r="R186" s="236"/>
      <c r="S186" s="237"/>
      <c r="T186" s="236"/>
      <c r="U186" s="233"/>
      <c r="V186" s="233"/>
      <c r="W186" s="233"/>
      <c r="X186" s="238"/>
    </row>
    <row r="187" spans="1:24" s="3" customFormat="1">
      <c r="A187" s="233"/>
      <c r="B187" s="434" t="s">
        <v>151</v>
      </c>
      <c r="C187" s="434"/>
      <c r="D187" s="435"/>
      <c r="E187" s="435"/>
      <c r="F187" s="50"/>
      <c r="G187" s="62"/>
      <c r="H187" s="185"/>
      <c r="I187" s="186">
        <f t="shared" si="13"/>
        <v>0</v>
      </c>
      <c r="J187" s="59"/>
      <c r="K187" s="233"/>
      <c r="L187" s="233"/>
      <c r="M187" s="235"/>
      <c r="N187" s="236"/>
      <c r="O187" s="235"/>
      <c r="P187" s="236"/>
      <c r="Q187" s="236"/>
      <c r="R187" s="236"/>
      <c r="S187" s="237"/>
      <c r="T187" s="236"/>
      <c r="U187" s="233"/>
      <c r="V187" s="233"/>
      <c r="W187" s="233"/>
      <c r="X187" s="238"/>
    </row>
    <row r="188" spans="1:24" s="3" customFormat="1">
      <c r="A188" s="233"/>
      <c r="B188" s="434" t="s">
        <v>151</v>
      </c>
      <c r="C188" s="434"/>
      <c r="D188" s="435"/>
      <c r="E188" s="435"/>
      <c r="F188" s="50"/>
      <c r="G188" s="62"/>
      <c r="H188" s="185"/>
      <c r="I188" s="186">
        <f t="shared" si="13"/>
        <v>0</v>
      </c>
      <c r="J188" s="59"/>
      <c r="K188" s="233"/>
      <c r="L188" s="233"/>
      <c r="M188" s="235"/>
      <c r="N188" s="236"/>
      <c r="O188" s="235"/>
      <c r="P188" s="236"/>
      <c r="Q188" s="236"/>
      <c r="R188" s="236"/>
      <c r="S188" s="237"/>
      <c r="T188" s="236"/>
      <c r="U188" s="233"/>
      <c r="V188" s="233"/>
      <c r="W188" s="233"/>
      <c r="X188" s="238"/>
    </row>
    <row r="189" spans="1:24" s="3" customFormat="1">
      <c r="A189" s="233"/>
      <c r="B189" s="434" t="s">
        <v>151</v>
      </c>
      <c r="C189" s="434"/>
      <c r="D189" s="435"/>
      <c r="E189" s="435"/>
      <c r="F189" s="50"/>
      <c r="G189" s="62"/>
      <c r="H189" s="185"/>
      <c r="I189" s="186">
        <f t="shared" si="13"/>
        <v>0</v>
      </c>
      <c r="J189" s="59"/>
      <c r="K189" s="233"/>
      <c r="L189" s="233"/>
      <c r="M189" s="235"/>
      <c r="N189" s="236"/>
      <c r="O189" s="235"/>
      <c r="P189" s="236"/>
      <c r="Q189" s="236"/>
      <c r="R189" s="236"/>
      <c r="S189" s="237"/>
      <c r="T189" s="236"/>
      <c r="U189" s="233"/>
      <c r="V189" s="233"/>
      <c r="W189" s="233"/>
      <c r="X189" s="238"/>
    </row>
    <row r="190" spans="1:24" s="3" customFormat="1">
      <c r="A190" s="233"/>
      <c r="B190" s="136"/>
      <c r="C190" s="11"/>
      <c r="D190" s="234"/>
      <c r="E190" s="11"/>
      <c r="F190" s="233"/>
      <c r="G190" s="233"/>
      <c r="H190" s="233"/>
      <c r="I190" s="233"/>
      <c r="J190" s="233"/>
      <c r="K190" s="233"/>
      <c r="L190" s="233"/>
      <c r="M190" s="235"/>
      <c r="N190" s="236"/>
      <c r="O190" s="235"/>
      <c r="P190" s="236"/>
      <c r="Q190" s="236"/>
      <c r="R190" s="236"/>
      <c r="S190" s="237"/>
      <c r="T190" s="236"/>
      <c r="U190" s="233"/>
      <c r="V190" s="233"/>
      <c r="W190" s="233"/>
      <c r="X190" s="238"/>
    </row>
    <row r="191" spans="1:24" customFormat="1">
      <c r="B191" s="63"/>
      <c r="C191" s="63"/>
      <c r="D191" s="7"/>
      <c r="E191" s="7"/>
      <c r="F191" s="7"/>
      <c r="G191" s="7"/>
      <c r="H191" s="7"/>
      <c r="I191" s="7"/>
      <c r="J191" s="7"/>
      <c r="K191" s="7"/>
      <c r="L191" s="7"/>
      <c r="M191" s="7"/>
      <c r="N191" s="7"/>
      <c r="O191" s="7"/>
      <c r="P191" s="7"/>
      <c r="Q191" s="7"/>
      <c r="R191" s="7"/>
    </row>
    <row r="192" spans="1:24" customFormat="1">
      <c r="B192" s="64"/>
      <c r="C192" s="64"/>
      <c r="D192" s="65"/>
      <c r="E192" s="65"/>
      <c r="F192" s="65"/>
      <c r="G192" s="65"/>
      <c r="H192" s="65"/>
      <c r="I192" s="65"/>
      <c r="J192" s="65"/>
      <c r="K192" s="65"/>
      <c r="L192" s="65"/>
      <c r="M192" s="7"/>
      <c r="N192" s="7"/>
      <c r="O192" s="7"/>
      <c r="P192" s="7"/>
      <c r="Q192" s="7"/>
      <c r="R192" s="7"/>
    </row>
    <row r="193" spans="1:24" s="3" customFormat="1">
      <c r="A193" s="233"/>
      <c r="B193" s="187"/>
      <c r="C193" s="11"/>
      <c r="D193" s="234"/>
      <c r="E193" s="11"/>
      <c r="F193" s="233"/>
      <c r="G193" s="233"/>
      <c r="H193" s="233"/>
      <c r="I193" s="233"/>
      <c r="J193" s="233"/>
      <c r="K193" s="233"/>
      <c r="L193" s="233"/>
      <c r="M193" s="235"/>
      <c r="N193" s="236"/>
      <c r="O193" s="235"/>
      <c r="P193" s="236"/>
      <c r="Q193" s="236"/>
      <c r="R193" s="236"/>
      <c r="S193" s="237"/>
      <c r="T193" s="236"/>
      <c r="U193" s="233"/>
      <c r="V193" s="233"/>
      <c r="W193" s="233"/>
      <c r="X193" s="238"/>
    </row>
    <row r="194" spans="1:24" s="3" customFormat="1" ht="18">
      <c r="A194" s="233"/>
      <c r="B194" s="140" t="s">
        <v>251</v>
      </c>
      <c r="C194" s="11"/>
      <c r="D194" s="234"/>
      <c r="E194" s="11"/>
      <c r="F194" s="233"/>
      <c r="G194" s="233"/>
      <c r="H194" s="233"/>
      <c r="I194" s="233"/>
      <c r="J194" s="233"/>
      <c r="K194" s="233"/>
      <c r="L194" s="233"/>
      <c r="M194" s="235"/>
      <c r="N194" s="236"/>
      <c r="O194" s="235"/>
      <c r="P194" s="236"/>
      <c r="Q194" s="236"/>
      <c r="R194" s="236"/>
      <c r="S194" s="237"/>
      <c r="T194" s="236"/>
      <c r="U194" s="233"/>
      <c r="V194" s="233"/>
      <c r="W194" s="233"/>
      <c r="X194" s="238"/>
    </row>
    <row r="195" spans="1:24" s="3" customFormat="1">
      <c r="A195" s="233"/>
      <c r="B195" s="136" t="s">
        <v>252</v>
      </c>
      <c r="C195" s="11"/>
      <c r="D195" s="234"/>
      <c r="E195" s="11"/>
      <c r="F195" s="233"/>
      <c r="G195" s="233"/>
      <c r="H195" s="233"/>
      <c r="I195" s="233"/>
      <c r="J195" s="233"/>
      <c r="K195" s="233"/>
      <c r="L195" s="233"/>
      <c r="M195" s="235"/>
      <c r="N195" s="236"/>
      <c r="O195" s="235"/>
      <c r="P195" s="236"/>
      <c r="Q195" s="236"/>
      <c r="R195" s="236"/>
      <c r="S195" s="237"/>
      <c r="T195" s="236"/>
      <c r="U195" s="233"/>
      <c r="V195" s="233"/>
      <c r="W195" s="233"/>
      <c r="X195" s="238"/>
    </row>
    <row r="196" spans="1:24" s="3" customFormat="1">
      <c r="A196" s="136"/>
      <c r="B196" s="136" t="s">
        <v>253</v>
      </c>
      <c r="C196" s="11"/>
      <c r="D196" s="234"/>
      <c r="E196" s="11"/>
      <c r="F196" s="233"/>
      <c r="G196" s="233"/>
      <c r="H196" s="233"/>
      <c r="I196" s="233"/>
      <c r="J196" s="233"/>
      <c r="K196" s="233"/>
      <c r="L196" s="233"/>
      <c r="M196" s="235"/>
      <c r="N196" s="236"/>
      <c r="O196" s="235"/>
      <c r="P196" s="236"/>
      <c r="Q196" s="236"/>
      <c r="R196" s="236"/>
      <c r="S196" s="237"/>
      <c r="T196" s="236"/>
      <c r="U196" s="233"/>
      <c r="V196" s="233"/>
      <c r="W196" s="233"/>
      <c r="X196" s="238"/>
    </row>
    <row r="197" spans="1:24" s="3" customFormat="1">
      <c r="A197" s="136"/>
      <c r="B197" s="136"/>
      <c r="C197" s="11"/>
      <c r="D197" s="234"/>
      <c r="E197" s="11"/>
      <c r="F197" s="233"/>
      <c r="G197" s="233"/>
      <c r="H197" s="233"/>
      <c r="I197" s="233"/>
      <c r="J197" s="233"/>
      <c r="K197" s="233"/>
      <c r="L197" s="233"/>
      <c r="M197" s="235"/>
      <c r="N197" s="236"/>
      <c r="O197" s="235"/>
      <c r="P197" s="236"/>
      <c r="Q197" s="236"/>
      <c r="R197" s="236"/>
      <c r="S197" s="237"/>
      <c r="T197" s="236"/>
      <c r="U197" s="233"/>
      <c r="V197" s="233"/>
      <c r="W197" s="233"/>
      <c r="X197" s="238"/>
    </row>
    <row r="198" spans="1:24" s="3" customFormat="1">
      <c r="A198" s="233"/>
      <c r="B198" s="9"/>
      <c r="C198" s="42" t="s">
        <v>254</v>
      </c>
      <c r="D198" s="62" t="s">
        <v>256</v>
      </c>
      <c r="E198" s="252" t="s">
        <v>255</v>
      </c>
      <c r="F198" s="233"/>
      <c r="G198" s="233"/>
      <c r="H198" s="233"/>
      <c r="I198" s="233"/>
      <c r="J198" s="233"/>
      <c r="K198" s="233"/>
      <c r="L198" s="233"/>
      <c r="M198" s="235"/>
      <c r="N198" s="236"/>
      <c r="O198" s="235"/>
      <c r="P198" s="236"/>
      <c r="Q198" s="236"/>
      <c r="R198" s="236"/>
      <c r="S198" s="237"/>
      <c r="T198" s="236"/>
      <c r="U198" s="233"/>
      <c r="V198" s="233"/>
      <c r="W198" s="233"/>
      <c r="X198" s="238"/>
    </row>
    <row r="199" spans="1:24" s="3" customFormat="1">
      <c r="A199" s="233"/>
      <c r="B199" s="187"/>
      <c r="C199" s="11"/>
      <c r="D199" s="9"/>
      <c r="E199" s="11"/>
      <c r="F199" s="233"/>
      <c r="G199" s="233"/>
      <c r="H199" s="233"/>
      <c r="I199" s="233"/>
      <c r="J199" s="233"/>
      <c r="K199" s="233"/>
      <c r="L199" s="233"/>
      <c r="M199" s="235"/>
      <c r="N199" s="236"/>
      <c r="O199" s="235"/>
      <c r="P199" s="236"/>
      <c r="Q199" s="236"/>
      <c r="R199" s="236"/>
      <c r="S199" s="237"/>
      <c r="T199" s="236"/>
      <c r="U199" s="233"/>
      <c r="V199" s="233"/>
      <c r="W199" s="233"/>
      <c r="X199" s="238"/>
    </row>
    <row r="200" spans="1:24" s="3" customFormat="1" ht="15" customHeight="1">
      <c r="A200" s="233"/>
      <c r="B200" s="430" t="s">
        <v>81</v>
      </c>
      <c r="C200" s="431"/>
      <c r="D200" s="442" t="s">
        <v>226</v>
      </c>
      <c r="E200" s="443"/>
      <c r="F200" s="443"/>
      <c r="G200" s="446" t="s">
        <v>231</v>
      </c>
      <c r="H200" s="447"/>
      <c r="I200" s="447"/>
      <c r="J200" s="233"/>
      <c r="K200" s="233"/>
      <c r="L200" s="233"/>
      <c r="M200" s="235"/>
      <c r="N200" s="236"/>
      <c r="O200" s="235"/>
      <c r="P200" s="236"/>
      <c r="Q200" s="236"/>
      <c r="R200" s="236"/>
      <c r="S200" s="237"/>
      <c r="T200" s="236"/>
      <c r="U200" s="233"/>
      <c r="V200" s="233"/>
      <c r="W200" s="233"/>
      <c r="X200" s="238"/>
    </row>
    <row r="201" spans="1:24" s="79" customFormat="1" ht="28.8">
      <c r="A201" s="253"/>
      <c r="B201" s="432"/>
      <c r="C201" s="433"/>
      <c r="D201" s="122" t="s">
        <v>227</v>
      </c>
      <c r="E201" s="122" t="s">
        <v>234</v>
      </c>
      <c r="F201" s="122" t="s">
        <v>235</v>
      </c>
      <c r="G201" s="121" t="s">
        <v>230</v>
      </c>
      <c r="H201" s="121" t="s">
        <v>236</v>
      </c>
      <c r="I201" s="121" t="s">
        <v>237</v>
      </c>
      <c r="J201" s="253"/>
      <c r="K201" s="253"/>
      <c r="L201" s="253"/>
      <c r="M201" s="254"/>
      <c r="N201" s="255"/>
      <c r="O201" s="254"/>
      <c r="P201" s="255"/>
      <c r="Q201" s="255"/>
      <c r="R201" s="255"/>
      <c r="S201" s="255"/>
      <c r="T201" s="255"/>
      <c r="U201" s="253"/>
      <c r="V201" s="253"/>
      <c r="W201" s="253"/>
      <c r="X201" s="256"/>
    </row>
    <row r="202" spans="1:24" s="3" customFormat="1">
      <c r="A202" s="233"/>
      <c r="B202" s="66" t="s">
        <v>137</v>
      </c>
      <c r="C202" s="60" t="str">
        <f>IF(intervencao1=0,"Do not fill this line",intervencao1)</f>
        <v>Rosuvastatin 5mg</v>
      </c>
      <c r="D202" s="185"/>
      <c r="E202" s="185"/>
      <c r="F202" s="185"/>
      <c r="G202" s="185"/>
      <c r="H202" s="185"/>
      <c r="I202" s="185"/>
      <c r="J202" s="257"/>
      <c r="K202" s="233"/>
      <c r="L202" s="233"/>
      <c r="M202" s="235"/>
      <c r="N202" s="236"/>
      <c r="O202" s="235"/>
      <c r="P202" s="236"/>
      <c r="Q202" s="236"/>
      <c r="R202" s="236"/>
      <c r="S202" s="237"/>
      <c r="T202" s="236"/>
      <c r="U202" s="233"/>
      <c r="V202" s="233"/>
      <c r="W202" s="233"/>
      <c r="X202" s="238"/>
    </row>
    <row r="203" spans="1:24" s="3" customFormat="1">
      <c r="A203" s="233"/>
      <c r="B203" s="66" t="s">
        <v>138</v>
      </c>
      <c r="C203" s="60" t="str">
        <f>IF(intervencao2=0,"Do not fill this line",intervencao2)</f>
        <v>Rosuvastatin 10mg</v>
      </c>
      <c r="D203" s="185"/>
      <c r="E203" s="185"/>
      <c r="F203" s="185"/>
      <c r="G203" s="186">
        <f>G202</f>
        <v>0</v>
      </c>
      <c r="H203" s="186">
        <f>H202</f>
        <v>0</v>
      </c>
      <c r="I203" s="186">
        <f>I202</f>
        <v>0</v>
      </c>
      <c r="J203" s="257"/>
      <c r="K203" s="233"/>
      <c r="L203" s="233"/>
      <c r="M203" s="235"/>
      <c r="N203" s="236"/>
      <c r="O203" s="235"/>
      <c r="P203" s="236"/>
      <c r="Q203" s="236"/>
      <c r="R203" s="236"/>
      <c r="S203" s="237"/>
      <c r="T203" s="236"/>
      <c r="U203" s="233"/>
      <c r="V203" s="233"/>
      <c r="W203" s="233"/>
      <c r="X203" s="238"/>
    </row>
    <row r="204" spans="1:24" s="3" customFormat="1">
      <c r="A204" s="233"/>
      <c r="B204" s="66" t="s">
        <v>139</v>
      </c>
      <c r="C204" s="60" t="str">
        <f>IF(intervencao3=0,"Do not fill this line",intervencao3)</f>
        <v>Rosuvastatin 20mg</v>
      </c>
      <c r="D204" s="185"/>
      <c r="E204" s="185"/>
      <c r="F204" s="185"/>
      <c r="G204" s="186">
        <f t="shared" ref="G204:G215" si="14">G203</f>
        <v>0</v>
      </c>
      <c r="H204" s="186">
        <f t="shared" ref="H204:I215" si="15">H203</f>
        <v>0</v>
      </c>
      <c r="I204" s="186">
        <f t="shared" si="15"/>
        <v>0</v>
      </c>
      <c r="J204" s="233"/>
      <c r="K204" s="233"/>
      <c r="L204" s="233"/>
      <c r="M204" s="235"/>
      <c r="N204" s="236"/>
      <c r="O204" s="235"/>
      <c r="P204" s="236"/>
      <c r="Q204" s="236"/>
      <c r="R204" s="236"/>
      <c r="S204" s="237"/>
      <c r="T204" s="236"/>
      <c r="U204" s="233"/>
      <c r="V204" s="233"/>
      <c r="W204" s="233"/>
      <c r="X204" s="238"/>
    </row>
    <row r="205" spans="1:24" s="3" customFormat="1">
      <c r="A205" s="233"/>
      <c r="B205" s="66" t="s">
        <v>140</v>
      </c>
      <c r="C205" s="60" t="str">
        <f>IF(intervencao4=0,"Do not fill this line",intervencao4)</f>
        <v>Rosuvastatin 40mg</v>
      </c>
      <c r="D205" s="185"/>
      <c r="E205" s="185"/>
      <c r="F205" s="185"/>
      <c r="G205" s="186">
        <f t="shared" si="14"/>
        <v>0</v>
      </c>
      <c r="H205" s="186">
        <f t="shared" si="15"/>
        <v>0</v>
      </c>
      <c r="I205" s="186">
        <f t="shared" si="15"/>
        <v>0</v>
      </c>
      <c r="J205" s="233"/>
      <c r="K205" s="233"/>
      <c r="L205" s="233"/>
      <c r="M205" s="235"/>
      <c r="N205" s="236"/>
      <c r="O205" s="235"/>
      <c r="P205" s="236"/>
      <c r="Q205" s="236"/>
      <c r="R205" s="236"/>
      <c r="S205" s="237"/>
      <c r="T205" s="236"/>
      <c r="U205" s="233"/>
      <c r="V205" s="233"/>
      <c r="W205" s="233"/>
      <c r="X205" s="238"/>
    </row>
    <row r="206" spans="1:24" s="3" customFormat="1">
      <c r="A206" s="233"/>
      <c r="B206" s="66" t="s">
        <v>141</v>
      </c>
      <c r="C206" s="60" t="str">
        <f>IF(comparador1=0,"Do not fill this line",comparador1)</f>
        <v>Atorvastatin 10mg</v>
      </c>
      <c r="D206" s="185"/>
      <c r="E206" s="185"/>
      <c r="F206" s="185"/>
      <c r="G206" s="186">
        <f t="shared" si="14"/>
        <v>0</v>
      </c>
      <c r="H206" s="186">
        <f t="shared" si="15"/>
        <v>0</v>
      </c>
      <c r="I206" s="186">
        <f t="shared" si="15"/>
        <v>0</v>
      </c>
      <c r="J206" s="233"/>
      <c r="K206" s="233"/>
      <c r="L206" s="233"/>
      <c r="M206" s="235"/>
      <c r="N206" s="236"/>
      <c r="O206" s="235"/>
      <c r="P206" s="236"/>
      <c r="Q206" s="236"/>
      <c r="R206" s="236"/>
      <c r="S206" s="237"/>
      <c r="T206" s="236"/>
      <c r="U206" s="233"/>
      <c r="V206" s="233"/>
      <c r="W206" s="233"/>
      <c r="X206" s="238"/>
    </row>
    <row r="207" spans="1:24" s="3" customFormat="1">
      <c r="A207" s="233"/>
      <c r="B207" s="66" t="s">
        <v>142</v>
      </c>
      <c r="C207" s="60" t="str">
        <f>IF(comparador2=0,"Do not fill this line",comparador2)</f>
        <v>Atorvastatin 20mg</v>
      </c>
      <c r="D207" s="185"/>
      <c r="E207" s="185"/>
      <c r="F207" s="185"/>
      <c r="G207" s="186">
        <f t="shared" si="14"/>
        <v>0</v>
      </c>
      <c r="H207" s="186">
        <f t="shared" si="15"/>
        <v>0</v>
      </c>
      <c r="I207" s="186">
        <f t="shared" si="15"/>
        <v>0</v>
      </c>
      <c r="J207" s="233"/>
      <c r="K207" s="233"/>
      <c r="L207" s="233"/>
      <c r="M207" s="235"/>
      <c r="N207" s="236"/>
      <c r="O207" s="235"/>
      <c r="P207" s="236"/>
      <c r="Q207" s="236"/>
      <c r="R207" s="236"/>
      <c r="S207" s="237"/>
      <c r="T207" s="236"/>
      <c r="U207" s="233"/>
      <c r="V207" s="233"/>
      <c r="W207" s="233"/>
      <c r="X207" s="238"/>
    </row>
    <row r="208" spans="1:24" s="3" customFormat="1">
      <c r="A208" s="233"/>
      <c r="B208" s="66" t="s">
        <v>143</v>
      </c>
      <c r="C208" s="60" t="str">
        <f>IF(comparador3=0,"Do not fill this line",comparador3)</f>
        <v>Atorvastatin 40mg</v>
      </c>
      <c r="D208" s="185"/>
      <c r="E208" s="185"/>
      <c r="F208" s="185"/>
      <c r="G208" s="186">
        <f t="shared" si="14"/>
        <v>0</v>
      </c>
      <c r="H208" s="186">
        <f t="shared" si="15"/>
        <v>0</v>
      </c>
      <c r="I208" s="186">
        <f t="shared" si="15"/>
        <v>0</v>
      </c>
      <c r="J208" s="233"/>
      <c r="K208" s="233"/>
      <c r="L208" s="233"/>
      <c r="M208" s="235"/>
      <c r="N208" s="236"/>
      <c r="O208" s="235"/>
      <c r="P208" s="236"/>
      <c r="Q208" s="236"/>
      <c r="R208" s="236"/>
      <c r="S208" s="237"/>
      <c r="T208" s="236"/>
      <c r="U208" s="233"/>
      <c r="V208" s="233"/>
      <c r="W208" s="233"/>
      <c r="X208" s="238"/>
    </row>
    <row r="209" spans="1:24" s="3" customFormat="1">
      <c r="A209" s="233"/>
      <c r="B209" s="66" t="s">
        <v>144</v>
      </c>
      <c r="C209" s="60" t="str">
        <f>IF(comparador4=0,"Do not fill this line",comparador4)</f>
        <v>Atorvastatin 80mg</v>
      </c>
      <c r="D209" s="185"/>
      <c r="E209" s="185"/>
      <c r="F209" s="185"/>
      <c r="G209" s="186">
        <f t="shared" si="14"/>
        <v>0</v>
      </c>
      <c r="H209" s="186">
        <f t="shared" si="15"/>
        <v>0</v>
      </c>
      <c r="I209" s="186">
        <f t="shared" si="15"/>
        <v>0</v>
      </c>
      <c r="J209" s="233"/>
      <c r="K209" s="233"/>
      <c r="L209" s="233"/>
      <c r="M209" s="235"/>
      <c r="N209" s="236"/>
      <c r="O209" s="235"/>
      <c r="P209" s="236"/>
      <c r="Q209" s="236"/>
      <c r="R209" s="236"/>
      <c r="S209" s="237"/>
      <c r="T209" s="236"/>
      <c r="U209" s="233"/>
      <c r="V209" s="233"/>
      <c r="W209" s="233"/>
      <c r="X209" s="238"/>
    </row>
    <row r="210" spans="1:24" s="3" customFormat="1">
      <c r="A210" s="233"/>
      <c r="B210" s="66" t="s">
        <v>145</v>
      </c>
      <c r="C210" s="60" t="str">
        <f>IF(comparador5=0,"Do not fill this line",comparador5)</f>
        <v>Pravastatin</v>
      </c>
      <c r="D210" s="185"/>
      <c r="E210" s="185"/>
      <c r="F210" s="185"/>
      <c r="G210" s="186">
        <f t="shared" si="14"/>
        <v>0</v>
      </c>
      <c r="H210" s="186">
        <f t="shared" si="15"/>
        <v>0</v>
      </c>
      <c r="I210" s="186">
        <f t="shared" si="15"/>
        <v>0</v>
      </c>
      <c r="J210" s="233"/>
      <c r="K210" s="233"/>
      <c r="L210" s="233"/>
      <c r="M210" s="235"/>
      <c r="N210" s="236"/>
      <c r="O210" s="235"/>
      <c r="P210" s="236"/>
      <c r="Q210" s="236"/>
      <c r="R210" s="236"/>
      <c r="S210" s="237"/>
      <c r="T210" s="236"/>
      <c r="U210" s="233"/>
      <c r="V210" s="233"/>
      <c r="W210" s="233"/>
      <c r="X210" s="238"/>
    </row>
    <row r="211" spans="1:24" s="3" customFormat="1">
      <c r="A211" s="233"/>
      <c r="B211" s="66" t="s">
        <v>146</v>
      </c>
      <c r="C211" s="60" t="str">
        <f>IF(comparador6=0,"Do not fill this line",comparador6)</f>
        <v>Simvastatin 5mg</v>
      </c>
      <c r="D211" s="185"/>
      <c r="E211" s="185"/>
      <c r="F211" s="185"/>
      <c r="G211" s="186">
        <f t="shared" si="14"/>
        <v>0</v>
      </c>
      <c r="H211" s="186">
        <f t="shared" si="15"/>
        <v>0</v>
      </c>
      <c r="I211" s="186">
        <f t="shared" si="15"/>
        <v>0</v>
      </c>
      <c r="J211" s="233"/>
      <c r="K211" s="233"/>
      <c r="L211" s="233"/>
      <c r="M211" s="235"/>
      <c r="N211" s="236"/>
      <c r="O211" s="235"/>
      <c r="P211" s="236"/>
      <c r="Q211" s="236"/>
      <c r="R211" s="236"/>
      <c r="S211" s="237"/>
      <c r="T211" s="236"/>
      <c r="U211" s="233"/>
      <c r="V211" s="233"/>
      <c r="W211" s="233"/>
      <c r="X211" s="238"/>
    </row>
    <row r="212" spans="1:24" s="3" customFormat="1">
      <c r="A212" s="233"/>
      <c r="B212" s="66" t="s">
        <v>147</v>
      </c>
      <c r="C212" s="60" t="str">
        <f>IF(comparador7=0,"Do not fill this line",comparador7)</f>
        <v>Simvastatin 10mg</v>
      </c>
      <c r="D212" s="185"/>
      <c r="E212" s="185"/>
      <c r="F212" s="185"/>
      <c r="G212" s="186">
        <f t="shared" si="14"/>
        <v>0</v>
      </c>
      <c r="H212" s="186">
        <f t="shared" si="15"/>
        <v>0</v>
      </c>
      <c r="I212" s="186">
        <f t="shared" si="15"/>
        <v>0</v>
      </c>
      <c r="J212" s="233"/>
      <c r="K212" s="233"/>
      <c r="L212" s="233"/>
      <c r="M212" s="235"/>
      <c r="N212" s="236"/>
      <c r="O212" s="235"/>
      <c r="P212" s="236"/>
      <c r="Q212" s="236"/>
      <c r="R212" s="236"/>
      <c r="S212" s="237"/>
      <c r="T212" s="236"/>
      <c r="U212" s="233"/>
      <c r="V212" s="233"/>
      <c r="W212" s="233"/>
      <c r="X212" s="238"/>
    </row>
    <row r="213" spans="1:24" s="3" customFormat="1">
      <c r="A213" s="233"/>
      <c r="B213" s="66" t="s">
        <v>148</v>
      </c>
      <c r="C213" s="60" t="str">
        <f>IF(comparador8=0,"Do not fill this line",comparador8)</f>
        <v>Simvastatin 20mg</v>
      </c>
      <c r="D213" s="185"/>
      <c r="E213" s="185"/>
      <c r="F213" s="185"/>
      <c r="G213" s="186">
        <f t="shared" si="14"/>
        <v>0</v>
      </c>
      <c r="H213" s="186">
        <f t="shared" si="15"/>
        <v>0</v>
      </c>
      <c r="I213" s="186">
        <f t="shared" si="15"/>
        <v>0</v>
      </c>
      <c r="J213" s="233"/>
      <c r="K213" s="233"/>
      <c r="L213" s="233"/>
      <c r="M213" s="235"/>
      <c r="N213" s="236"/>
      <c r="O213" s="235"/>
      <c r="P213" s="236"/>
      <c r="Q213" s="236"/>
      <c r="R213" s="236"/>
      <c r="S213" s="237"/>
      <c r="T213" s="236"/>
      <c r="U213" s="233"/>
      <c r="V213" s="233"/>
      <c r="W213" s="233"/>
      <c r="X213" s="238"/>
    </row>
    <row r="214" spans="1:24" s="3" customFormat="1">
      <c r="A214" s="233"/>
      <c r="B214" s="66" t="s">
        <v>149</v>
      </c>
      <c r="C214" s="60" t="str">
        <f>IF(comparador9=0,"Do not fill this line",comparador9)</f>
        <v>Simvastatin 40mg</v>
      </c>
      <c r="D214" s="185"/>
      <c r="E214" s="185"/>
      <c r="F214" s="185"/>
      <c r="G214" s="186">
        <f t="shared" si="14"/>
        <v>0</v>
      </c>
      <c r="H214" s="186">
        <f t="shared" si="15"/>
        <v>0</v>
      </c>
      <c r="I214" s="186">
        <f t="shared" si="15"/>
        <v>0</v>
      </c>
      <c r="J214" s="233"/>
      <c r="K214" s="233"/>
      <c r="L214" s="233"/>
      <c r="M214" s="235"/>
      <c r="N214" s="236"/>
      <c r="O214" s="235"/>
      <c r="P214" s="236"/>
      <c r="Q214" s="236"/>
      <c r="R214" s="236"/>
      <c r="S214" s="237"/>
      <c r="T214" s="236"/>
      <c r="U214" s="233"/>
      <c r="V214" s="233"/>
      <c r="W214" s="233"/>
      <c r="X214" s="238"/>
    </row>
    <row r="215" spans="1:24" s="3" customFormat="1">
      <c r="A215" s="233"/>
      <c r="B215" s="66" t="s">
        <v>150</v>
      </c>
      <c r="C215" s="60" t="str">
        <f>IF(comparador10=0,"Do not fill this line",comparador10)</f>
        <v>Do not fill this line</v>
      </c>
      <c r="D215" s="185"/>
      <c r="E215" s="185"/>
      <c r="F215" s="185"/>
      <c r="G215" s="186">
        <f t="shared" si="14"/>
        <v>0</v>
      </c>
      <c r="H215" s="186">
        <f t="shared" si="15"/>
        <v>0</v>
      </c>
      <c r="I215" s="186">
        <f t="shared" si="15"/>
        <v>0</v>
      </c>
      <c r="J215" s="233"/>
      <c r="K215" s="233"/>
      <c r="L215" s="233"/>
      <c r="M215" s="235"/>
      <c r="N215" s="236"/>
      <c r="O215" s="235"/>
      <c r="P215" s="236"/>
      <c r="Q215" s="236"/>
      <c r="R215" s="236"/>
      <c r="S215" s="237"/>
      <c r="T215" s="236"/>
      <c r="U215" s="233"/>
      <c r="V215" s="233"/>
      <c r="W215" s="233"/>
      <c r="X215" s="238"/>
    </row>
    <row r="216" spans="1:24" s="3" customFormat="1">
      <c r="A216" s="233"/>
      <c r="B216" s="163"/>
      <c r="C216" s="83"/>
      <c r="D216" s="234"/>
      <c r="E216" s="11"/>
      <c r="F216" s="233"/>
      <c r="G216" s="233"/>
      <c r="H216" s="233"/>
      <c r="I216" s="233"/>
      <c r="J216" s="233"/>
      <c r="K216" s="233"/>
      <c r="L216" s="233"/>
      <c r="M216" s="235"/>
      <c r="N216" s="236"/>
      <c r="O216" s="235"/>
      <c r="P216" s="236"/>
      <c r="Q216" s="236"/>
      <c r="R216" s="236"/>
      <c r="S216" s="237"/>
      <c r="T216" s="236"/>
      <c r="U216" s="233"/>
      <c r="V216" s="233"/>
      <c r="W216" s="233"/>
      <c r="X216" s="238"/>
    </row>
    <row r="217" spans="1:24" s="3" customFormat="1">
      <c r="A217" s="233"/>
      <c r="B217" s="187"/>
      <c r="C217" s="11"/>
      <c r="D217" s="234"/>
      <c r="E217" s="11"/>
      <c r="F217" s="233"/>
      <c r="G217" s="233"/>
      <c r="H217" s="233"/>
      <c r="I217" s="233"/>
      <c r="J217" s="233"/>
      <c r="K217" s="233"/>
      <c r="L217" s="233"/>
      <c r="M217" s="235"/>
      <c r="N217" s="236"/>
      <c r="O217" s="235"/>
      <c r="P217" s="236"/>
      <c r="Q217" s="236"/>
      <c r="R217" s="236"/>
      <c r="S217" s="237"/>
      <c r="T217" s="236"/>
      <c r="U217" s="233"/>
      <c r="V217" s="233"/>
      <c r="W217" s="233"/>
      <c r="X217" s="238"/>
    </row>
    <row r="228" spans="2:13">
      <c r="B228" s="7"/>
      <c r="C228" s="7"/>
      <c r="D228" s="7"/>
      <c r="E228" s="7"/>
      <c r="F228" s="7"/>
      <c r="G228" s="7"/>
      <c r="H228" s="7"/>
      <c r="I228" s="7"/>
      <c r="J228" s="7"/>
      <c r="K228" s="7"/>
      <c r="L228" s="142"/>
      <c r="M228" s="142"/>
    </row>
    <row r="229" spans="2:13">
      <c r="B229" s="65"/>
      <c r="C229" s="65"/>
      <c r="D229" s="65"/>
      <c r="E229" s="65"/>
      <c r="F229" s="65"/>
      <c r="G229" s="65"/>
      <c r="H229" s="65"/>
      <c r="I229" s="65"/>
      <c r="J229" s="65"/>
      <c r="K229" s="65"/>
      <c r="L229" s="65"/>
      <c r="M229" s="65"/>
    </row>
    <row r="230" spans="2:13">
      <c r="B230" s="406" t="s">
        <v>77</v>
      </c>
      <c r="C230" s="406"/>
      <c r="D230" s="406"/>
      <c r="E230" s="406"/>
      <c r="F230" s="406"/>
      <c r="G230" s="406"/>
      <c r="H230" s="406"/>
      <c r="I230" s="406"/>
      <c r="J230" s="406"/>
      <c r="K230" s="406"/>
      <c r="L230" s="406"/>
      <c r="M230" s="406"/>
    </row>
    <row r="231" spans="2:13">
      <c r="B231" s="406"/>
      <c r="C231" s="406"/>
      <c r="D231" s="406"/>
      <c r="E231" s="406"/>
      <c r="F231" s="406"/>
      <c r="G231" s="406"/>
      <c r="H231" s="406"/>
      <c r="I231" s="406"/>
      <c r="J231" s="406"/>
      <c r="K231" s="406"/>
      <c r="L231" s="406"/>
      <c r="M231" s="406"/>
    </row>
    <row r="232" spans="2:13" s="3" customFormat="1" ht="85.95" customHeight="1">
      <c r="B232" s="405" t="e" vm="1">
        <v>#VALUE!</v>
      </c>
      <c r="C232" s="405"/>
      <c r="D232" s="405"/>
      <c r="E232" s="405"/>
      <c r="F232" s="405"/>
      <c r="G232" s="405"/>
      <c r="H232" s="405"/>
      <c r="I232" s="405"/>
      <c r="J232" s="405"/>
      <c r="K232" s="405"/>
      <c r="L232" s="405"/>
      <c r="M232" s="405"/>
    </row>
  </sheetData>
  <sheetProtection algorithmName="SHA-512" hashValue="YMD1BZL3/G0UOIkTlnysnG3d1LS8eVuydjjKCvPlkV7P4cSTrvJfUPRNuCz/w6TPtP3hFsyJju8t0CX7exOsIg==" saltValue="sNfFz4OotFykXId28xtgeA==" spinCount="100000" sheet="1" formatCells="0" formatColumns="0" formatRows="0"/>
  <mergeCells count="229">
    <mergeCell ref="G200:I200"/>
    <mergeCell ref="B152:C152"/>
    <mergeCell ref="D152:E152"/>
    <mergeCell ref="B153:C153"/>
    <mergeCell ref="D153:E153"/>
    <mergeCell ref="B154:C154"/>
    <mergeCell ref="D154:E154"/>
    <mergeCell ref="B155:C155"/>
    <mergeCell ref="D155:E155"/>
    <mergeCell ref="B156:C156"/>
    <mergeCell ref="D156:E156"/>
    <mergeCell ref="B164:C164"/>
    <mergeCell ref="D164:E164"/>
    <mergeCell ref="B165:C165"/>
    <mergeCell ref="D165:E165"/>
    <mergeCell ref="B166:C166"/>
    <mergeCell ref="D166:E166"/>
    <mergeCell ref="B170:C170"/>
    <mergeCell ref="D170:E170"/>
    <mergeCell ref="B171:C171"/>
    <mergeCell ref="D171:E171"/>
    <mergeCell ref="B172:C172"/>
    <mergeCell ref="D172:E172"/>
    <mergeCell ref="B157:C157"/>
    <mergeCell ref="D30:F30"/>
    <mergeCell ref="G30:I30"/>
    <mergeCell ref="B149:C149"/>
    <mergeCell ref="D149:E149"/>
    <mergeCell ref="B150:C150"/>
    <mergeCell ref="D150:E150"/>
    <mergeCell ref="B151:C151"/>
    <mergeCell ref="D151:E151"/>
    <mergeCell ref="B82:C82"/>
    <mergeCell ref="D82:E82"/>
    <mergeCell ref="B83:C83"/>
    <mergeCell ref="D83:E83"/>
    <mergeCell ref="B84:C84"/>
    <mergeCell ref="D84:E84"/>
    <mergeCell ref="D75:E75"/>
    <mergeCell ref="D76:E76"/>
    <mergeCell ref="B75:C75"/>
    <mergeCell ref="B76:C76"/>
    <mergeCell ref="B77:C77"/>
    <mergeCell ref="D77:E77"/>
    <mergeCell ref="B78:C78"/>
    <mergeCell ref="D78:E78"/>
    <mergeCell ref="B79:C79"/>
    <mergeCell ref="D79:E79"/>
    <mergeCell ref="B105:C105"/>
    <mergeCell ref="D105:E105"/>
    <mergeCell ref="B94:C94"/>
    <mergeCell ref="D94:E94"/>
    <mergeCell ref="B95:C95"/>
    <mergeCell ref="D95:E95"/>
    <mergeCell ref="B96:C96"/>
    <mergeCell ref="D96:E96"/>
    <mergeCell ref="B97:C97"/>
    <mergeCell ref="D97:E97"/>
    <mergeCell ref="B98:C98"/>
    <mergeCell ref="D98:E98"/>
    <mergeCell ref="B102:C102"/>
    <mergeCell ref="D102:E102"/>
    <mergeCell ref="B103:C103"/>
    <mergeCell ref="D103:E103"/>
    <mergeCell ref="B104:C104"/>
    <mergeCell ref="D104:E104"/>
    <mergeCell ref="B99:C99"/>
    <mergeCell ref="D99:E99"/>
    <mergeCell ref="B114:C114"/>
    <mergeCell ref="D114:E114"/>
    <mergeCell ref="B115:C115"/>
    <mergeCell ref="D115:E115"/>
    <mergeCell ref="B116:C116"/>
    <mergeCell ref="D116:E116"/>
    <mergeCell ref="B112:C112"/>
    <mergeCell ref="D112:E112"/>
    <mergeCell ref="B113:C113"/>
    <mergeCell ref="D113:E113"/>
    <mergeCell ref="D120:E120"/>
    <mergeCell ref="B121:C121"/>
    <mergeCell ref="D121:E121"/>
    <mergeCell ref="B122:C122"/>
    <mergeCell ref="D122:E122"/>
    <mergeCell ref="B117:C117"/>
    <mergeCell ref="D117:E117"/>
    <mergeCell ref="B118:C118"/>
    <mergeCell ref="D118:E118"/>
    <mergeCell ref="B119:C119"/>
    <mergeCell ref="D119:E119"/>
    <mergeCell ref="D157:E157"/>
    <mergeCell ref="B158:C158"/>
    <mergeCell ref="D158:E158"/>
    <mergeCell ref="B159:C159"/>
    <mergeCell ref="D159:E159"/>
    <mergeCell ref="D200:F200"/>
    <mergeCell ref="B167:C167"/>
    <mergeCell ref="D167:E167"/>
    <mergeCell ref="B168:C168"/>
    <mergeCell ref="D168:E168"/>
    <mergeCell ref="B169:C169"/>
    <mergeCell ref="D169:E169"/>
    <mergeCell ref="B180:C180"/>
    <mergeCell ref="D180:E180"/>
    <mergeCell ref="B181:C181"/>
    <mergeCell ref="D181:E181"/>
    <mergeCell ref="B173:C173"/>
    <mergeCell ref="B179:C179"/>
    <mergeCell ref="D179:E179"/>
    <mergeCell ref="B142:C142"/>
    <mergeCell ref="D142:E142"/>
    <mergeCell ref="B139:C139"/>
    <mergeCell ref="D139:E139"/>
    <mergeCell ref="B140:C140"/>
    <mergeCell ref="D140:E140"/>
    <mergeCell ref="B130:C130"/>
    <mergeCell ref="D130:E130"/>
    <mergeCell ref="B131:C131"/>
    <mergeCell ref="D131:E131"/>
    <mergeCell ref="B138:C138"/>
    <mergeCell ref="D138:E138"/>
    <mergeCell ref="B141:C141"/>
    <mergeCell ref="D141:E141"/>
    <mergeCell ref="B135:C135"/>
    <mergeCell ref="D135:E135"/>
    <mergeCell ref="D67:E67"/>
    <mergeCell ref="D68:E68"/>
    <mergeCell ref="B65:C65"/>
    <mergeCell ref="B132:C132"/>
    <mergeCell ref="D132:E132"/>
    <mergeCell ref="B133:C133"/>
    <mergeCell ref="D133:E133"/>
    <mergeCell ref="B134:C134"/>
    <mergeCell ref="D134:E134"/>
    <mergeCell ref="B129:C129"/>
    <mergeCell ref="D129:E129"/>
    <mergeCell ref="B126:C126"/>
    <mergeCell ref="D126:E126"/>
    <mergeCell ref="B127:C127"/>
    <mergeCell ref="D127:E127"/>
    <mergeCell ref="B128:C128"/>
    <mergeCell ref="D128:E128"/>
    <mergeCell ref="B123:C123"/>
    <mergeCell ref="D123:E123"/>
    <mergeCell ref="B124:C124"/>
    <mergeCell ref="D124:E124"/>
    <mergeCell ref="B125:C125"/>
    <mergeCell ref="D125:E125"/>
    <mergeCell ref="B120:C120"/>
    <mergeCell ref="B66:C66"/>
    <mergeCell ref="B67:C67"/>
    <mergeCell ref="B68:C68"/>
    <mergeCell ref="B136:C136"/>
    <mergeCell ref="D136:E136"/>
    <mergeCell ref="B137:C137"/>
    <mergeCell ref="D137:E137"/>
    <mergeCell ref="B55:C55"/>
    <mergeCell ref="B56:C56"/>
    <mergeCell ref="B58:C58"/>
    <mergeCell ref="B59:C59"/>
    <mergeCell ref="B60:C60"/>
    <mergeCell ref="B61:C61"/>
    <mergeCell ref="B62:C62"/>
    <mergeCell ref="D63:E63"/>
    <mergeCell ref="D64:E64"/>
    <mergeCell ref="B63:C63"/>
    <mergeCell ref="B64:C64"/>
    <mergeCell ref="B100:C100"/>
    <mergeCell ref="D100:E100"/>
    <mergeCell ref="B101:C101"/>
    <mergeCell ref="D101:E101"/>
    <mergeCell ref="D65:E65"/>
    <mergeCell ref="D66:E66"/>
    <mergeCell ref="B54:C54"/>
    <mergeCell ref="D54:E54"/>
    <mergeCell ref="D55:E55"/>
    <mergeCell ref="D56:E56"/>
    <mergeCell ref="D58:E58"/>
    <mergeCell ref="D59:E59"/>
    <mergeCell ref="D60:E60"/>
    <mergeCell ref="D61:E61"/>
    <mergeCell ref="D62:E62"/>
    <mergeCell ref="B57:C57"/>
    <mergeCell ref="D57:E57"/>
    <mergeCell ref="B91:C91"/>
    <mergeCell ref="D91:E91"/>
    <mergeCell ref="B92:C92"/>
    <mergeCell ref="D92:E92"/>
    <mergeCell ref="B93:C93"/>
    <mergeCell ref="D93:E93"/>
    <mergeCell ref="B80:C80"/>
    <mergeCell ref="D80:E80"/>
    <mergeCell ref="B81:C81"/>
    <mergeCell ref="D81:E81"/>
    <mergeCell ref="B88:C88"/>
    <mergeCell ref="D88:E88"/>
    <mergeCell ref="B89:C89"/>
    <mergeCell ref="D89:E89"/>
    <mergeCell ref="B90:C90"/>
    <mergeCell ref="D90:E90"/>
    <mergeCell ref="B85:C85"/>
    <mergeCell ref="D85:E85"/>
    <mergeCell ref="B86:C86"/>
    <mergeCell ref="D86:E86"/>
    <mergeCell ref="B87:C87"/>
    <mergeCell ref="D87:E87"/>
    <mergeCell ref="B230:M231"/>
    <mergeCell ref="B232:M232"/>
    <mergeCell ref="J30:J31"/>
    <mergeCell ref="B30:C31"/>
    <mergeCell ref="B200:C201"/>
    <mergeCell ref="B182:C182"/>
    <mergeCell ref="D182:E182"/>
    <mergeCell ref="B188:C188"/>
    <mergeCell ref="D188:E188"/>
    <mergeCell ref="B189:C189"/>
    <mergeCell ref="D189:E189"/>
    <mergeCell ref="B183:C183"/>
    <mergeCell ref="D183:E183"/>
    <mergeCell ref="B184:C184"/>
    <mergeCell ref="D184:E184"/>
    <mergeCell ref="B185:C185"/>
    <mergeCell ref="D185:E185"/>
    <mergeCell ref="B186:C186"/>
    <mergeCell ref="D186:E186"/>
    <mergeCell ref="B187:C187"/>
    <mergeCell ref="D187:E187"/>
    <mergeCell ref="D173:E173"/>
    <mergeCell ref="B174:C174"/>
    <mergeCell ref="D174:E174"/>
  </mergeCells>
  <phoneticPr fontId="2" type="noConversion"/>
  <conditionalFormatting sqref="D202:F215">
    <cfRule type="expression" dxfId="42" priority="3">
      <formula>$C202="Do not fill this line"</formula>
    </cfRule>
  </conditionalFormatting>
  <conditionalFormatting sqref="D203:F203">
    <cfRule type="expression" dxfId="41" priority="2" stopIfTrue="1">
      <formula>$B203="Do not fill this line"</formula>
    </cfRule>
  </conditionalFormatting>
  <conditionalFormatting sqref="D204:F204">
    <cfRule type="expression" dxfId="40" priority="1" stopIfTrue="1">
      <formula>$B204="Do not fill this line"</formula>
    </cfRule>
  </conditionalFormatting>
  <dataValidations count="1">
    <dataValidation type="list" allowBlank="1" showInputMessage="1" showErrorMessage="1" sqref="D198" xr:uid="{5325D9D5-22F4-48A4-BF54-82E62C1FF21B}">
      <formula1>"Yes,No"</formula1>
    </dataValidation>
  </dataValidations>
  <pageMargins left="0.511811024" right="0.511811024" top="0.78740157499999996" bottom="0.78740157499999996" header="0.31496062000000002" footer="0.31496062000000002"/>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D0F04ED-0066-4E66-BB7C-0D6FEB812679}">
          <x14:formula1>
            <xm:f>Definitions!$S$5:$S$18</xm:f>
          </x14:formula1>
          <xm:sqref>B113:C142 B55:C68 B76:C105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DF4A-A31F-4978-A6AF-C6E1EDFF46FF}">
  <sheetPr codeName="Planilha8">
    <tabColor rgb="FFDDCFAD"/>
  </sheetPr>
  <dimension ref="A1:AQ141"/>
  <sheetViews>
    <sheetView showGridLines="0" showRowColHeaders="0" topLeftCell="A83" zoomScaleNormal="100" workbookViewId="0">
      <selection activeCell="K87" sqref="K87"/>
    </sheetView>
  </sheetViews>
  <sheetFormatPr defaultColWidth="8.77734375" defaultRowHeight="14.4"/>
  <cols>
    <col min="1" max="1" width="4.33203125" style="3" customWidth="1"/>
    <col min="2" max="2" width="4" style="3" customWidth="1"/>
    <col min="3" max="3" width="39.44140625" style="3" customWidth="1"/>
    <col min="4" max="8" width="9.77734375" style="3" customWidth="1"/>
    <col min="9" max="9" width="19.109375" style="3" customWidth="1"/>
    <col min="10" max="10" width="11" style="172" customWidth="1"/>
    <col min="11" max="11" width="11.33203125" style="3" customWidth="1"/>
    <col min="12" max="12" width="11.44140625" style="3" customWidth="1"/>
    <col min="13" max="13" width="11.77734375" style="4" customWidth="1"/>
    <col min="14" max="14" width="6.33203125" style="4" customWidth="1"/>
    <col min="15" max="16" width="6.33203125" style="3" customWidth="1"/>
    <col min="17" max="17" width="27" style="305" customWidth="1"/>
    <col min="18" max="21" width="10.33203125" style="305" customWidth="1"/>
    <col min="22" max="22" width="2.6640625" style="305" customWidth="1"/>
    <col min="23" max="23" width="2.6640625" style="3" customWidth="1"/>
    <col min="24" max="24" width="25.77734375" style="305" customWidth="1"/>
    <col min="25" max="28" width="10.33203125" style="305" customWidth="1"/>
    <col min="29" max="29" width="2.6640625" style="305" customWidth="1"/>
    <col min="30" max="30" width="2.6640625" style="3" customWidth="1"/>
    <col min="31" max="31" width="25.77734375" style="305" customWidth="1"/>
    <col min="32" max="35" width="10.33203125" style="3" customWidth="1"/>
    <col min="36" max="37" width="2.6640625" style="3" customWidth="1"/>
    <col min="38" max="38" width="25.77734375" style="3" customWidth="1"/>
    <col min="39" max="39" width="11.44140625" style="3" customWidth="1"/>
    <col min="40" max="40" width="11.109375" style="3" customWidth="1"/>
    <col min="41" max="41" width="12" style="3" customWidth="1"/>
    <col min="42" max="42" width="11.44140625" style="3" customWidth="1"/>
    <col min="43" max="43" width="12.44140625" style="3" customWidth="1"/>
    <col min="44" max="16384" width="8.77734375" style="3"/>
  </cols>
  <sheetData>
    <row r="1" spans="1:31" s="130" customFormat="1" ht="33.6">
      <c r="A1" s="127"/>
      <c r="B1" s="128" t="str">
        <f>Introduction!$B$1</f>
        <v>Budget impact analysis of treatments for Patients at high and very high cardiovascular risk</v>
      </c>
      <c r="C1" s="128"/>
      <c r="D1" s="129"/>
      <c r="E1" s="127"/>
      <c r="F1" s="127"/>
      <c r="G1" s="127"/>
      <c r="H1" s="127"/>
      <c r="I1" s="127"/>
      <c r="J1" s="127"/>
      <c r="K1" s="127"/>
      <c r="L1" s="127"/>
      <c r="M1" s="217"/>
      <c r="N1" s="217"/>
      <c r="O1" s="127"/>
      <c r="P1" s="127"/>
      <c r="Q1" s="129"/>
      <c r="R1" s="129"/>
      <c r="S1" s="129"/>
      <c r="T1" s="129"/>
      <c r="U1" s="129"/>
      <c r="V1" s="129"/>
      <c r="W1" s="127"/>
      <c r="X1" s="129"/>
      <c r="Y1" s="129"/>
      <c r="Z1" s="129"/>
      <c r="AA1" s="129"/>
      <c r="AB1" s="129"/>
      <c r="AC1" s="129"/>
      <c r="AD1" s="127"/>
      <c r="AE1" s="129"/>
    </row>
    <row r="2" spans="1:31" s="130" customFormat="1" ht="18">
      <c r="A2" s="127"/>
      <c r="B2" s="131"/>
      <c r="C2" s="131"/>
      <c r="D2" s="132"/>
      <c r="E2" s="133"/>
      <c r="F2" s="133"/>
      <c r="G2" s="133"/>
      <c r="H2" s="133"/>
      <c r="I2" s="133"/>
      <c r="J2" s="133"/>
      <c r="K2" s="133"/>
      <c r="L2" s="133"/>
      <c r="M2" s="217"/>
      <c r="N2" s="217"/>
      <c r="O2" s="127"/>
      <c r="P2" s="127"/>
      <c r="Q2" s="129"/>
      <c r="R2" s="129"/>
      <c r="S2" s="129"/>
      <c r="T2" s="129"/>
      <c r="U2" s="129"/>
      <c r="V2" s="129"/>
      <c r="W2" s="127"/>
      <c r="X2" s="129"/>
      <c r="Y2" s="129"/>
      <c r="Z2" s="129"/>
      <c r="AA2" s="129"/>
      <c r="AB2" s="129"/>
      <c r="AC2" s="129"/>
      <c r="AD2" s="127"/>
      <c r="AE2" s="129"/>
    </row>
    <row r="3" spans="1:31" s="134" customFormat="1" ht="4.2">
      <c r="D3" s="135"/>
      <c r="M3" s="218"/>
      <c r="N3" s="218"/>
      <c r="Q3" s="135"/>
      <c r="R3" s="135"/>
      <c r="S3" s="135"/>
      <c r="T3" s="135"/>
      <c r="U3" s="135"/>
      <c r="V3" s="135"/>
      <c r="X3" s="135"/>
      <c r="Y3" s="135"/>
      <c r="Z3" s="135"/>
      <c r="AA3" s="135"/>
      <c r="AB3" s="135"/>
      <c r="AC3" s="135"/>
      <c r="AE3" s="135"/>
    </row>
    <row r="4" spans="1:31">
      <c r="A4" s="9"/>
      <c r="B4" s="9"/>
      <c r="C4" s="9"/>
      <c r="D4" s="9"/>
      <c r="E4" s="9"/>
      <c r="F4" s="9"/>
      <c r="G4" s="9"/>
      <c r="H4" s="9"/>
      <c r="I4" s="9"/>
      <c r="J4" s="9"/>
      <c r="K4" s="9"/>
      <c r="L4" s="9"/>
      <c r="O4" s="9"/>
      <c r="P4" s="9"/>
      <c r="Q4" s="11"/>
      <c r="R4" s="11"/>
      <c r="S4" s="11"/>
      <c r="T4" s="11"/>
      <c r="U4" s="11"/>
      <c r="V4" s="11"/>
      <c r="W4" s="9"/>
      <c r="X4" s="11"/>
      <c r="Y4" s="11"/>
      <c r="Z4" s="11"/>
      <c r="AA4" s="11"/>
      <c r="AB4" s="11"/>
      <c r="AC4" s="11"/>
      <c r="AD4" s="9"/>
      <c r="AE4" s="11"/>
    </row>
    <row r="5" spans="1:31" s="137" customFormat="1" ht="18">
      <c r="A5" s="136"/>
      <c r="C5" s="140" t="s">
        <v>198</v>
      </c>
      <c r="D5" s="138"/>
      <c r="F5" s="43"/>
      <c r="M5" s="187"/>
      <c r="N5" s="187"/>
      <c r="Q5" s="138"/>
      <c r="R5" s="138"/>
      <c r="S5" s="138"/>
      <c r="T5" s="138"/>
      <c r="U5" s="138"/>
      <c r="V5" s="138"/>
      <c r="X5" s="138"/>
      <c r="Y5" s="138"/>
      <c r="Z5" s="138"/>
      <c r="AA5" s="138"/>
      <c r="AB5" s="138"/>
      <c r="AC5" s="138"/>
      <c r="AE5" s="138"/>
    </row>
    <row r="6" spans="1:31" customFormat="1">
      <c r="C6" s="136" t="s">
        <v>199</v>
      </c>
      <c r="M6" s="283"/>
      <c r="N6" s="283"/>
      <c r="Q6" s="284"/>
      <c r="R6" s="284"/>
      <c r="S6" s="284"/>
      <c r="T6" s="284"/>
      <c r="U6" s="284"/>
      <c r="V6" s="284"/>
      <c r="X6" s="284"/>
      <c r="Y6" s="284"/>
      <c r="Z6" s="284"/>
      <c r="AA6" s="284"/>
      <c r="AB6" s="284"/>
      <c r="AC6" s="284"/>
      <c r="AE6" s="284"/>
    </row>
    <row r="7" spans="1:31" customFormat="1">
      <c r="C7" s="136" t="s">
        <v>200</v>
      </c>
      <c r="M7" s="283"/>
      <c r="N7" s="283"/>
      <c r="Q7" s="284"/>
      <c r="R7" s="284"/>
      <c r="S7" s="284"/>
      <c r="T7" s="284"/>
      <c r="U7" s="284"/>
      <c r="V7" s="284"/>
      <c r="X7" s="284"/>
      <c r="Y7" s="284"/>
      <c r="Z7" s="284"/>
      <c r="AA7" s="284"/>
      <c r="AB7" s="284"/>
      <c r="AC7" s="284"/>
      <c r="AE7" s="284"/>
    </row>
    <row r="8" spans="1:31">
      <c r="A8" s="9"/>
      <c r="B8" s="9"/>
      <c r="C8" s="136" t="s">
        <v>201</v>
      </c>
      <c r="D8" s="9"/>
      <c r="E8" s="11"/>
      <c r="F8" s="9"/>
      <c r="G8" s="9"/>
      <c r="H8" s="9"/>
      <c r="I8" s="9"/>
      <c r="K8" s="9"/>
      <c r="L8" s="9"/>
      <c r="O8" s="9"/>
      <c r="P8" s="9"/>
      <c r="Q8" s="11"/>
      <c r="R8" s="11"/>
      <c r="S8" s="11"/>
      <c r="T8" s="11"/>
      <c r="U8" s="11"/>
      <c r="V8" s="11"/>
      <c r="W8" s="9"/>
      <c r="X8" s="11"/>
      <c r="Y8" s="11"/>
      <c r="Z8" s="11"/>
      <c r="AA8" s="11"/>
      <c r="AB8" s="11"/>
      <c r="AC8" s="11"/>
      <c r="AD8" s="9"/>
      <c r="AE8" s="11"/>
    </row>
    <row r="9" spans="1:31">
      <c r="A9" s="9"/>
      <c r="B9" s="9"/>
      <c r="C9" s="4"/>
      <c r="D9" s="9"/>
      <c r="E9" s="11"/>
      <c r="F9" s="9"/>
      <c r="G9" s="9"/>
      <c r="H9" s="9"/>
      <c r="I9" s="9"/>
      <c r="K9" s="9"/>
      <c r="L9" s="9"/>
      <c r="O9" s="9"/>
      <c r="P9" s="9"/>
      <c r="Q9" s="11"/>
      <c r="R9" s="11"/>
      <c r="S9" s="11"/>
      <c r="T9" s="11"/>
      <c r="U9" s="11"/>
      <c r="V9" s="11"/>
      <c r="W9" s="9"/>
      <c r="X9" s="11"/>
      <c r="Y9" s="11"/>
      <c r="Z9" s="11"/>
      <c r="AA9" s="11"/>
      <c r="AB9" s="11"/>
      <c r="AC9" s="11"/>
      <c r="AD9" s="9"/>
      <c r="AE9" s="11"/>
    </row>
    <row r="10" spans="1:31">
      <c r="A10" s="9"/>
      <c r="B10" s="9"/>
      <c r="C10" s="448" t="s">
        <v>202</v>
      </c>
      <c r="D10" s="448"/>
      <c r="E10" s="448"/>
      <c r="F10" s="448"/>
      <c r="G10" s="448"/>
      <c r="H10" s="448"/>
      <c r="I10" s="9"/>
      <c r="K10" s="9"/>
      <c r="L10" s="9"/>
      <c r="O10" s="9"/>
      <c r="P10" s="9"/>
      <c r="Q10" s="11"/>
      <c r="R10" s="11"/>
      <c r="S10" s="11"/>
      <c r="T10" s="11"/>
      <c r="U10" s="11"/>
      <c r="V10" s="11"/>
      <c r="W10" s="9"/>
      <c r="X10" s="11"/>
      <c r="Y10" s="11"/>
      <c r="Z10" s="11"/>
      <c r="AA10" s="11"/>
      <c r="AB10" s="11"/>
      <c r="AC10" s="11"/>
      <c r="AD10" s="9"/>
      <c r="AE10" s="11"/>
    </row>
    <row r="11" spans="1:31">
      <c r="A11" s="9"/>
      <c r="B11" s="9"/>
      <c r="C11" s="285" t="str">
        <f>IF(D12=0,"Informe a resposta para cada ano"," ")</f>
        <v xml:space="preserve"> </v>
      </c>
      <c r="D11" s="189" t="s">
        <v>193</v>
      </c>
      <c r="E11" s="189" t="s">
        <v>194</v>
      </c>
      <c r="F11" s="189" t="s">
        <v>195</v>
      </c>
      <c r="G11" s="189" t="s">
        <v>197</v>
      </c>
      <c r="H11" s="189" t="s">
        <v>196</v>
      </c>
      <c r="I11" s="9"/>
      <c r="K11" s="9"/>
      <c r="L11" s="9"/>
      <c r="O11" s="9"/>
      <c r="P11" s="9"/>
      <c r="Q11" s="11"/>
      <c r="R11" s="11"/>
      <c r="S11" s="11"/>
      <c r="T11" s="11"/>
      <c r="U11" s="11"/>
      <c r="V11" s="11"/>
      <c r="W11" s="9"/>
      <c r="X11" s="11"/>
      <c r="Y11" s="11"/>
      <c r="Z11" s="11"/>
      <c r="AA11" s="11"/>
      <c r="AB11" s="11"/>
      <c r="AC11" s="11"/>
      <c r="AD11" s="9"/>
      <c r="AE11" s="11"/>
    </row>
    <row r="12" spans="1:31">
      <c r="A12" s="9"/>
      <c r="B12" s="9"/>
      <c r="C12" s="10" t="str">
        <f>IF(intervencao1=0,"Do not fill this line",intervencao1)</f>
        <v>Rosuvastatin 5mg</v>
      </c>
      <c r="D12" s="212">
        <v>12</v>
      </c>
      <c r="E12" s="212">
        <v>12</v>
      </c>
      <c r="F12" s="212">
        <v>12</v>
      </c>
      <c r="G12" s="212">
        <v>12</v>
      </c>
      <c r="H12" s="212">
        <v>12</v>
      </c>
      <c r="I12" s="286" t="s">
        <v>204</v>
      </c>
      <c r="K12" s="9"/>
      <c r="L12" s="9"/>
      <c r="O12" s="9"/>
      <c r="P12" s="9"/>
      <c r="Q12" s="11"/>
      <c r="R12" s="11"/>
      <c r="S12" s="11"/>
      <c r="T12" s="11"/>
      <c r="U12" s="11"/>
      <c r="V12" s="11"/>
      <c r="W12" s="9"/>
      <c r="X12" s="11"/>
      <c r="Y12" s="11"/>
      <c r="Z12" s="11"/>
      <c r="AA12" s="11"/>
      <c r="AB12" s="11"/>
      <c r="AC12" s="11"/>
      <c r="AD12" s="9"/>
      <c r="AE12" s="11"/>
    </row>
    <row r="13" spans="1:31">
      <c r="A13" s="9"/>
      <c r="B13" s="9"/>
      <c r="C13" s="10" t="str">
        <f>IF(intervencao2=0,"Do not fill this line",intervencao2)</f>
        <v>Rosuvastatin 10mg</v>
      </c>
      <c r="D13" s="212">
        <v>12</v>
      </c>
      <c r="E13" s="212">
        <v>12</v>
      </c>
      <c r="F13" s="212">
        <v>12</v>
      </c>
      <c r="G13" s="212">
        <v>12</v>
      </c>
      <c r="H13" s="212">
        <v>12</v>
      </c>
      <c r="I13" s="286" t="s">
        <v>204</v>
      </c>
      <c r="K13" s="9"/>
      <c r="L13" s="9"/>
      <c r="O13" s="9"/>
      <c r="P13" s="9"/>
      <c r="Q13" s="11"/>
      <c r="R13" s="11"/>
      <c r="S13" s="11"/>
      <c r="T13" s="11"/>
      <c r="U13" s="11"/>
      <c r="V13" s="11"/>
      <c r="W13" s="9"/>
      <c r="X13" s="11"/>
      <c r="Y13" s="11"/>
      <c r="Z13" s="11"/>
      <c r="AA13" s="11"/>
      <c r="AB13" s="11"/>
      <c r="AC13" s="11"/>
      <c r="AD13" s="9"/>
      <c r="AE13" s="11"/>
    </row>
    <row r="14" spans="1:31">
      <c r="A14" s="9"/>
      <c r="B14" s="9"/>
      <c r="C14" s="10" t="str">
        <f>IF(intervencao3=0,"Do not fill this line",intervencao3)</f>
        <v>Rosuvastatin 20mg</v>
      </c>
      <c r="D14" s="212">
        <v>12</v>
      </c>
      <c r="E14" s="212">
        <v>12</v>
      </c>
      <c r="F14" s="212">
        <v>12</v>
      </c>
      <c r="G14" s="212">
        <v>12</v>
      </c>
      <c r="H14" s="212">
        <v>12</v>
      </c>
      <c r="I14" s="286" t="s">
        <v>204</v>
      </c>
      <c r="K14" s="9"/>
      <c r="L14" s="9"/>
      <c r="O14" s="9"/>
      <c r="P14" s="9"/>
      <c r="Q14" s="11"/>
      <c r="R14" s="11"/>
      <c r="S14" s="11"/>
      <c r="T14" s="11"/>
      <c r="U14" s="11"/>
      <c r="V14" s="11"/>
      <c r="W14" s="9"/>
      <c r="X14" s="11"/>
      <c r="Y14" s="11"/>
      <c r="Z14" s="11"/>
      <c r="AA14" s="11"/>
      <c r="AB14" s="11"/>
      <c r="AC14" s="11"/>
      <c r="AD14" s="9"/>
      <c r="AE14" s="11"/>
    </row>
    <row r="15" spans="1:31">
      <c r="A15" s="9"/>
      <c r="B15" s="9"/>
      <c r="C15" s="10" t="str">
        <f>IF(intervencao4=0,"Do not fill this line",intervencao4)</f>
        <v>Rosuvastatin 40mg</v>
      </c>
      <c r="D15" s="212">
        <v>12</v>
      </c>
      <c r="E15" s="212">
        <v>12</v>
      </c>
      <c r="F15" s="212">
        <v>12</v>
      </c>
      <c r="G15" s="212">
        <v>12</v>
      </c>
      <c r="H15" s="212">
        <v>12</v>
      </c>
      <c r="I15" s="286" t="s">
        <v>204</v>
      </c>
      <c r="K15" s="9"/>
      <c r="L15" s="9"/>
      <c r="O15" s="9"/>
      <c r="P15" s="9"/>
      <c r="Q15" s="11"/>
      <c r="R15" s="11"/>
      <c r="S15" s="11"/>
      <c r="T15" s="11"/>
      <c r="U15" s="11"/>
      <c r="V15" s="11"/>
      <c r="W15" s="9"/>
      <c r="X15" s="11"/>
      <c r="Y15" s="11"/>
      <c r="Z15" s="11"/>
      <c r="AA15" s="11"/>
      <c r="AB15" s="11"/>
      <c r="AC15" s="11"/>
      <c r="AD15" s="9"/>
      <c r="AE15" s="11"/>
    </row>
    <row r="16" spans="1:31">
      <c r="A16" s="9"/>
      <c r="B16" s="9"/>
      <c r="C16" s="10"/>
      <c r="D16" s="9"/>
      <c r="E16" s="11"/>
      <c r="F16" s="9"/>
      <c r="G16" s="9"/>
      <c r="H16" s="9"/>
      <c r="I16" s="9"/>
      <c r="K16" s="9"/>
      <c r="L16" s="9"/>
      <c r="O16" s="9"/>
      <c r="P16" s="9"/>
      <c r="Q16" s="11"/>
      <c r="R16" s="11"/>
      <c r="S16" s="11"/>
      <c r="T16" s="11"/>
      <c r="U16" s="11"/>
      <c r="V16" s="11"/>
      <c r="W16" s="9"/>
      <c r="X16" s="11"/>
      <c r="Y16" s="11"/>
      <c r="Z16" s="11"/>
      <c r="AA16" s="11"/>
      <c r="AB16" s="11"/>
      <c r="AC16" s="11"/>
      <c r="AD16" s="9"/>
      <c r="AE16" s="11"/>
    </row>
    <row r="17" spans="2:31">
      <c r="B17" s="9"/>
      <c r="C17" s="448" t="s">
        <v>203</v>
      </c>
      <c r="D17" s="448"/>
      <c r="E17" s="448"/>
      <c r="F17" s="448"/>
      <c r="G17" s="448"/>
      <c r="H17" s="448"/>
      <c r="I17" s="9"/>
      <c r="K17" s="9"/>
      <c r="L17" s="9"/>
      <c r="O17" s="9"/>
      <c r="P17" s="9"/>
      <c r="Q17" s="11"/>
      <c r="R17" s="11"/>
      <c r="S17" s="11"/>
      <c r="T17" s="11"/>
      <c r="U17" s="11"/>
      <c r="V17" s="11"/>
      <c r="W17" s="9"/>
      <c r="X17" s="11"/>
      <c r="Y17" s="11"/>
      <c r="Z17" s="11"/>
      <c r="AA17" s="11"/>
      <c r="AB17" s="11"/>
      <c r="AC17" s="11"/>
      <c r="AD17" s="9"/>
      <c r="AE17" s="11"/>
    </row>
    <row r="18" spans="2:31">
      <c r="B18" s="9"/>
      <c r="C18" s="285" t="str">
        <f>IF(D19=0,"Informe a resposta para cada ano"," ")</f>
        <v xml:space="preserve"> </v>
      </c>
      <c r="D18" s="189" t="s">
        <v>193</v>
      </c>
      <c r="E18" s="189" t="s">
        <v>194</v>
      </c>
      <c r="F18" s="189" t="s">
        <v>195</v>
      </c>
      <c r="G18" s="189" t="s">
        <v>197</v>
      </c>
      <c r="H18" s="189" t="s">
        <v>196</v>
      </c>
      <c r="I18" s="9"/>
      <c r="K18" s="9"/>
      <c r="L18" s="9"/>
      <c r="O18" s="9"/>
      <c r="P18" s="9"/>
      <c r="Q18" s="11"/>
      <c r="R18" s="11"/>
      <c r="S18" s="11"/>
      <c r="T18" s="11"/>
      <c r="U18" s="11"/>
      <c r="V18" s="11"/>
      <c r="W18" s="9"/>
      <c r="X18" s="11"/>
      <c r="Y18" s="11"/>
      <c r="Z18" s="11"/>
      <c r="AA18" s="11"/>
      <c r="AB18" s="11"/>
      <c r="AC18" s="11"/>
      <c r="AD18" s="9"/>
      <c r="AE18" s="11"/>
    </row>
    <row r="19" spans="2:31">
      <c r="B19" s="9"/>
      <c r="C19" s="10" t="str">
        <f>IF(comparador1=0,"Do not fill this line",comparador1)</f>
        <v>Atorvastatin 10mg</v>
      </c>
      <c r="D19" s="212">
        <v>12</v>
      </c>
      <c r="E19" s="212">
        <v>12</v>
      </c>
      <c r="F19" s="212">
        <v>12</v>
      </c>
      <c r="G19" s="212">
        <v>12</v>
      </c>
      <c r="H19" s="212">
        <v>12</v>
      </c>
      <c r="I19" s="286" t="s">
        <v>204</v>
      </c>
      <c r="K19" s="9"/>
      <c r="L19" s="9"/>
      <c r="O19" s="9"/>
      <c r="P19" s="9"/>
      <c r="Q19" s="11"/>
      <c r="R19" s="11"/>
      <c r="S19" s="11"/>
      <c r="T19" s="11"/>
      <c r="U19" s="11"/>
      <c r="V19" s="11"/>
      <c r="W19" s="9"/>
      <c r="X19" s="11"/>
      <c r="Y19" s="11"/>
      <c r="Z19" s="11"/>
      <c r="AA19" s="11"/>
      <c r="AB19" s="11"/>
      <c r="AC19" s="11"/>
      <c r="AD19" s="9"/>
      <c r="AE19" s="11"/>
    </row>
    <row r="20" spans="2:31">
      <c r="B20" s="9"/>
      <c r="C20" s="10" t="str">
        <f>IF(comparador2=0,"Do not fill this line",comparador2)</f>
        <v>Atorvastatin 20mg</v>
      </c>
      <c r="D20" s="212">
        <v>12</v>
      </c>
      <c r="E20" s="212">
        <v>12</v>
      </c>
      <c r="F20" s="212">
        <v>12</v>
      </c>
      <c r="G20" s="212">
        <v>12</v>
      </c>
      <c r="H20" s="212">
        <v>12</v>
      </c>
      <c r="I20" s="286" t="s">
        <v>204</v>
      </c>
      <c r="K20" s="9"/>
      <c r="L20" s="9"/>
      <c r="O20" s="9"/>
      <c r="P20" s="9"/>
      <c r="Q20" s="11"/>
      <c r="R20" s="11"/>
      <c r="S20" s="11"/>
      <c r="T20" s="11"/>
      <c r="U20" s="11"/>
      <c r="V20" s="11"/>
      <c r="W20" s="9"/>
      <c r="X20" s="11"/>
      <c r="Y20" s="11"/>
      <c r="Z20" s="11"/>
      <c r="AA20" s="11"/>
      <c r="AB20" s="11"/>
      <c r="AC20" s="11"/>
      <c r="AD20" s="9"/>
      <c r="AE20" s="11"/>
    </row>
    <row r="21" spans="2:31">
      <c r="B21" s="9"/>
      <c r="C21" s="10" t="str">
        <f>IF(comparador3=0,"Do not fill this line",comparador3)</f>
        <v>Atorvastatin 40mg</v>
      </c>
      <c r="D21" s="212">
        <v>12</v>
      </c>
      <c r="E21" s="212">
        <v>12</v>
      </c>
      <c r="F21" s="212">
        <v>12</v>
      </c>
      <c r="G21" s="212">
        <v>12</v>
      </c>
      <c r="H21" s="212">
        <v>12</v>
      </c>
      <c r="I21" s="286" t="s">
        <v>204</v>
      </c>
      <c r="K21" s="9"/>
      <c r="L21" s="9"/>
      <c r="O21" s="9"/>
      <c r="P21" s="9"/>
      <c r="Q21" s="11"/>
      <c r="R21" s="11"/>
      <c r="S21" s="11"/>
      <c r="T21" s="11"/>
      <c r="U21" s="11"/>
      <c r="V21" s="11"/>
      <c r="W21" s="9"/>
      <c r="X21" s="11"/>
      <c r="Y21" s="11"/>
      <c r="Z21" s="11"/>
      <c r="AA21" s="11"/>
      <c r="AB21" s="11"/>
      <c r="AC21" s="11"/>
      <c r="AD21" s="9"/>
      <c r="AE21" s="11"/>
    </row>
    <row r="22" spans="2:31">
      <c r="B22" s="9"/>
      <c r="C22" s="10" t="str">
        <f>IF(comparador4=0,"Do not fill this line",comparador4)</f>
        <v>Atorvastatin 80mg</v>
      </c>
      <c r="D22" s="212">
        <v>12</v>
      </c>
      <c r="E22" s="212">
        <v>12</v>
      </c>
      <c r="F22" s="212">
        <v>12</v>
      </c>
      <c r="G22" s="212">
        <v>12</v>
      </c>
      <c r="H22" s="212">
        <v>12</v>
      </c>
      <c r="I22" s="286" t="s">
        <v>204</v>
      </c>
      <c r="K22" s="9"/>
      <c r="L22" s="9"/>
      <c r="O22" s="9"/>
      <c r="P22" s="9"/>
      <c r="Q22" s="11"/>
      <c r="R22" s="11"/>
      <c r="S22" s="11"/>
      <c r="T22" s="11"/>
      <c r="U22" s="11"/>
      <c r="V22" s="11"/>
      <c r="W22" s="9"/>
      <c r="X22" s="11"/>
      <c r="Y22" s="11"/>
      <c r="Z22" s="11"/>
      <c r="AA22" s="11"/>
      <c r="AB22" s="11"/>
      <c r="AC22" s="11"/>
      <c r="AD22" s="9"/>
      <c r="AE22" s="11"/>
    </row>
    <row r="23" spans="2:31">
      <c r="B23" s="9"/>
      <c r="C23" s="10" t="str">
        <f>IF(comparador5=0,"Do not fill this line",comparador5)</f>
        <v>Pravastatin</v>
      </c>
      <c r="D23" s="212">
        <v>12</v>
      </c>
      <c r="E23" s="212">
        <v>12</v>
      </c>
      <c r="F23" s="212">
        <v>12</v>
      </c>
      <c r="G23" s="212">
        <v>12</v>
      </c>
      <c r="H23" s="212">
        <v>12</v>
      </c>
      <c r="I23" s="286" t="s">
        <v>204</v>
      </c>
      <c r="K23" s="9"/>
      <c r="L23" s="9"/>
      <c r="O23" s="9"/>
      <c r="P23" s="9"/>
      <c r="Q23" s="11"/>
      <c r="R23" s="11"/>
      <c r="S23" s="11"/>
      <c r="T23" s="11"/>
      <c r="U23" s="11"/>
      <c r="V23" s="11"/>
      <c r="W23" s="9"/>
      <c r="X23" s="11"/>
      <c r="Y23" s="11"/>
      <c r="Z23" s="11"/>
      <c r="AA23" s="11"/>
      <c r="AB23" s="11"/>
      <c r="AC23" s="11"/>
      <c r="AD23" s="9"/>
      <c r="AE23" s="11"/>
    </row>
    <row r="24" spans="2:31">
      <c r="B24" s="9"/>
      <c r="C24" s="10" t="str">
        <f>IF(comparador6=0,"Do not fill this line",comparador6)</f>
        <v>Simvastatin 5mg</v>
      </c>
      <c r="D24" s="212">
        <v>12</v>
      </c>
      <c r="E24" s="212">
        <v>12</v>
      </c>
      <c r="F24" s="212">
        <v>12</v>
      </c>
      <c r="G24" s="212">
        <v>12</v>
      </c>
      <c r="H24" s="212">
        <v>12</v>
      </c>
      <c r="I24" s="286" t="s">
        <v>204</v>
      </c>
      <c r="K24" s="9"/>
      <c r="L24" s="9"/>
      <c r="O24" s="9"/>
      <c r="P24" s="9"/>
      <c r="Q24" s="11"/>
      <c r="R24" s="11"/>
      <c r="S24" s="11"/>
      <c r="T24" s="11"/>
      <c r="U24" s="11"/>
      <c r="V24" s="11"/>
      <c r="W24" s="9"/>
      <c r="X24" s="11"/>
      <c r="Y24" s="11"/>
      <c r="Z24" s="11"/>
      <c r="AA24" s="11"/>
      <c r="AB24" s="11"/>
      <c r="AC24" s="11"/>
      <c r="AD24" s="9"/>
      <c r="AE24" s="11"/>
    </row>
    <row r="25" spans="2:31">
      <c r="B25" s="9"/>
      <c r="C25" s="10" t="str">
        <f>IF(comparador7=0,"Do not fill this line",comparador7)</f>
        <v>Simvastatin 10mg</v>
      </c>
      <c r="D25" s="212">
        <v>12</v>
      </c>
      <c r="E25" s="212">
        <v>12</v>
      </c>
      <c r="F25" s="212">
        <v>12</v>
      </c>
      <c r="G25" s="212">
        <v>12</v>
      </c>
      <c r="H25" s="212">
        <v>12</v>
      </c>
      <c r="I25" s="286" t="s">
        <v>204</v>
      </c>
      <c r="K25" s="9"/>
      <c r="L25" s="9"/>
      <c r="O25" s="9"/>
      <c r="P25" s="9"/>
      <c r="Q25" s="11"/>
      <c r="R25" s="11"/>
      <c r="S25" s="11"/>
      <c r="T25" s="11"/>
      <c r="U25" s="11"/>
      <c r="V25" s="11"/>
      <c r="W25" s="9"/>
      <c r="X25" s="11"/>
      <c r="Y25" s="11"/>
      <c r="Z25" s="11"/>
      <c r="AA25" s="11"/>
      <c r="AB25" s="11"/>
      <c r="AC25" s="11"/>
      <c r="AD25" s="9"/>
      <c r="AE25" s="11"/>
    </row>
    <row r="26" spans="2:31">
      <c r="B26" s="9"/>
      <c r="C26" s="10" t="str">
        <f>IF(comparador8=0,"Do not fill this line",comparador8)</f>
        <v>Simvastatin 20mg</v>
      </c>
      <c r="D26" s="212">
        <v>12</v>
      </c>
      <c r="E26" s="212">
        <v>12</v>
      </c>
      <c r="F26" s="212">
        <v>12</v>
      </c>
      <c r="G26" s="212">
        <v>12</v>
      </c>
      <c r="H26" s="212">
        <v>12</v>
      </c>
      <c r="I26" s="286" t="s">
        <v>204</v>
      </c>
      <c r="K26" s="9"/>
      <c r="L26" s="9"/>
      <c r="O26" s="9"/>
      <c r="P26" s="9"/>
      <c r="Q26" s="11"/>
      <c r="R26" s="11"/>
      <c r="S26" s="11"/>
      <c r="T26" s="11"/>
      <c r="U26" s="11"/>
      <c r="V26" s="11"/>
      <c r="W26" s="9"/>
      <c r="X26" s="11"/>
      <c r="Y26" s="11"/>
      <c r="Z26" s="11"/>
      <c r="AA26" s="11"/>
      <c r="AB26" s="11"/>
      <c r="AC26" s="11"/>
      <c r="AD26" s="9"/>
      <c r="AE26" s="11"/>
    </row>
    <row r="27" spans="2:31">
      <c r="B27" s="9"/>
      <c r="C27" s="10" t="str">
        <f>IF(comparador9=0,"Do not fill this line",comparador9)</f>
        <v>Simvastatin 40mg</v>
      </c>
      <c r="D27" s="212">
        <v>12</v>
      </c>
      <c r="E27" s="212">
        <v>12</v>
      </c>
      <c r="F27" s="212">
        <v>12</v>
      </c>
      <c r="G27" s="212">
        <v>12</v>
      </c>
      <c r="H27" s="212">
        <v>12</v>
      </c>
      <c r="I27" s="286" t="s">
        <v>204</v>
      </c>
      <c r="K27" s="9"/>
      <c r="L27" s="9"/>
      <c r="O27" s="9"/>
      <c r="P27" s="9"/>
      <c r="Q27" s="11"/>
      <c r="R27" s="11"/>
      <c r="S27" s="11"/>
      <c r="T27" s="11"/>
      <c r="U27" s="11"/>
      <c r="V27" s="11"/>
      <c r="W27" s="9"/>
      <c r="X27" s="11"/>
      <c r="Y27" s="11"/>
      <c r="Z27" s="11"/>
      <c r="AA27" s="11"/>
      <c r="AB27" s="11"/>
      <c r="AC27" s="11"/>
      <c r="AD27" s="9"/>
      <c r="AE27" s="11"/>
    </row>
    <row r="28" spans="2:31">
      <c r="B28" s="9"/>
      <c r="C28" s="10" t="str">
        <f>IF(comparador10=0,"Do not fill this line",comparador10)</f>
        <v>Do not fill this line</v>
      </c>
      <c r="D28" s="212"/>
      <c r="E28" s="212"/>
      <c r="F28" s="212"/>
      <c r="G28" s="212"/>
      <c r="H28" s="212"/>
      <c r="I28" s="286" t="s">
        <v>204</v>
      </c>
      <c r="K28" s="9"/>
      <c r="L28" s="9"/>
      <c r="O28" s="9"/>
      <c r="P28" s="9"/>
      <c r="Q28" s="11"/>
      <c r="R28" s="11"/>
      <c r="S28" s="11"/>
      <c r="T28" s="11"/>
      <c r="U28" s="11"/>
      <c r="V28" s="11"/>
      <c r="W28" s="9"/>
      <c r="X28" s="11"/>
      <c r="Y28" s="11"/>
      <c r="Z28" s="11"/>
      <c r="AA28" s="11"/>
      <c r="AB28" s="11"/>
      <c r="AC28" s="11"/>
      <c r="AD28" s="9"/>
      <c r="AE28" s="11"/>
    </row>
    <row r="29" spans="2:31">
      <c r="B29" s="9"/>
      <c r="C29" s="9"/>
      <c r="D29" s="9"/>
      <c r="E29" s="9"/>
      <c r="F29" s="9"/>
      <c r="G29" s="9"/>
      <c r="H29" s="9"/>
      <c r="I29" s="9"/>
      <c r="K29" s="9"/>
      <c r="L29" s="9"/>
      <c r="O29" s="9"/>
      <c r="P29" s="9"/>
      <c r="Q29" s="11"/>
      <c r="R29" s="11"/>
      <c r="S29" s="11"/>
      <c r="T29" s="11"/>
      <c r="U29" s="11"/>
      <c r="V29" s="11"/>
      <c r="W29" s="9"/>
      <c r="X29" s="11"/>
      <c r="Y29" s="11"/>
      <c r="Z29" s="11"/>
      <c r="AA29" s="11"/>
      <c r="AB29" s="11"/>
      <c r="AC29" s="11"/>
      <c r="AD29" s="9"/>
      <c r="AE29" s="11"/>
    </row>
    <row r="30" spans="2:31">
      <c r="B30" s="9"/>
      <c r="C30" s="9"/>
      <c r="D30" s="9"/>
      <c r="E30" s="9"/>
      <c r="F30" s="9"/>
      <c r="G30" s="9"/>
      <c r="H30" s="9"/>
      <c r="I30" s="9"/>
      <c r="K30" s="9"/>
      <c r="L30" s="9"/>
      <c r="O30" s="9"/>
      <c r="P30" s="9"/>
      <c r="Q30" s="11"/>
      <c r="R30" s="11"/>
      <c r="S30" s="11"/>
      <c r="T30" s="11"/>
      <c r="U30" s="11"/>
      <c r="V30" s="11"/>
      <c r="W30" s="9"/>
      <c r="X30" s="11"/>
      <c r="Y30" s="11"/>
      <c r="Z30" s="11"/>
      <c r="AA30" s="11"/>
      <c r="AB30" s="11"/>
      <c r="AC30" s="11"/>
      <c r="AD30" s="9"/>
      <c r="AE30" s="11"/>
    </row>
    <row r="31" spans="2:31" customFormat="1">
      <c r="C31" s="63"/>
      <c r="D31" s="7"/>
      <c r="E31" s="7"/>
      <c r="F31" s="7"/>
      <c r="G31" s="7"/>
      <c r="H31" s="7"/>
      <c r="I31" s="7"/>
      <c r="J31" s="7"/>
      <c r="K31" s="7"/>
      <c r="L31" s="7"/>
      <c r="M31" s="7"/>
      <c r="N31" s="7"/>
      <c r="O31" s="7"/>
      <c r="P31" s="7"/>
      <c r="Q31" s="287"/>
      <c r="R31" s="287"/>
      <c r="S31" s="287"/>
      <c r="T31" s="284"/>
      <c r="U31" s="284"/>
      <c r="V31" s="284"/>
      <c r="W31" s="7"/>
      <c r="X31" s="284"/>
      <c r="Y31" s="284"/>
      <c r="Z31" s="284"/>
      <c r="AA31" s="284"/>
      <c r="AB31" s="284"/>
      <c r="AC31" s="284"/>
      <c r="AE31" s="284"/>
    </row>
    <row r="32" spans="2:31" customFormat="1">
      <c r="C32" s="64"/>
      <c r="D32" s="65"/>
      <c r="E32" s="65"/>
      <c r="F32" s="65"/>
      <c r="G32" s="65"/>
      <c r="H32" s="65"/>
      <c r="I32" s="65"/>
      <c r="J32" s="65"/>
      <c r="K32" s="65"/>
      <c r="L32" s="65"/>
      <c r="M32" s="65"/>
      <c r="N32" s="65"/>
      <c r="O32" s="7"/>
      <c r="P32" s="7"/>
      <c r="Q32" s="287"/>
      <c r="R32" s="287"/>
      <c r="S32" s="287"/>
      <c r="T32" s="284"/>
      <c r="U32" s="284"/>
      <c r="V32" s="284"/>
      <c r="W32" s="7"/>
      <c r="X32" s="284"/>
      <c r="Y32" s="284"/>
      <c r="Z32" s="284"/>
      <c r="AA32" s="284"/>
      <c r="AB32" s="284"/>
      <c r="AC32" s="284"/>
      <c r="AE32" s="284"/>
    </row>
    <row r="33" spans="3:39" customFormat="1">
      <c r="C33" s="63"/>
      <c r="D33" s="7"/>
      <c r="E33" s="7"/>
      <c r="F33" s="7"/>
      <c r="G33" s="7"/>
      <c r="H33" s="7"/>
      <c r="I33" s="7"/>
      <c r="J33" s="7"/>
      <c r="K33" s="7"/>
      <c r="L33" s="7"/>
      <c r="M33" s="7"/>
      <c r="N33" s="7"/>
      <c r="O33" s="7"/>
      <c r="P33" s="7"/>
      <c r="Q33" s="287"/>
      <c r="R33" s="287"/>
      <c r="S33" s="287"/>
      <c r="T33" s="284"/>
      <c r="U33" s="284"/>
      <c r="V33" s="284"/>
      <c r="W33" s="7"/>
      <c r="X33" s="284"/>
      <c r="Y33" s="284"/>
      <c r="Z33" s="284"/>
      <c r="AA33" s="284"/>
      <c r="AB33" s="284"/>
      <c r="AC33" s="284"/>
      <c r="AE33" s="284"/>
    </row>
    <row r="34" spans="3:39">
      <c r="C34" s="9"/>
      <c r="D34" s="9"/>
      <c r="E34" s="9"/>
      <c r="F34" s="9"/>
      <c r="G34" s="9"/>
      <c r="H34" s="9"/>
      <c r="I34" s="9"/>
      <c r="K34" s="9"/>
      <c r="L34" s="9"/>
      <c r="O34" s="9"/>
      <c r="P34" s="9"/>
      <c r="Q34" s="11"/>
      <c r="R34" s="11"/>
      <c r="S34" s="11"/>
      <c r="T34" s="11"/>
      <c r="U34" s="11"/>
      <c r="V34" s="11"/>
      <c r="W34" s="9"/>
      <c r="X34" s="11"/>
      <c r="Y34" s="11"/>
      <c r="Z34" s="11"/>
      <c r="AA34" s="11"/>
      <c r="AB34" s="11"/>
      <c r="AC34" s="11"/>
      <c r="AD34" s="9"/>
      <c r="AE34" s="11"/>
      <c r="AF34" s="9"/>
      <c r="AG34" s="9"/>
      <c r="AH34" s="9"/>
      <c r="AI34" s="9"/>
      <c r="AJ34" s="9"/>
      <c r="AK34" s="9"/>
      <c r="AL34" s="9"/>
      <c r="AM34" s="9"/>
    </row>
    <row r="35" spans="3:39" customFormat="1" ht="18">
      <c r="C35" s="140" t="s">
        <v>258</v>
      </c>
      <c r="M35" s="283"/>
      <c r="N35" s="283"/>
      <c r="Q35" s="284"/>
      <c r="R35" s="284"/>
      <c r="S35" s="284"/>
      <c r="T35" s="284"/>
      <c r="U35" s="284"/>
      <c r="V35" s="284"/>
      <c r="X35" s="284"/>
      <c r="Y35" s="284"/>
      <c r="Z35" s="284"/>
      <c r="AA35" s="284"/>
      <c r="AB35" s="284"/>
      <c r="AC35" s="284"/>
      <c r="AE35" s="284"/>
    </row>
    <row r="36" spans="3:39">
      <c r="C36" t="s">
        <v>259</v>
      </c>
      <c r="D36" s="9"/>
      <c r="E36" s="9"/>
      <c r="F36" s="9"/>
      <c r="G36" s="9"/>
      <c r="H36" s="9"/>
      <c r="I36" s="9"/>
      <c r="K36" s="9"/>
      <c r="L36" s="9"/>
      <c r="O36" s="9"/>
      <c r="P36" s="9"/>
      <c r="Q36" s="11"/>
      <c r="R36" s="11"/>
      <c r="S36" s="11"/>
      <c r="T36" s="11"/>
      <c r="U36" s="11"/>
      <c r="V36" s="11"/>
      <c r="W36" s="9"/>
      <c r="X36" s="11"/>
      <c r="Y36" s="11"/>
      <c r="Z36" s="11"/>
      <c r="AA36" s="11"/>
      <c r="AB36" s="11"/>
      <c r="AC36" s="11"/>
      <c r="AD36" s="9"/>
      <c r="AE36" s="11"/>
      <c r="AF36" s="9"/>
      <c r="AG36" s="9"/>
      <c r="AH36" s="9"/>
      <c r="AI36" s="9"/>
      <c r="AJ36" s="9"/>
      <c r="AK36" s="9"/>
      <c r="AL36" s="9"/>
      <c r="AM36" s="9"/>
    </row>
    <row r="37" spans="3:39" customFormat="1">
      <c r="C37" t="s">
        <v>260</v>
      </c>
      <c r="M37" s="283"/>
      <c r="N37" s="283"/>
      <c r="Q37" s="284"/>
      <c r="R37" s="284"/>
      <c r="S37" s="284"/>
      <c r="T37" s="284"/>
      <c r="U37" s="284"/>
      <c r="V37" s="284"/>
      <c r="X37" s="284"/>
      <c r="Y37" s="284"/>
      <c r="Z37" s="284"/>
      <c r="AA37" s="284"/>
      <c r="AB37" s="284"/>
      <c r="AC37" s="284"/>
      <c r="AE37" s="284"/>
    </row>
    <row r="38" spans="3:39" customFormat="1">
      <c r="C38" s="136"/>
      <c r="M38" s="283"/>
      <c r="N38" s="283"/>
      <c r="Q38" s="284"/>
      <c r="R38" s="284"/>
      <c r="S38" s="284"/>
      <c r="T38" s="284"/>
      <c r="U38" s="284"/>
      <c r="V38" s="284"/>
      <c r="X38" s="284"/>
      <c r="Y38" s="284"/>
      <c r="Z38" s="284"/>
      <c r="AA38" s="284"/>
      <c r="AB38" s="284"/>
      <c r="AC38" s="284"/>
      <c r="AE38" s="284"/>
    </row>
    <row r="39" spans="3:39" customFormat="1">
      <c r="C39" s="187"/>
      <c r="M39" s="283"/>
      <c r="N39" s="283"/>
      <c r="Q39" s="284"/>
      <c r="R39" s="284"/>
      <c r="S39" s="284"/>
      <c r="T39" s="284"/>
      <c r="U39" s="284"/>
      <c r="V39" s="284"/>
      <c r="X39" s="284"/>
      <c r="Y39" s="284"/>
      <c r="Z39" s="284"/>
      <c r="AA39" s="284"/>
      <c r="AB39" s="284"/>
      <c r="AC39" s="284"/>
      <c r="AE39" s="284"/>
    </row>
    <row r="40" spans="3:39">
      <c r="C40" s="465" t="s">
        <v>261</v>
      </c>
      <c r="D40" s="7"/>
      <c r="E40" s="436" t="s">
        <v>256</v>
      </c>
      <c r="F40" s="466"/>
      <c r="G40" s="437"/>
      <c r="H40" s="288">
        <f>IF(E40="No",2,1)</f>
        <v>2</v>
      </c>
      <c r="I40" s="9"/>
      <c r="J40" s="7"/>
      <c r="K40" s="7"/>
      <c r="L40" s="7"/>
      <c r="M40" s="289"/>
      <c r="N40" s="289"/>
      <c r="O40" s="9"/>
      <c r="P40" s="9"/>
      <c r="Q40" s="11"/>
      <c r="R40" s="11"/>
      <c r="S40" s="11"/>
      <c r="T40" s="11"/>
      <c r="U40" s="11"/>
      <c r="V40" s="11"/>
      <c r="W40" s="9"/>
      <c r="X40" s="11"/>
      <c r="Y40" s="11"/>
      <c r="Z40" s="11"/>
      <c r="AA40" s="11"/>
      <c r="AB40" s="11"/>
      <c r="AC40" s="11"/>
      <c r="AD40" s="9"/>
      <c r="AE40" s="11"/>
      <c r="AF40" s="9"/>
      <c r="AG40" s="9"/>
      <c r="AH40" s="9"/>
      <c r="AI40" s="9"/>
      <c r="AJ40" s="9"/>
      <c r="AK40" s="9"/>
      <c r="AL40" s="9"/>
      <c r="AM40" s="9"/>
    </row>
    <row r="41" spans="3:39">
      <c r="C41" s="465"/>
      <c r="D41" s="7"/>
      <c r="E41" s="290" t="s">
        <v>314</v>
      </c>
      <c r="F41" s="7"/>
      <c r="G41" s="7"/>
      <c r="H41" s="7"/>
      <c r="I41" s="7"/>
      <c r="J41" s="7"/>
      <c r="K41" s="7"/>
      <c r="L41" s="7"/>
      <c r="M41" s="289"/>
      <c r="N41" s="289"/>
      <c r="O41" s="9"/>
      <c r="P41" s="9"/>
      <c r="Q41" s="11"/>
      <c r="R41" s="11"/>
      <c r="S41" s="11"/>
      <c r="T41" s="11"/>
      <c r="U41" s="11"/>
      <c r="V41" s="11"/>
      <c r="W41" s="9"/>
      <c r="X41" s="11"/>
      <c r="Y41" s="11"/>
      <c r="Z41" s="11"/>
      <c r="AA41" s="11"/>
      <c r="AB41" s="11"/>
      <c r="AC41" s="11"/>
      <c r="AD41" s="9"/>
      <c r="AE41" s="11"/>
      <c r="AF41" s="9"/>
      <c r="AG41" s="9"/>
      <c r="AH41" s="9"/>
      <c r="AI41" s="9"/>
      <c r="AJ41" s="9"/>
      <c r="AK41" s="9"/>
      <c r="AL41" s="9"/>
      <c r="AM41" s="9"/>
    </row>
    <row r="42" spans="3:39">
      <c r="C42" s="9"/>
      <c r="D42" s="7"/>
      <c r="E42" s="7"/>
      <c r="F42" s="7"/>
      <c r="G42" s="7"/>
      <c r="H42" s="7"/>
      <c r="I42" s="7"/>
      <c r="J42" s="7"/>
      <c r="K42" s="7"/>
      <c r="L42" s="7"/>
      <c r="M42" s="289"/>
      <c r="N42" s="289"/>
      <c r="O42" s="9"/>
      <c r="P42" s="9"/>
      <c r="Q42" s="11"/>
      <c r="R42" s="11"/>
      <c r="S42" s="11"/>
      <c r="T42" s="11"/>
      <c r="U42" s="11"/>
      <c r="V42" s="11"/>
      <c r="W42" s="9"/>
      <c r="X42" s="11"/>
      <c r="Y42" s="11"/>
      <c r="Z42" s="11"/>
      <c r="AA42" s="11"/>
      <c r="AB42" s="11"/>
      <c r="AC42" s="11"/>
      <c r="AD42" s="9"/>
      <c r="AE42" s="11"/>
      <c r="AF42" s="9"/>
      <c r="AG42" s="9"/>
      <c r="AH42" s="9"/>
      <c r="AI42" s="9"/>
      <c r="AJ42" s="9"/>
      <c r="AK42" s="9"/>
      <c r="AL42" s="9"/>
      <c r="AM42" s="9"/>
    </row>
    <row r="43" spans="3:39">
      <c r="C43" s="42"/>
      <c r="D43" s="7"/>
      <c r="E43" s="7"/>
      <c r="F43" s="7"/>
      <c r="G43" s="7"/>
      <c r="H43" s="7"/>
      <c r="I43" s="7"/>
      <c r="J43" s="7"/>
      <c r="K43" s="7"/>
      <c r="L43" s="7"/>
      <c r="M43" s="289"/>
      <c r="N43" s="289"/>
      <c r="O43" s="9"/>
      <c r="P43" s="9"/>
      <c r="Q43" s="11"/>
      <c r="R43" s="11"/>
      <c r="S43" s="11"/>
      <c r="T43" s="11"/>
      <c r="U43" s="11"/>
      <c r="V43" s="11"/>
      <c r="W43" s="9"/>
      <c r="X43" s="11"/>
      <c r="Y43" s="11"/>
      <c r="Z43" s="11"/>
      <c r="AA43" s="11"/>
      <c r="AB43" s="11"/>
      <c r="AC43" s="11"/>
      <c r="AD43" s="9"/>
      <c r="AE43" s="11"/>
      <c r="AF43" s="9"/>
      <c r="AG43" s="9"/>
      <c r="AH43" s="9"/>
      <c r="AI43" s="9"/>
      <c r="AJ43" s="9"/>
      <c r="AK43" s="9"/>
      <c r="AL43" s="9"/>
      <c r="AM43" s="9"/>
    </row>
    <row r="44" spans="3:39">
      <c r="C44" s="42"/>
      <c r="D44" s="7"/>
      <c r="E44" s="7"/>
      <c r="F44" s="7"/>
      <c r="G44" s="7"/>
      <c r="H44" s="7"/>
      <c r="I44" s="7"/>
      <c r="J44" s="7"/>
      <c r="K44" s="7"/>
      <c r="L44" s="7"/>
      <c r="M44" s="289"/>
      <c r="N44" s="289"/>
      <c r="O44" s="9"/>
      <c r="P44" s="9"/>
      <c r="Q44" s="11"/>
      <c r="R44" s="11"/>
      <c r="S44" s="11"/>
      <c r="T44" s="11"/>
      <c r="U44" s="11"/>
      <c r="V44" s="11"/>
      <c r="W44" s="9"/>
      <c r="X44" s="11"/>
      <c r="Y44" s="11"/>
      <c r="Z44" s="11"/>
      <c r="AA44" s="11"/>
      <c r="AB44" s="11"/>
      <c r="AC44" s="11"/>
      <c r="AD44" s="9"/>
      <c r="AE44" s="11"/>
      <c r="AF44" s="9"/>
      <c r="AG44" s="9"/>
      <c r="AH44" s="9"/>
      <c r="AI44" s="9"/>
      <c r="AJ44" s="9"/>
      <c r="AK44" s="9"/>
      <c r="AL44" s="9"/>
      <c r="AM44" s="9"/>
    </row>
    <row r="45" spans="3:39">
      <c r="C45" s="239"/>
      <c r="D45" s="289"/>
      <c r="E45" s="7"/>
      <c r="F45" s="7"/>
      <c r="G45" s="7"/>
      <c r="H45" s="7"/>
      <c r="I45" s="7"/>
      <c r="J45" s="7"/>
      <c r="K45" s="7"/>
      <c r="L45" s="7"/>
      <c r="M45" s="289"/>
      <c r="N45" s="289"/>
      <c r="O45" s="9"/>
      <c r="P45" s="9"/>
      <c r="Q45" s="11"/>
      <c r="R45" s="11"/>
      <c r="S45" s="11"/>
      <c r="T45" s="11"/>
      <c r="U45" s="11"/>
      <c r="V45" s="11"/>
      <c r="W45" s="9"/>
      <c r="X45" s="11"/>
      <c r="Y45" s="11"/>
      <c r="Z45" s="11"/>
      <c r="AA45" s="11"/>
      <c r="AB45" s="11"/>
      <c r="AC45" s="11"/>
      <c r="AD45" s="9"/>
      <c r="AE45" s="11"/>
      <c r="AF45" s="9"/>
      <c r="AG45" s="9"/>
      <c r="AH45" s="9"/>
      <c r="AI45" s="9"/>
      <c r="AJ45" s="9"/>
      <c r="AK45" s="9"/>
      <c r="AL45" s="9"/>
      <c r="AM45" s="9"/>
    </row>
    <row r="46" spans="3:39">
      <c r="C46" s="239"/>
      <c r="D46" s="7"/>
      <c r="E46" s="7"/>
      <c r="F46" s="7"/>
      <c r="G46" s="7"/>
      <c r="H46" s="7"/>
      <c r="I46" s="7"/>
      <c r="J46" s="7"/>
      <c r="K46" s="7"/>
      <c r="L46" s="7"/>
      <c r="M46" s="289"/>
      <c r="N46" s="289"/>
      <c r="O46" s="9"/>
      <c r="P46" s="9"/>
      <c r="Q46" s="11"/>
      <c r="R46" s="11"/>
      <c r="S46" s="11"/>
      <c r="T46" s="11"/>
      <c r="U46" s="11"/>
      <c r="V46" s="11"/>
      <c r="W46" s="9"/>
      <c r="X46" s="11"/>
      <c r="Y46" s="11"/>
      <c r="Z46" s="11"/>
      <c r="AA46" s="11"/>
      <c r="AB46" s="11"/>
      <c r="AC46" s="11"/>
      <c r="AD46" s="9"/>
      <c r="AE46" s="11"/>
      <c r="AF46" s="9"/>
      <c r="AG46" s="9"/>
      <c r="AH46" s="9"/>
      <c r="AI46" s="9"/>
      <c r="AJ46" s="9"/>
      <c r="AK46" s="9"/>
      <c r="AL46" s="9"/>
      <c r="AM46" s="9"/>
    </row>
    <row r="47" spans="3:39">
      <c r="C47" s="239"/>
      <c r="D47" s="7"/>
      <c r="E47" s="7"/>
      <c r="F47" s="7"/>
      <c r="G47" s="7"/>
      <c r="H47" s="7"/>
      <c r="I47" s="7"/>
      <c r="J47" s="7"/>
      <c r="K47" s="7"/>
      <c r="L47" s="7"/>
      <c r="M47" s="289"/>
      <c r="N47" s="289"/>
      <c r="O47" s="9"/>
      <c r="P47" s="9"/>
      <c r="Q47" s="11"/>
      <c r="R47" s="11"/>
      <c r="S47" s="11"/>
      <c r="T47" s="11"/>
      <c r="U47" s="11"/>
      <c r="V47" s="11"/>
      <c r="W47" s="9"/>
      <c r="X47" s="11"/>
      <c r="Y47" s="11"/>
      <c r="Z47" s="11"/>
      <c r="AA47" s="11"/>
      <c r="AB47" s="11"/>
      <c r="AC47" s="11"/>
      <c r="AD47" s="9"/>
      <c r="AE47" s="11"/>
      <c r="AF47" s="9"/>
      <c r="AG47" s="9"/>
      <c r="AH47" s="9"/>
      <c r="AI47" s="9"/>
      <c r="AJ47" s="9"/>
      <c r="AK47" s="9"/>
      <c r="AL47" s="9"/>
      <c r="AM47" s="9"/>
    </row>
    <row r="48" spans="3:39">
      <c r="C48" s="239"/>
      <c r="D48" s="7"/>
      <c r="E48" s="7"/>
      <c r="F48" s="7"/>
      <c r="G48" s="7"/>
      <c r="H48" s="7"/>
      <c r="I48" s="7"/>
      <c r="J48" s="7"/>
      <c r="K48" s="7"/>
      <c r="L48" s="7"/>
      <c r="M48" s="289"/>
      <c r="N48" s="289"/>
      <c r="O48" s="9"/>
      <c r="P48" s="9"/>
      <c r="Q48" s="11"/>
      <c r="R48" s="11"/>
      <c r="S48" s="11"/>
      <c r="T48" s="11"/>
      <c r="U48" s="11"/>
      <c r="V48" s="11"/>
      <c r="W48" s="9"/>
      <c r="X48" s="11"/>
      <c r="Y48" s="11"/>
      <c r="Z48" s="11"/>
      <c r="AA48" s="11"/>
      <c r="AB48" s="11"/>
      <c r="AC48" s="11"/>
      <c r="AD48" s="9"/>
      <c r="AE48" s="11"/>
      <c r="AF48" s="9"/>
      <c r="AG48" s="9"/>
      <c r="AH48" s="9"/>
      <c r="AI48" s="9"/>
      <c r="AJ48" s="9"/>
      <c r="AK48" s="9"/>
      <c r="AL48" s="9"/>
      <c r="AM48" s="9"/>
    </row>
    <row r="49" spans="3:42">
      <c r="C49" s="239"/>
      <c r="D49" s="7"/>
      <c r="E49" s="7"/>
      <c r="F49" s="7"/>
      <c r="G49" s="7"/>
      <c r="H49" s="7"/>
      <c r="I49" s="7"/>
      <c r="J49" s="7"/>
      <c r="K49" s="7"/>
      <c r="L49" s="7"/>
      <c r="M49" s="289"/>
      <c r="N49" s="289"/>
      <c r="O49" s="9"/>
      <c r="P49" s="9"/>
      <c r="Q49" s="11"/>
      <c r="R49" s="11"/>
      <c r="S49" s="11"/>
      <c r="T49" s="11"/>
      <c r="U49" s="11"/>
      <c r="V49" s="11"/>
      <c r="W49" s="9"/>
      <c r="X49" s="11"/>
      <c r="Y49" s="11"/>
      <c r="Z49" s="11"/>
      <c r="AA49" s="11"/>
      <c r="AB49" s="11"/>
      <c r="AC49" s="11"/>
      <c r="AD49" s="9"/>
      <c r="AE49" s="11"/>
      <c r="AF49" s="9"/>
      <c r="AG49" s="9"/>
      <c r="AH49" s="9"/>
      <c r="AI49" s="9"/>
      <c r="AJ49" s="9"/>
      <c r="AK49" s="9"/>
      <c r="AL49" s="9"/>
      <c r="AM49" s="9"/>
      <c r="AN49" s="9"/>
      <c r="AO49" s="9"/>
      <c r="AP49" s="9"/>
    </row>
    <row r="50" spans="3:42">
      <c r="C50" s="239"/>
      <c r="D50" s="7"/>
      <c r="E50" s="7"/>
      <c r="F50" s="7"/>
      <c r="G50" s="7"/>
      <c r="H50" s="7"/>
      <c r="I50" s="7"/>
      <c r="J50" s="7"/>
      <c r="K50" s="7"/>
      <c r="L50" s="7"/>
      <c r="M50" s="289"/>
      <c r="N50" s="289"/>
      <c r="O50" s="9"/>
      <c r="P50" s="9"/>
      <c r="Q50" s="11"/>
      <c r="R50" s="11"/>
      <c r="S50" s="11"/>
      <c r="T50" s="11"/>
      <c r="U50" s="11"/>
      <c r="V50" s="11"/>
      <c r="W50" s="9"/>
      <c r="X50" s="11"/>
      <c r="Y50" s="11"/>
      <c r="Z50" s="11"/>
      <c r="AA50" s="11"/>
      <c r="AB50" s="11"/>
      <c r="AC50" s="11"/>
      <c r="AD50" s="9"/>
      <c r="AE50" s="11"/>
      <c r="AF50" s="9"/>
      <c r="AG50" s="9"/>
      <c r="AH50" s="9"/>
      <c r="AI50" s="9"/>
      <c r="AJ50" s="9"/>
      <c r="AK50" s="9"/>
      <c r="AL50" s="9"/>
      <c r="AM50" s="9"/>
      <c r="AN50" s="9"/>
      <c r="AO50" s="9"/>
      <c r="AP50" s="9"/>
    </row>
    <row r="51" spans="3:42">
      <c r="C51" s="239"/>
      <c r="D51" s="7"/>
      <c r="E51" s="7"/>
      <c r="F51" s="7"/>
      <c r="G51" s="7"/>
      <c r="H51" s="7"/>
      <c r="I51" s="7"/>
      <c r="J51" s="7"/>
      <c r="K51" s="7"/>
      <c r="L51" s="7"/>
      <c r="M51" s="289"/>
      <c r="N51" s="289"/>
      <c r="O51" s="9"/>
      <c r="P51" s="9"/>
      <c r="Q51" s="11"/>
      <c r="R51" s="11"/>
      <c r="S51" s="11"/>
      <c r="T51" s="11"/>
      <c r="U51" s="11"/>
      <c r="V51" s="11"/>
      <c r="W51" s="9"/>
      <c r="X51" s="11"/>
      <c r="Y51" s="11"/>
      <c r="Z51" s="11"/>
      <c r="AA51" s="11"/>
      <c r="AB51" s="11"/>
      <c r="AC51" s="11"/>
      <c r="AD51" s="9"/>
      <c r="AE51" s="11"/>
      <c r="AF51" s="9"/>
      <c r="AG51" s="9"/>
      <c r="AH51" s="9"/>
      <c r="AI51" s="9"/>
      <c r="AJ51" s="9"/>
      <c r="AK51" s="9"/>
      <c r="AL51" s="9"/>
      <c r="AM51" s="9"/>
      <c r="AN51" s="9"/>
      <c r="AO51" s="9"/>
      <c r="AP51" s="9"/>
    </row>
    <row r="52" spans="3:42">
      <c r="C52" s="239"/>
      <c r="D52" s="7"/>
      <c r="E52" s="7"/>
      <c r="F52" s="7"/>
      <c r="G52" s="7"/>
      <c r="H52" s="7"/>
      <c r="I52" s="7"/>
      <c r="J52" s="7"/>
      <c r="K52" s="312" t="str">
        <f>IF(AND(desc_por_ob="Yes",SUM(V64:V78)&gt;0),"Attention! Invalid data. When using both discontinuation and death rates, they must be related events.","")</f>
        <v/>
      </c>
      <c r="L52" s="7"/>
      <c r="M52" s="289"/>
      <c r="N52" s="289"/>
      <c r="O52" s="9"/>
      <c r="P52" s="9"/>
      <c r="Q52" s="11"/>
      <c r="R52" s="11"/>
      <c r="S52" s="11"/>
      <c r="T52" s="11"/>
      <c r="U52" s="11"/>
      <c r="V52" s="11"/>
      <c r="W52" s="9"/>
      <c r="X52" s="11"/>
      <c r="Y52" s="11"/>
      <c r="Z52" s="11"/>
      <c r="AA52" s="11"/>
      <c r="AB52" s="11"/>
      <c r="AC52" s="11"/>
      <c r="AD52" s="9"/>
      <c r="AE52" s="11"/>
      <c r="AF52" s="11"/>
      <c r="AG52" s="11"/>
      <c r="AH52" s="11"/>
      <c r="AI52" s="11"/>
      <c r="AJ52" s="11"/>
      <c r="AK52" s="11"/>
      <c r="AL52" s="11"/>
      <c r="AM52" s="11"/>
      <c r="AN52" s="9"/>
      <c r="AO52" s="9"/>
      <c r="AP52" s="9"/>
    </row>
    <row r="53" spans="3:42">
      <c r="C53" s="7"/>
      <c r="D53" s="7"/>
      <c r="E53" s="7"/>
      <c r="F53" s="7"/>
      <c r="G53" s="7"/>
      <c r="H53" s="7"/>
      <c r="I53" s="7"/>
      <c r="J53" s="7"/>
      <c r="K53" s="312" t="str">
        <f>IF(AND(desc_por_ob="Yes",SUM(V65:V79)&gt;0),"The annual death rate cannot exceed the discontinuation rate, because death is a subset of total treatment discontinuation.","")</f>
        <v/>
      </c>
      <c r="L53" s="7"/>
      <c r="M53" s="289"/>
      <c r="N53" s="289"/>
      <c r="O53" s="9"/>
      <c r="P53" s="9"/>
      <c r="Q53" s="11"/>
      <c r="R53" s="11"/>
      <c r="S53" s="11"/>
      <c r="T53" s="11"/>
      <c r="U53" s="11"/>
      <c r="V53" s="11"/>
      <c r="W53" s="9"/>
      <c r="X53" s="11"/>
      <c r="Y53" s="11"/>
      <c r="Z53" s="11"/>
      <c r="AA53" s="11"/>
      <c r="AB53" s="11"/>
      <c r="AC53" s="11"/>
      <c r="AD53" s="9"/>
      <c r="AE53" s="11"/>
      <c r="AF53" s="9"/>
      <c r="AG53" s="9"/>
      <c r="AH53" s="9"/>
      <c r="AI53" s="9"/>
      <c r="AJ53" s="9"/>
      <c r="AK53" s="9"/>
      <c r="AL53" s="9"/>
      <c r="AM53" s="9"/>
      <c r="AN53" s="9"/>
      <c r="AO53" s="9"/>
      <c r="AP53" s="9"/>
    </row>
    <row r="54" spans="3:42">
      <c r="C54" s="465" t="s">
        <v>262</v>
      </c>
      <c r="D54" s="7"/>
      <c r="E54" s="436" t="s">
        <v>337</v>
      </c>
      <c r="F54" s="466"/>
      <c r="G54" s="437"/>
      <c r="H54" s="288">
        <f>IF(E54="Median usage time",1,IF(E54="Discontinuation rate",2,IF(E54="Progression-free survival",3,4)))</f>
        <v>1</v>
      </c>
      <c r="I54" s="465" t="s">
        <v>317</v>
      </c>
      <c r="J54" s="380" t="s">
        <v>299</v>
      </c>
      <c r="K54" s="481"/>
      <c r="L54" s="482"/>
      <c r="M54" s="482"/>
      <c r="N54" s="316"/>
      <c r="O54" s="316"/>
      <c r="P54" s="316"/>
      <c r="Q54" s="11"/>
      <c r="R54" s="11"/>
      <c r="S54" s="11"/>
      <c r="T54" s="11"/>
      <c r="U54" s="11"/>
      <c r="V54" s="11"/>
      <c r="W54" s="9"/>
      <c r="X54" s="11"/>
      <c r="Y54" s="11"/>
      <c r="Z54" s="11"/>
      <c r="AA54" s="11"/>
      <c r="AB54" s="11"/>
      <c r="AC54" s="11"/>
      <c r="AD54" s="9"/>
      <c r="AE54" s="11"/>
      <c r="AF54" s="9"/>
      <c r="AG54" s="9"/>
      <c r="AH54" s="9"/>
      <c r="AI54" s="9"/>
      <c r="AJ54" s="9"/>
      <c r="AK54" s="9"/>
      <c r="AL54" s="9"/>
      <c r="AM54" s="9"/>
      <c r="AN54" s="9"/>
      <c r="AO54" s="9"/>
      <c r="AP54" s="9"/>
    </row>
    <row r="55" spans="3:42">
      <c r="C55" s="465"/>
      <c r="D55" s="7"/>
      <c r="E55" s="291"/>
      <c r="F55" s="7"/>
      <c r="G55" s="7"/>
      <c r="H55" s="288"/>
      <c r="I55" s="465"/>
      <c r="J55" s="7"/>
      <c r="K55" s="290"/>
      <c r="L55" s="7"/>
      <c r="M55" s="289"/>
      <c r="N55" s="289"/>
      <c r="O55" s="9"/>
      <c r="P55" s="9"/>
      <c r="Q55" s="11"/>
      <c r="R55" s="11"/>
      <c r="S55" s="11"/>
      <c r="T55" s="11"/>
      <c r="U55" s="11"/>
      <c r="V55" s="11"/>
      <c r="W55" s="9"/>
      <c r="X55" s="11"/>
      <c r="Y55" s="11"/>
      <c r="Z55" s="11"/>
      <c r="AA55" s="11"/>
      <c r="AB55" s="11"/>
      <c r="AC55" s="11"/>
      <c r="AD55" s="9"/>
      <c r="AE55" s="11"/>
      <c r="AF55" s="9"/>
      <c r="AG55" s="9"/>
      <c r="AH55" s="9"/>
      <c r="AI55" s="9"/>
      <c r="AJ55" s="9"/>
      <c r="AK55" s="9"/>
      <c r="AL55" s="9"/>
      <c r="AM55" s="9"/>
      <c r="AN55" s="9"/>
      <c r="AO55" s="9"/>
      <c r="AP55" s="9"/>
    </row>
    <row r="56" spans="3:42">
      <c r="C56" s="48"/>
      <c r="D56" s="7"/>
      <c r="E56" s="290"/>
      <c r="F56" s="7"/>
      <c r="G56" s="7"/>
      <c r="H56" s="288"/>
      <c r="I56" s="7"/>
      <c r="J56" s="7"/>
      <c r="K56" s="290"/>
      <c r="L56" s="7"/>
      <c r="M56" s="289"/>
      <c r="N56" s="289"/>
      <c r="O56" s="9"/>
      <c r="P56" s="9"/>
      <c r="Q56" s="11"/>
      <c r="R56" s="11"/>
      <c r="S56" s="11"/>
      <c r="T56" s="11"/>
      <c r="U56" s="11"/>
      <c r="V56" s="11"/>
      <c r="W56" s="9"/>
      <c r="X56" s="11"/>
      <c r="Y56" s="11"/>
      <c r="Z56" s="11"/>
      <c r="AA56" s="11"/>
      <c r="AB56" s="11"/>
      <c r="AC56" s="11"/>
      <c r="AD56" s="9"/>
      <c r="AE56" s="11"/>
      <c r="AF56" s="9"/>
      <c r="AG56" s="9"/>
      <c r="AH56" s="9"/>
      <c r="AI56" s="9"/>
      <c r="AJ56" s="9"/>
      <c r="AK56" s="9"/>
      <c r="AL56" s="9"/>
      <c r="AM56" s="9"/>
      <c r="AN56" s="9"/>
      <c r="AO56" s="9"/>
      <c r="AP56" s="9"/>
    </row>
    <row r="57" spans="3:42">
      <c r="C57" s="7"/>
      <c r="D57" s="7"/>
      <c r="E57" s="7"/>
      <c r="F57" s="7"/>
      <c r="G57" s="7"/>
      <c r="H57" s="288"/>
      <c r="I57" s="7"/>
      <c r="J57" s="7"/>
      <c r="K57" s="290"/>
      <c r="L57" s="7"/>
      <c r="M57" s="289"/>
      <c r="N57" s="289"/>
      <c r="O57" s="9"/>
      <c r="P57" s="9"/>
      <c r="Q57" s="11"/>
      <c r="R57" s="11"/>
      <c r="S57" s="11"/>
      <c r="T57" s="11"/>
      <c r="U57" s="11"/>
      <c r="V57" s="11"/>
      <c r="W57" s="9"/>
      <c r="X57" s="11"/>
      <c r="Y57" s="11"/>
      <c r="Z57" s="11"/>
      <c r="AA57" s="11"/>
      <c r="AB57" s="11"/>
      <c r="AC57" s="11"/>
      <c r="AD57" s="9"/>
      <c r="AE57" s="11"/>
      <c r="AF57" s="9"/>
      <c r="AG57" s="9"/>
      <c r="AH57" s="9"/>
      <c r="AI57" s="9"/>
      <c r="AJ57" s="9"/>
      <c r="AK57" s="9"/>
      <c r="AL57" s="9"/>
      <c r="AM57" s="9"/>
      <c r="AN57" s="9"/>
      <c r="AO57" s="9"/>
      <c r="AP57" s="9"/>
    </row>
    <row r="58" spans="3:42">
      <c r="C58" s="465" t="s">
        <v>263</v>
      </c>
      <c r="D58" s="7"/>
      <c r="E58" s="436" t="s">
        <v>315</v>
      </c>
      <c r="F58" s="466"/>
      <c r="G58" s="437"/>
      <c r="H58" s="288">
        <f>IF(E58="Annual data",1,2)</f>
        <v>1</v>
      </c>
      <c r="I58" s="7"/>
      <c r="J58" s="7"/>
      <c r="K58" s="7"/>
      <c r="L58" s="7"/>
      <c r="M58" s="289"/>
      <c r="N58" s="289"/>
      <c r="O58" s="9"/>
      <c r="P58" s="9"/>
      <c r="Q58" s="11"/>
      <c r="R58" s="11"/>
      <c r="S58" s="11"/>
      <c r="T58" s="11"/>
      <c r="U58" s="11"/>
      <c r="V58" s="11"/>
      <c r="W58" s="9"/>
      <c r="X58" s="11"/>
      <c r="Y58" s="11"/>
      <c r="Z58" s="11"/>
      <c r="AA58" s="11"/>
      <c r="AB58" s="11"/>
      <c r="AC58" s="11"/>
      <c r="AD58" s="9"/>
      <c r="AE58" s="11"/>
      <c r="AF58" s="9"/>
      <c r="AG58" s="9"/>
      <c r="AH58" s="9"/>
      <c r="AI58" s="9"/>
      <c r="AJ58" s="9"/>
      <c r="AK58" s="9"/>
      <c r="AL58" s="9"/>
      <c r="AM58" s="9"/>
      <c r="AN58" s="9"/>
      <c r="AO58" s="9"/>
      <c r="AP58" s="9"/>
    </row>
    <row r="59" spans="3:42">
      <c r="C59" s="465"/>
      <c r="D59" s="7"/>
      <c r="E59" s="292" t="s">
        <v>265</v>
      </c>
      <c r="F59" s="7"/>
      <c r="G59" s="7"/>
      <c r="H59" s="7"/>
      <c r="I59" s="7"/>
      <c r="J59" s="7"/>
      <c r="K59" s="7"/>
      <c r="L59" s="7"/>
      <c r="M59" s="289"/>
      <c r="N59" s="289"/>
      <c r="O59" s="9"/>
      <c r="P59" s="9"/>
      <c r="Q59" s="11"/>
      <c r="R59" s="11"/>
      <c r="S59" s="11"/>
      <c r="T59" s="11"/>
      <c r="U59" s="11"/>
      <c r="V59" s="11"/>
      <c r="W59" s="9"/>
      <c r="X59" s="11"/>
      <c r="Y59" s="11"/>
      <c r="Z59" s="11"/>
      <c r="AA59" s="11"/>
      <c r="AB59" s="11"/>
      <c r="AC59" s="11"/>
      <c r="AD59" s="9"/>
      <c r="AE59" s="11"/>
      <c r="AF59" s="9"/>
      <c r="AG59" s="9"/>
      <c r="AH59" s="9"/>
      <c r="AI59" s="9"/>
      <c r="AJ59" s="9"/>
      <c r="AK59" s="9"/>
      <c r="AL59" s="11"/>
      <c r="AM59" s="9"/>
      <c r="AN59" s="9"/>
      <c r="AO59" s="9"/>
      <c r="AP59" s="9"/>
    </row>
    <row r="60" spans="3:42">
      <c r="C60" s="48"/>
      <c r="D60" s="7"/>
      <c r="E60" s="290" t="s">
        <v>264</v>
      </c>
      <c r="F60" s="7"/>
      <c r="G60" s="7"/>
      <c r="H60" s="7"/>
      <c r="I60" s="7"/>
      <c r="J60" s="7"/>
      <c r="K60" s="7"/>
      <c r="L60" s="7"/>
      <c r="M60" s="289"/>
      <c r="N60" s="289"/>
      <c r="O60" s="9"/>
      <c r="P60" s="9"/>
      <c r="Q60" s="11"/>
      <c r="R60" s="11"/>
      <c r="S60" s="11"/>
      <c r="T60" s="11"/>
      <c r="U60" s="11"/>
      <c r="V60" s="11"/>
      <c r="W60" s="9"/>
      <c r="X60" s="11"/>
      <c r="Y60" s="11"/>
      <c r="Z60" s="11"/>
      <c r="AA60" s="11"/>
      <c r="AB60" s="11"/>
      <c r="AC60" s="11"/>
      <c r="AD60" s="9"/>
      <c r="AE60" s="11"/>
      <c r="AF60" s="9"/>
      <c r="AG60" s="9"/>
      <c r="AH60" s="9"/>
      <c r="AI60" s="9"/>
      <c r="AJ60" s="9"/>
      <c r="AK60" s="9"/>
      <c r="AL60" s="11"/>
      <c r="AM60" s="9"/>
      <c r="AN60" s="9"/>
      <c r="AO60" s="9"/>
      <c r="AP60" s="9"/>
    </row>
    <row r="61" spans="3:42" ht="15" customHeight="1">
      <c r="C61" s="48"/>
      <c r="D61" s="7"/>
      <c r="E61" s="290"/>
      <c r="F61" s="7"/>
      <c r="G61" s="7"/>
      <c r="H61" s="7"/>
      <c r="I61" s="7"/>
      <c r="J61" s="7"/>
      <c r="K61" s="7"/>
      <c r="L61" s="7"/>
      <c r="M61" s="289"/>
      <c r="N61" s="289"/>
      <c r="O61" s="9"/>
      <c r="P61" s="9"/>
      <c r="Q61" s="453" t="s">
        <v>281</v>
      </c>
      <c r="R61" s="454"/>
      <c r="S61" s="454"/>
      <c r="T61" s="454"/>
      <c r="U61" s="455"/>
      <c r="V61" s="11"/>
      <c r="W61" s="9"/>
      <c r="X61" s="453" t="s">
        <v>282</v>
      </c>
      <c r="Y61" s="454"/>
      <c r="Z61" s="454"/>
      <c r="AA61" s="454"/>
      <c r="AB61" s="455"/>
      <c r="AC61" s="11"/>
      <c r="AD61" s="9"/>
      <c r="AE61" s="453" t="s">
        <v>283</v>
      </c>
      <c r="AF61" s="454"/>
      <c r="AG61" s="454"/>
      <c r="AH61" s="454"/>
      <c r="AI61" s="454"/>
      <c r="AJ61" s="9"/>
      <c r="AK61" s="9"/>
      <c r="AL61" s="453" t="s">
        <v>284</v>
      </c>
      <c r="AM61" s="454"/>
      <c r="AN61" s="454"/>
      <c r="AO61" s="454"/>
      <c r="AP61" s="454"/>
    </row>
    <row r="62" spans="3:42">
      <c r="C62" s="293" t="s">
        <v>277</v>
      </c>
      <c r="D62" s="7"/>
      <c r="E62" s="290"/>
      <c r="F62" s="7"/>
      <c r="G62" s="7"/>
      <c r="H62" s="293" t="str">
        <f>"7.2.2. Table for discontinuaiton rate and PFS"</f>
        <v>7.2.2. Table for discontinuaiton rate and PFS</v>
      </c>
      <c r="I62" s="7"/>
      <c r="J62" s="7"/>
      <c r="K62" s="7"/>
      <c r="L62" s="7"/>
      <c r="M62" s="7"/>
      <c r="N62" s="7"/>
      <c r="O62" s="7"/>
      <c r="P62" s="7"/>
      <c r="Q62" s="456"/>
      <c r="R62" s="457"/>
      <c r="S62" s="457"/>
      <c r="T62" s="457"/>
      <c r="U62" s="458"/>
      <c r="V62" s="11"/>
      <c r="W62" s="7"/>
      <c r="X62" s="456"/>
      <c r="Y62" s="457"/>
      <c r="Z62" s="457"/>
      <c r="AA62" s="457"/>
      <c r="AB62" s="458"/>
      <c r="AC62" s="11"/>
      <c r="AD62" s="9"/>
      <c r="AE62" s="456"/>
      <c r="AF62" s="457"/>
      <c r="AG62" s="457"/>
      <c r="AH62" s="457"/>
      <c r="AI62" s="457"/>
      <c r="AJ62" s="9"/>
      <c r="AK62" s="9"/>
      <c r="AL62" s="456"/>
      <c r="AM62" s="457"/>
      <c r="AN62" s="457"/>
      <c r="AO62" s="457"/>
      <c r="AP62" s="457"/>
    </row>
    <row r="63" spans="3:42">
      <c r="C63" s="430" t="str">
        <f>IF(uso=1,"Enter the average time of use",IF(uso=4,"Enter "&amp;E54,"Do not fill in this table"))</f>
        <v>Enter the average time of use</v>
      </c>
      <c r="D63" s="474" t="s">
        <v>278</v>
      </c>
      <c r="E63" s="474"/>
      <c r="F63" s="7"/>
      <c r="G63" s="7"/>
      <c r="H63" s="467" t="str">
        <f>IF(uso=1,"Do not fill in this table",IF(uso=2,"Enter the discontinuation rate","Enter the progression-free survival"))</f>
        <v>Do not fill in this table</v>
      </c>
      <c r="I63" s="449"/>
      <c r="J63" s="311" t="s">
        <v>285</v>
      </c>
      <c r="K63" s="311" t="s">
        <v>286</v>
      </c>
      <c r="L63" s="311" t="s">
        <v>287</v>
      </c>
      <c r="M63" s="311" t="s">
        <v>288</v>
      </c>
      <c r="N63" s="7"/>
      <c r="O63" s="7"/>
      <c r="P63" s="7"/>
      <c r="Q63" s="449" t="s">
        <v>276</v>
      </c>
      <c r="R63" s="295" t="s">
        <v>285</v>
      </c>
      <c r="S63" s="295" t="s">
        <v>286</v>
      </c>
      <c r="T63" s="295" t="s">
        <v>287</v>
      </c>
      <c r="U63" s="295" t="s">
        <v>288</v>
      </c>
      <c r="V63" s="11"/>
      <c r="W63" s="7"/>
      <c r="X63" s="449" t="s">
        <v>276</v>
      </c>
      <c r="Y63" s="295" t="s">
        <v>285</v>
      </c>
      <c r="Z63" s="295" t="s">
        <v>286</v>
      </c>
      <c r="AA63" s="295" t="s">
        <v>287</v>
      </c>
      <c r="AB63" s="295" t="s">
        <v>288</v>
      </c>
      <c r="AC63" s="11"/>
      <c r="AD63" s="9"/>
      <c r="AE63" s="449" t="s">
        <v>276</v>
      </c>
      <c r="AF63" s="295" t="s">
        <v>285</v>
      </c>
      <c r="AG63" s="295" t="s">
        <v>286</v>
      </c>
      <c r="AH63" s="295" t="s">
        <v>287</v>
      </c>
      <c r="AI63" s="295" t="s">
        <v>288</v>
      </c>
      <c r="AJ63" s="9"/>
      <c r="AK63" s="9"/>
      <c r="AL63" s="296" t="s">
        <v>276</v>
      </c>
      <c r="AM63" s="295" t="s">
        <v>285</v>
      </c>
      <c r="AN63" s="295" t="s">
        <v>286</v>
      </c>
      <c r="AO63" s="295" t="s">
        <v>287</v>
      </c>
      <c r="AP63" s="295" t="s">
        <v>288</v>
      </c>
    </row>
    <row r="64" spans="3:42">
      <c r="C64" s="473"/>
      <c r="D64" s="473"/>
      <c r="E64" s="473"/>
      <c r="F64" s="7"/>
      <c r="G64" s="7"/>
      <c r="H64" s="467"/>
      <c r="I64" s="467"/>
      <c r="J64" s="486" t="s">
        <v>280</v>
      </c>
      <c r="K64" s="487"/>
      <c r="L64" s="487"/>
      <c r="M64" s="488"/>
      <c r="N64" s="7"/>
      <c r="O64" s="7"/>
      <c r="P64" s="7"/>
      <c r="Q64" s="450"/>
      <c r="R64" s="297"/>
      <c r="S64" s="298"/>
      <c r="T64" s="298"/>
      <c r="U64" s="298"/>
      <c r="V64" s="11"/>
      <c r="W64" s="7"/>
      <c r="X64" s="450"/>
      <c r="Y64" s="297"/>
      <c r="Z64" s="298"/>
      <c r="AA64" s="298"/>
      <c r="AB64" s="298"/>
      <c r="AC64" s="11"/>
      <c r="AD64" s="9"/>
      <c r="AE64" s="450"/>
      <c r="AF64" s="297"/>
      <c r="AG64" s="298"/>
      <c r="AH64" s="298"/>
      <c r="AI64" s="298"/>
      <c r="AJ64" s="9"/>
      <c r="AK64" s="9"/>
      <c r="AL64" s="299"/>
      <c r="AM64" s="297"/>
      <c r="AN64" s="298"/>
      <c r="AO64" s="298"/>
      <c r="AP64" s="298"/>
    </row>
    <row r="65" spans="3:43">
      <c r="C65" s="300" t="str">
        <f>IF(intervencao1=0,"Do not fill this line",intervencao1)</f>
        <v>Rosuvastatin 5mg</v>
      </c>
      <c r="D65" s="461"/>
      <c r="E65" s="462"/>
      <c r="F65" s="7"/>
      <c r="G65" s="7"/>
      <c r="H65" s="470" t="str">
        <f>IF(intervencao1=0,"Do not fill this line",intervencao1)</f>
        <v>Rosuvastatin 5mg</v>
      </c>
      <c r="I65" s="470"/>
      <c r="J65" s="310"/>
      <c r="K65" s="310"/>
      <c r="L65" s="310"/>
      <c r="M65" s="310"/>
      <c r="N65" s="7"/>
      <c r="O65" s="7"/>
      <c r="P65" s="7"/>
      <c r="Q65" s="227" t="str">
        <f>IF(intervencao1=0,"Do not fill this line",intervencao1)</f>
        <v>Rosuvastatin 5mg</v>
      </c>
      <c r="R65" s="227">
        <f t="shared" ref="R65:U68" si="0">IFERROR(IF(AND(descontinua=1,OR(uso=1,uso=4)),Y65,IF(AND(descontinua=1,uso=2),AM65,IF(AND(descontinua=1,uso=3),AF65,0))),0)</f>
        <v>0</v>
      </c>
      <c r="S65" s="227">
        <f t="shared" si="0"/>
        <v>0</v>
      </c>
      <c r="T65" s="227">
        <f t="shared" si="0"/>
        <v>0</v>
      </c>
      <c r="U65" s="227">
        <f t="shared" si="0"/>
        <v>0</v>
      </c>
      <c r="V65" s="11">
        <f>IF(OR(R65&lt;R113,S65&lt;S113,T65&lt;T113,U65&lt;U113),1,0)</f>
        <v>0</v>
      </c>
      <c r="W65" s="7"/>
      <c r="X65" s="223" t="str">
        <f>IF(intervencao1=0,"Do not fill this line",intervencao1)</f>
        <v>Rosuvastatin 5mg</v>
      </c>
      <c r="Y65" s="227" t="e">
        <f>1-AVERAGEIF(Data!AK$10:AK$21,"&gt;0",Data!AK$10:AK$21)</f>
        <v>#DIV/0!</v>
      </c>
      <c r="Z65" s="227" t="e">
        <f>1-AVERAGEIF(Data!AK$22:AK$33,"&gt;0",Data!AK$22:AK$33)</f>
        <v>#DIV/0!</v>
      </c>
      <c r="AA65" s="227" t="e">
        <f>1-AVERAGEIF(Data!AK$34:AK$45,"&gt;0",Data!AK$34:AK$45)</f>
        <v>#DIV/0!</v>
      </c>
      <c r="AB65" s="227" t="e">
        <f>1-AVERAGEIF(Data!AK$46:AK$57,"&gt;0",Data!AK$46:AK$57)</f>
        <v>#DIV/0!</v>
      </c>
      <c r="AC65" s="11"/>
      <c r="AD65" s="9"/>
      <c r="AE65" s="223" t="str">
        <f>IF(intervencao1=0,"Do not fill this line",intervencao1)</f>
        <v>Rosuvastatin 5mg</v>
      </c>
      <c r="AF65" s="227">
        <f>1-(IFERROR(IF(AND($H$58=1,J65=""),1,IF(AND($H$58=1,J65=0),0,IF(AND($H$58=1,J65&gt;0),J65,AVERAGE(Data!S$10:S$21)))),1))</f>
        <v>0</v>
      </c>
      <c r="AG65" s="227">
        <f>1-IFERROR(IF(AND($H$58=1,K65=""),1,IF(AND($H$58=1,K65=0),0,IF(AND($H$58=1,K65&gt;0),K65,AVERAGE(Data!S$22:S$33)))),1)</f>
        <v>0</v>
      </c>
      <c r="AH65" s="227">
        <f>1-IFERROR(IF(AND($H$58=1,L65=""),1,IF(AND($H$58=1,L65=0),0,IF(AND($H$58=1,L65&gt;0),L65,AVERAGE(Data!S$34:S$45)))),1)</f>
        <v>0</v>
      </c>
      <c r="AI65" s="227">
        <f>1-IFERROR(IF(AND($H$58=1,M65=""),1,IF(AND($H$58=1,M65=0),0,IF(AND($H$58=1,M65&gt;0),M65,AVERAGE(Data!S$46:S$57)))),1)</f>
        <v>0</v>
      </c>
      <c r="AJ65" s="9"/>
      <c r="AK65" s="9"/>
      <c r="AL65" s="223" t="str">
        <f>IF(intervencao1=0,"Do not fill this line",intervencao1)</f>
        <v>Rosuvastatin 5mg</v>
      </c>
      <c r="AM65" s="227">
        <f>IFERROR(IF($H$58=1,J65,AVERAGE(Data!C$10:C$21)),0)</f>
        <v>0</v>
      </c>
      <c r="AN65" s="227">
        <f>IFERROR(IF($H$58=1,K65,AVERAGE(Data!C$22:C$33)),0)</f>
        <v>0</v>
      </c>
      <c r="AO65" s="227">
        <f>IFERROR(IF($H$58=1,L65,AVERAGE(Data!C$34:C$45)),0)</f>
        <v>0</v>
      </c>
      <c r="AP65" s="227">
        <f>IFERROR(IF($H$58=1,M65,AVERAGE(Data!C$46:C$57)),0)</f>
        <v>0</v>
      </c>
      <c r="AQ65" s="9"/>
    </row>
    <row r="66" spans="3:43">
      <c r="C66" s="300" t="str">
        <f>IF(intervencao2=0,"Do not fill this line",intervencao2)</f>
        <v>Rosuvastatin 10mg</v>
      </c>
      <c r="D66" s="461"/>
      <c r="E66" s="462"/>
      <c r="F66" s="7"/>
      <c r="G66" s="7"/>
      <c r="H66" s="470" t="str">
        <f>IF(intervencao2=0,"Do not fill this line",intervencao2)</f>
        <v>Rosuvastatin 10mg</v>
      </c>
      <c r="I66" s="470"/>
      <c r="J66" s="230"/>
      <c r="K66" s="230"/>
      <c r="L66" s="230"/>
      <c r="M66" s="230"/>
      <c r="N66" s="7"/>
      <c r="O66" s="7"/>
      <c r="P66" s="7"/>
      <c r="Q66" s="223" t="str">
        <f>IF(intervencao2=0,"Do not fill this line",intervencao2)</f>
        <v>Rosuvastatin 10mg</v>
      </c>
      <c r="R66" s="227">
        <f t="shared" si="0"/>
        <v>0</v>
      </c>
      <c r="S66" s="227">
        <f t="shared" si="0"/>
        <v>0</v>
      </c>
      <c r="T66" s="227">
        <f t="shared" si="0"/>
        <v>0</v>
      </c>
      <c r="U66" s="227">
        <f t="shared" si="0"/>
        <v>0</v>
      </c>
      <c r="V66" s="11">
        <f t="shared" ref="V66:V79" si="1">IF(OR(R66&lt;R114,S66&lt;S114,T66&lt;T114,U66&lt;U114),1,0)</f>
        <v>0</v>
      </c>
      <c r="W66" s="7"/>
      <c r="X66" s="223" t="str">
        <f>IF(intervencao2=0,"Do not fill this line",intervencao2)</f>
        <v>Rosuvastatin 10mg</v>
      </c>
      <c r="Y66" s="227" t="e">
        <f>1-AVERAGEIF(Data!AL$10:AL$21,"&gt;0",Data!AL$10:AL$21)</f>
        <v>#DIV/0!</v>
      </c>
      <c r="Z66" s="227" t="e">
        <f>1-AVERAGEIF(Data!AL$22:AL$33,"&gt;0",Data!AL$22:AL$33)</f>
        <v>#DIV/0!</v>
      </c>
      <c r="AA66" s="227" t="e">
        <f>1-AVERAGEIF(Data!AL$34:AL$45,"&gt;0",Data!AL$34:AL$45)</f>
        <v>#DIV/0!</v>
      </c>
      <c r="AB66" s="227" t="e">
        <f>1-AVERAGEIF(Data!AL$46:AL$57,"&gt;0",Data!AL$46:AL$57)</f>
        <v>#DIV/0!</v>
      </c>
      <c r="AC66" s="11"/>
      <c r="AD66" s="9"/>
      <c r="AE66" s="223" t="str">
        <f>IF(intervencao2=0,"Do not fill this line",intervencao2)</f>
        <v>Rosuvastatin 10mg</v>
      </c>
      <c r="AF66" s="227">
        <f>1-IFERROR(IF(AND($H$58=1,J66=""),1,IF(AND($H$58=1,J66=0),0,IF(AND($H$58=1,J66&gt;0),J66,AVERAGEIF(Data!T$10:T$21,"&gt;0",Data!T$10:T$21)))),1)</f>
        <v>0</v>
      </c>
      <c r="AG66" s="227">
        <f>1-IFERROR(IF(AND($H$58=1,K66=""),1,IF(AND($H$58=1,K66=0),0,IF(AND($H$58=1,K66&gt;0),K66,AVERAGEIF(Data!T$22:T$33,"&gt;0",Data!T$22:T$33)))),1)</f>
        <v>0</v>
      </c>
      <c r="AH66" s="227">
        <f>1-IFERROR(IF(AND($H$58=1,L66=""),1,IF(AND($H$58=1,L66=0),0,IF(AND($H$58=1,L66&gt;0),L66,AVERAGEIF(Data!T$34:T$45,"&gt;0",Data!T$34:T$45)))),1)</f>
        <v>0</v>
      </c>
      <c r="AI66" s="227">
        <f>1-IFERROR(IF(AND($H$58=1,M66=""),1,IF(AND($H$58=1,M66=0),0,IF(AND($H$58=1,M66&gt;0),M66,AVERAGEIF(Data!T$46:T$57,"&lt;&gt;",Data!T$46:T$57)))),1)</f>
        <v>0</v>
      </c>
      <c r="AJ66" s="9"/>
      <c r="AK66" s="9"/>
      <c r="AL66" s="223" t="str">
        <f>IF(intervencao2=0,"Do not fill this line",intervencao2)</f>
        <v>Rosuvastatin 10mg</v>
      </c>
      <c r="AM66" s="227">
        <f>IFERROR(IF($H$58=1,J66,AVERAGEIF(Data!D$10:D$21,"&gt;0",Data!D$10:D$21)),0)</f>
        <v>0</v>
      </c>
      <c r="AN66" s="227">
        <f>IFERROR(IF($H$58=1,K66,AVERAGEIF(Data!D$22:D$33,"&gt;0",Data!D$22:D$33)),0)</f>
        <v>0</v>
      </c>
      <c r="AO66" s="227">
        <f>IFERROR(IF($H$58=1,L66,AVERAGEIF(Data!D$34:D$45,"&gt;0",Data!D$34:D$45)),0)</f>
        <v>0</v>
      </c>
      <c r="AP66" s="227">
        <f>IFERROR(IF($H$58=1,M66,AVERAGEIF(Data!D$46:D$57,"&gt;0",Data!D$46:D$57)),0)</f>
        <v>0</v>
      </c>
      <c r="AQ66" s="9"/>
    </row>
    <row r="67" spans="3:43">
      <c r="C67" s="300" t="str">
        <f>IF(intervencao3=0,"Do not fill this line",intervencao3)</f>
        <v>Rosuvastatin 20mg</v>
      </c>
      <c r="D67" s="461"/>
      <c r="E67" s="462"/>
      <c r="F67" s="7"/>
      <c r="G67" s="7"/>
      <c r="H67" s="470" t="str">
        <f>IF(intervencao3=0,"Do not fill this line",intervencao3)</f>
        <v>Rosuvastatin 20mg</v>
      </c>
      <c r="I67" s="470"/>
      <c r="J67" s="230"/>
      <c r="K67" s="230"/>
      <c r="L67" s="230"/>
      <c r="M67" s="230"/>
      <c r="N67" s="7"/>
      <c r="O67" s="7"/>
      <c r="P67" s="7"/>
      <c r="Q67" s="223" t="str">
        <f>IF(intervencao3=0,"Do not fill this line",intervencao3)</f>
        <v>Rosuvastatin 20mg</v>
      </c>
      <c r="R67" s="227">
        <f t="shared" si="0"/>
        <v>0</v>
      </c>
      <c r="S67" s="227">
        <f t="shared" si="0"/>
        <v>0</v>
      </c>
      <c r="T67" s="227">
        <f t="shared" si="0"/>
        <v>0</v>
      </c>
      <c r="U67" s="227">
        <f t="shared" si="0"/>
        <v>0</v>
      </c>
      <c r="V67" s="11">
        <f t="shared" si="1"/>
        <v>0</v>
      </c>
      <c r="W67" s="7"/>
      <c r="X67" s="223" t="str">
        <f>IF(intervencao3=0,"Do not fill this line",intervencao3)</f>
        <v>Rosuvastatin 20mg</v>
      </c>
      <c r="Y67" s="301" t="e">
        <f>1-AVERAGEIF(Data!AM$10:AM$21,"&gt;0",Data!AM$10:AM$21)</f>
        <v>#DIV/0!</v>
      </c>
      <c r="Z67" s="227" t="e">
        <f>1-AVERAGEIF(Data!AM$22:AM$33,"&gt;0",Data!AM$22:AM$33)</f>
        <v>#DIV/0!</v>
      </c>
      <c r="AA67" s="227" t="e">
        <f>1-AVERAGEIF(Data!AM$34:AM$45,"&gt;0",Data!AM$34:AM$45)</f>
        <v>#DIV/0!</v>
      </c>
      <c r="AB67" s="227" t="e">
        <f>1-AVERAGEIF(Data!AM$46:AM$57,"&gt;0",Data!AM$46:AM$57)</f>
        <v>#DIV/0!</v>
      </c>
      <c r="AC67" s="11"/>
      <c r="AD67" s="9"/>
      <c r="AE67" s="223" t="str">
        <f>IF(intervencao3=0,"Do not fill this line",intervencao3)</f>
        <v>Rosuvastatin 20mg</v>
      </c>
      <c r="AF67" s="227">
        <f>1-IFERROR(IF(AND($H$58=1,J67=""),1,IF(AND($H$58=1,J67=0),0,IF(AND($H$58=1,J67&gt;0),J67,AVERAGEIF(Data!U$10:U$21,"&gt;0",Data!U$10:U$21)))),1)</f>
        <v>0</v>
      </c>
      <c r="AG67" s="227">
        <f>1-IFERROR(IF(AND($H$58=1,K67=""),1,IF(AND($H$58=1,K67=0),0,IF(AND($H$58=1,K67&gt;0),K67,AVERAGEIF(Data!U$22:U$33,"&gt;0",Data!U$22:U$33)))),1)</f>
        <v>0</v>
      </c>
      <c r="AH67" s="227">
        <f>1-IFERROR(IF(AND($H$58=1,L67=""),1,IF(AND($H$58=1,L67=0),0,IF(AND($H$58=1,L67&gt;0),L67,AVERAGEIF(Data!U$34:U$45,"&gt;0",Data!U$34:U$45)))),1)</f>
        <v>0</v>
      </c>
      <c r="AI67" s="227">
        <f>1-IFERROR(IF(AND($H$58=1,M67=""),1,IF(AND($H$58=1,M67=0),0,IF(AND($H$58=1,M67&gt;0),M67,AVERAGEIF(Data!U$46:U$57,"&gt;0",Data!U$46:U$57)))),1)</f>
        <v>0</v>
      </c>
      <c r="AJ67" s="9"/>
      <c r="AK67" s="9"/>
      <c r="AL67" s="223" t="str">
        <f>IF(intervencao3=0,"Do not fill this line",intervencao3)</f>
        <v>Rosuvastatin 20mg</v>
      </c>
      <c r="AM67" s="227">
        <f>IFERROR(IF($H$58=1,J67,AVERAGEIF(Data!E$10:E$21,"&gt;0",Data!E$10:E$21)),0)</f>
        <v>0</v>
      </c>
      <c r="AN67" s="227">
        <f>IFERROR(IF($H$58=1,K67,AVERAGEIF(Data!E$22:E$33,"&gt;0",Data!E$22:E$33)),0)</f>
        <v>0</v>
      </c>
      <c r="AO67" s="227">
        <f>IFERROR(IF($H$58=1,L67,AVERAGEIF(Data!E$34:E$45,"&gt;0",Data!E$34:E$45)),0)</f>
        <v>0</v>
      </c>
      <c r="AP67" s="227">
        <f>IFERROR(IF($H$58=1,M67,AVERAGEIF(Data!E$46:E$57,"&gt;0",Data!E$46:E$57)),0)</f>
        <v>0</v>
      </c>
      <c r="AQ67" s="9"/>
    </row>
    <row r="68" spans="3:43">
      <c r="C68" s="300" t="str">
        <f>IF(intervencao4=0,"Do not fill this line",intervencao4)</f>
        <v>Rosuvastatin 40mg</v>
      </c>
      <c r="D68" s="461"/>
      <c r="E68" s="462"/>
      <c r="F68" s="7"/>
      <c r="G68" s="7"/>
      <c r="H68" s="470" t="str">
        <f>IF(intervencao4=0,"Do not fill this line",intervencao4)</f>
        <v>Rosuvastatin 40mg</v>
      </c>
      <c r="I68" s="470"/>
      <c r="J68" s="309"/>
      <c r="K68" s="309"/>
      <c r="L68" s="309"/>
      <c r="M68" s="309"/>
      <c r="N68" s="7"/>
      <c r="O68" s="7"/>
      <c r="P68" s="7"/>
      <c r="Q68" s="223" t="str">
        <f>IF(intervencao4=0,"Do not fill this line",intervencao4)</f>
        <v>Rosuvastatin 40mg</v>
      </c>
      <c r="R68" s="227">
        <f t="shared" si="0"/>
        <v>0</v>
      </c>
      <c r="S68" s="227">
        <f t="shared" si="0"/>
        <v>0</v>
      </c>
      <c r="T68" s="227">
        <f t="shared" si="0"/>
        <v>0</v>
      </c>
      <c r="U68" s="227">
        <f t="shared" si="0"/>
        <v>0</v>
      </c>
      <c r="V68" s="11">
        <f t="shared" si="1"/>
        <v>0</v>
      </c>
      <c r="W68" s="7"/>
      <c r="X68" s="223" t="str">
        <f>IF(intervencao4=0,"Do not fill this line",intervencao4)</f>
        <v>Rosuvastatin 40mg</v>
      </c>
      <c r="Y68" s="301" t="e">
        <f>1-AVERAGEIF(Data!AN$10:AN$21,"&gt;0",Data!AN$10:AN$21)</f>
        <v>#DIV/0!</v>
      </c>
      <c r="Z68" s="227" t="e">
        <f>1-AVERAGEIF(Data!AN$22:AN$33,"&gt;0",Data!AN$22:AN$33)</f>
        <v>#DIV/0!</v>
      </c>
      <c r="AA68" s="227" t="e">
        <f>1-AVERAGEIF(Data!AN$34:AN$45,"&gt;0",Data!AN$34:AN$45)</f>
        <v>#DIV/0!</v>
      </c>
      <c r="AB68" s="227" t="e">
        <f>1-AVERAGEIF(Data!AN$46:AN$57,"&gt;0",Data!AN$46:AN$57)</f>
        <v>#DIV/0!</v>
      </c>
      <c r="AC68" s="11"/>
      <c r="AD68" s="9"/>
      <c r="AE68" s="223" t="str">
        <f>IF(intervencao4=0,"Do not fill this line",intervencao4)</f>
        <v>Rosuvastatin 40mg</v>
      </c>
      <c r="AF68" s="227">
        <f>1-IFERROR(IF(AND($H$58=1,J68=""),1,IF(AND($H$58=1,J68=0),0,IF(AND($H$58=1,J68&gt;0),J68,AVERAGEIF(Data!V$10:V$21,"&gt;0",Data!V$10:V$21)))),1)</f>
        <v>0</v>
      </c>
      <c r="AG68" s="227">
        <f>1-IFERROR(IF(AND($H$58=1,K68=""),1,IF(AND($H$58=1,K68=0),0,IF(AND($H$58=1,K68&gt;0),K68,AVERAGEIF(Data!V$22:V$33,"&gt;0",Data!V$22:V$33)))),1)</f>
        <v>0</v>
      </c>
      <c r="AH68" s="227">
        <f>1-IFERROR(IF(AND($H$58=1,L68=""),1,IF(AND($H$58=1,L68=0),0,IF(AND($H$58=1,L68&gt;0),L68,AVERAGEIF(Data!V$34:V$45,"&gt;0",Data!V$34:V$45)))),1)</f>
        <v>0</v>
      </c>
      <c r="AI68" s="227">
        <f>1-IFERROR(IF(AND($H$58=1,M68=""),1,IF(AND($H$58=1,M68=0),0,IF(AND($H$58=1,M68&gt;0),M68,AVERAGEIF(Data!V$46:V$57,"&gt;0",Data!V$46:V$57)))),1)</f>
        <v>0</v>
      </c>
      <c r="AJ68" s="9"/>
      <c r="AK68" s="9"/>
      <c r="AL68" s="223" t="str">
        <f>IF(intervencao4=0,"Do not fill this line",intervencao4)</f>
        <v>Rosuvastatin 40mg</v>
      </c>
      <c r="AM68" s="227">
        <f>IFERROR(IF($H$58=1,J68,AVERAGEIF(Data!F$10:F$21,"&gt;0",Data!F$10:F$21)),0)</f>
        <v>0</v>
      </c>
      <c r="AN68" s="227">
        <f>IFERROR(IF($H$58=1,K68,AVERAGEIF(Data!F$22:F$33,"&gt;0",Data!F$22:F$33)),0)</f>
        <v>0</v>
      </c>
      <c r="AO68" s="227">
        <f>IFERROR(IF($H$58=1,L68,AVERAGEIF(Data!F$34:F$45,"&gt;0",Data!F$34:F$45)),0)</f>
        <v>0</v>
      </c>
      <c r="AP68" s="227">
        <f>IFERROR(IF($H$58=1,M68,AVERAGEIF(Data!F$46:F$57,"&gt;0",Data!F$46:F$57)),0)</f>
        <v>0</v>
      </c>
      <c r="AQ68" s="9"/>
    </row>
    <row r="69" spans="3:43">
      <c r="C69" s="294" t="str">
        <f>IF(uso=1,"Enter the average time of use",IF(uso=4,"Enter "&amp;E54,"Do not fill in this table"))</f>
        <v>Enter the average time of use</v>
      </c>
      <c r="D69" s="471" t="s">
        <v>278</v>
      </c>
      <c r="E69" s="472"/>
      <c r="F69" s="7"/>
      <c r="G69" s="7"/>
      <c r="H69" s="459" t="str">
        <f>H63</f>
        <v>Do not fill in this table</v>
      </c>
      <c r="I69" s="467"/>
      <c r="J69" s="483" t="s">
        <v>279</v>
      </c>
      <c r="K69" s="484"/>
      <c r="L69" s="484"/>
      <c r="M69" s="485"/>
      <c r="N69" s="7"/>
      <c r="O69" s="7"/>
      <c r="P69" s="7"/>
      <c r="Q69" s="302" t="str">
        <f>Q63</f>
        <v>Do not fill in this table</v>
      </c>
      <c r="R69" s="303"/>
      <c r="S69" s="304"/>
      <c r="T69" s="304"/>
      <c r="U69" s="304"/>
      <c r="V69" s="11"/>
      <c r="W69" s="7"/>
      <c r="X69" s="302" t="str">
        <f>X63</f>
        <v>Do not fill in this table</v>
      </c>
      <c r="Y69" s="303"/>
      <c r="Z69" s="304"/>
      <c r="AA69" s="304"/>
      <c r="AB69" s="304"/>
      <c r="AC69" s="11"/>
      <c r="AD69" s="9"/>
      <c r="AE69" s="302" t="str">
        <f>AE63</f>
        <v>Do not fill in this table</v>
      </c>
      <c r="AF69" s="303"/>
      <c r="AG69" s="304"/>
      <c r="AH69" s="304"/>
      <c r="AI69" s="304"/>
      <c r="AJ69" s="9"/>
      <c r="AK69" s="9"/>
      <c r="AL69" s="302" t="s">
        <v>276</v>
      </c>
      <c r="AM69" s="303"/>
      <c r="AN69" s="304"/>
      <c r="AO69" s="304"/>
      <c r="AP69" s="304"/>
      <c r="AQ69" s="9"/>
    </row>
    <row r="70" spans="3:43">
      <c r="C70" s="300" t="str">
        <f>IF(comparador1=0,"Do not fill this line",comparador1)</f>
        <v>Atorvastatin 10mg</v>
      </c>
      <c r="D70" s="461"/>
      <c r="E70" s="462"/>
      <c r="F70" s="7"/>
      <c r="G70" s="7"/>
      <c r="H70" s="470" t="str">
        <f>IF(comparador1=0,"Do not fill this line",comparador1)</f>
        <v>Atorvastatin 10mg</v>
      </c>
      <c r="I70" s="470"/>
      <c r="J70" s="310"/>
      <c r="K70" s="310"/>
      <c r="L70" s="310"/>
      <c r="M70" s="310"/>
      <c r="N70" s="7"/>
      <c r="O70" s="7"/>
      <c r="P70" s="7"/>
      <c r="Q70" s="227" t="str">
        <f>IF(comparador1=0,"Do not fill this line",comparador1)</f>
        <v>Atorvastatin 10mg</v>
      </c>
      <c r="R70" s="227">
        <f t="shared" ref="R70:R79" si="2">IFERROR(IF(AND(descontinua=1,OR(uso=1,uso=4)),Y70,IF(AND(descontinua=1,uso=2),AM70,IF(AND(descontinua=1,uso=3),AF70,0))),0)</f>
        <v>0</v>
      </c>
      <c r="S70" s="227">
        <f t="shared" ref="S70:S79" si="3">IFERROR(IF(AND(descontinua=1,OR(uso=1,uso=4)),Z70,IF(AND(descontinua=1,uso=2),AN70,IF(AND(descontinua=1,uso=3),AG70,0))),0)</f>
        <v>0</v>
      </c>
      <c r="T70" s="227">
        <f t="shared" ref="T70:T79" si="4">IFERROR(IF(AND(descontinua=1,OR(uso=1,uso=4)),AA70,IF(AND(descontinua=1,uso=2),AO70,IF(AND(descontinua=1,uso=3),AH70,0))),0)</f>
        <v>0</v>
      </c>
      <c r="U70" s="227">
        <f t="shared" ref="U70:U79" si="5">IFERROR(IF(AND(descontinua=1,OR(uso=1,uso=4)),AB70,IF(AND(descontinua=1,uso=2),AP70,IF(AND(descontinua=1,uso=3),AI70,0))),0)</f>
        <v>0</v>
      </c>
      <c r="V70" s="11">
        <f t="shared" si="1"/>
        <v>0</v>
      </c>
      <c r="W70" s="7"/>
      <c r="X70" s="223" t="str">
        <f>IF(comparador1=0,"Do not fill this line",comparador1)</f>
        <v>Atorvastatin 10mg</v>
      </c>
      <c r="Y70" s="227" t="e">
        <f>1-AVERAGEIF(Data!AO$10:AO$21,"&gt;0",Data!AO$10:AO$21)</f>
        <v>#DIV/0!</v>
      </c>
      <c r="Z70" s="227" t="e">
        <f>1-AVERAGEIF(Data!AO$22:AO$33,"&gt;0",Data!AO$22:AO$33)</f>
        <v>#DIV/0!</v>
      </c>
      <c r="AA70" s="227" t="e">
        <f>1-AVERAGEIF(Data!AO$34:AO$45,"&gt;0",Data!AO$34:AO$45)</f>
        <v>#DIV/0!</v>
      </c>
      <c r="AB70" s="227" t="e">
        <f>1-AVERAGEIF(Data!AO$46:AO$57,"&gt;0",Data!AO$46:AO$57)</f>
        <v>#DIV/0!</v>
      </c>
      <c r="AC70" s="11"/>
      <c r="AD70" s="9"/>
      <c r="AE70" s="223" t="str">
        <f>IF(comparador1=0,"Do not fill this line",comparador1)</f>
        <v>Atorvastatin 10mg</v>
      </c>
      <c r="AF70" s="227">
        <f>1-IFERROR(IF(AND($H$58=1,J70=""),1,IF(AND($H$58=1,J70=0),0,IF(AND($H$58=1,J70&gt;0),J70,AVERAGEIF(Data!W$10:W$21,"&gt;0",Data!W$10:W$21)))),1)</f>
        <v>0</v>
      </c>
      <c r="AG70" s="227">
        <f>1-IFERROR(IF(AND($H$58=1,K70=""),1,IF(AND($H$58=1,K70=0),0,IF(AND($H$58=1,K70&gt;0),K70,AVERAGEIF(Data!W$22:W$33,"&gt;0",Data!W$22:W$33)))),1)</f>
        <v>0</v>
      </c>
      <c r="AH70" s="227">
        <f>1-IFERROR(IF(AND($H$58=1,L70=""),1,IF(AND($H$58=1,L70=0),0,IF(AND($H$58=1,L70&gt;0),L70,AVERAGEIF(Data!W$34:W$45,"&gt;0",Data!W$34:W$45)))),1)</f>
        <v>0</v>
      </c>
      <c r="AI70" s="227">
        <f>1-IFERROR(IF(AND($H$58=1,M70=""),1,IF(AND($H$58=1,M70=0),0,IF(AND($H$58=1,M70&gt;0),M70,AVERAGEIF(Data!W$46:W$57,"&gt;0",Data!W$46:W$57)))),1)</f>
        <v>0</v>
      </c>
      <c r="AJ70" s="9"/>
      <c r="AK70" s="9"/>
      <c r="AL70" s="223" t="str">
        <f>IF(comparador1=0,"Do not fill this line",comparador1)</f>
        <v>Atorvastatin 10mg</v>
      </c>
      <c r="AM70" s="227">
        <f>IFERROR(IF($H$58=1,J70,AVERAGEIF(Data!G$10:G$21,"&gt;0",Data!G$10:G$21)),0)</f>
        <v>0</v>
      </c>
      <c r="AN70" s="227">
        <f>IFERROR(IF($H$58=1,K70,AVERAGEIF(Data!G$22:G$33,"&gt;0",Data!G$22:G$33)),0)</f>
        <v>0</v>
      </c>
      <c r="AO70" s="227">
        <f>IFERROR(IF($H$58=1,L70,AVERAGEIF(Data!G$34:G$45,"&gt;0",Data!G$34:G$45)),0)</f>
        <v>0</v>
      </c>
      <c r="AP70" s="227">
        <f>IFERROR(IF($H$58=1,M70,AVERAGEIF(Data!G$46:G$57,"&gt;0",Data!G$46:G$57)),0)</f>
        <v>0</v>
      </c>
      <c r="AQ70" s="9"/>
    </row>
    <row r="71" spans="3:43">
      <c r="C71" s="300" t="str">
        <f>IF(comparador2=0,"Do not fill this line",comparador2)</f>
        <v>Atorvastatin 20mg</v>
      </c>
      <c r="D71" s="461"/>
      <c r="E71" s="462"/>
      <c r="F71" s="7"/>
      <c r="G71" s="7"/>
      <c r="H71" s="470" t="str">
        <f>IF(comparador2=0,"Do not fill this line",comparador2)</f>
        <v>Atorvastatin 20mg</v>
      </c>
      <c r="I71" s="470"/>
      <c r="J71" s="230"/>
      <c r="K71" s="230"/>
      <c r="L71" s="230"/>
      <c r="M71" s="230"/>
      <c r="N71" s="7"/>
      <c r="O71" s="7"/>
      <c r="P71" s="7"/>
      <c r="Q71" s="227" t="str">
        <f>IF(comparador2=0,"Do not fill this line",comparador2)</f>
        <v>Atorvastatin 20mg</v>
      </c>
      <c r="R71" s="227">
        <f t="shared" si="2"/>
        <v>0</v>
      </c>
      <c r="S71" s="227">
        <f t="shared" si="3"/>
        <v>0</v>
      </c>
      <c r="T71" s="227">
        <f t="shared" si="4"/>
        <v>0</v>
      </c>
      <c r="U71" s="227">
        <f t="shared" si="5"/>
        <v>0</v>
      </c>
      <c r="V71" s="11">
        <f t="shared" si="1"/>
        <v>0</v>
      </c>
      <c r="W71" s="7"/>
      <c r="X71" s="223" t="str">
        <f>IF(comparador2=0,"Do not fill this line",comparador2)</f>
        <v>Atorvastatin 20mg</v>
      </c>
      <c r="Y71" s="227" t="e">
        <f>1-AVERAGEIF(Data!AP$10:AP$21,"&gt;0",Data!AP$10:AP$21)</f>
        <v>#DIV/0!</v>
      </c>
      <c r="Z71" s="227" t="e">
        <f>1-AVERAGEIF(Data!AP$22:AP$33,"&gt;0",Data!AP$22:AP$33)</f>
        <v>#DIV/0!</v>
      </c>
      <c r="AA71" s="227" t="e">
        <f>1-AVERAGEIF(Data!AP$34:AP$45,"&gt;0",Data!AP$34:AP$45)</f>
        <v>#DIV/0!</v>
      </c>
      <c r="AB71" s="227" t="e">
        <f>1-AVERAGEIF(Data!AP$46:AP$57,"&gt;0",Data!AP$46:AP$57)</f>
        <v>#DIV/0!</v>
      </c>
      <c r="AC71" s="11"/>
      <c r="AD71" s="9"/>
      <c r="AE71" s="223" t="str">
        <f>IF(comparador2=0,"Do not fill this line",comparador2)</f>
        <v>Atorvastatin 20mg</v>
      </c>
      <c r="AF71" s="227">
        <f>1-IFERROR(IF(AND($H$58=1,J71=""),1,IF(AND($H$58=1,J71=0),0,IF(AND($H$58=1,J71&gt;0),J71,AVERAGEIF(Data!X$10:X$21,"&gt;0",Data!X$10:X$21)))),1)</f>
        <v>0</v>
      </c>
      <c r="AG71" s="227">
        <f>1-IFERROR(IF(AND($H$58=1,K71=""),1,IF(AND($H$58=1,K71=0),0,IF(AND($H$58=1,K71&gt;0),K71,AVERAGEIF(Data!X$22:X$33,"&gt;0",Data!X$22:X$33)))),1)</f>
        <v>0</v>
      </c>
      <c r="AH71" s="227">
        <f>1-IFERROR(IF(AND($H$58=1,L71=""),1,IF(AND($H$58=1,L71=0),0,IF(AND($H$58=1,L71&gt;0),L71,AVERAGEIF(Data!X$34:X$45,"&gt;0",Data!X$34:X$45)))),1)</f>
        <v>0</v>
      </c>
      <c r="AI71" s="227">
        <f>1-IFERROR(IF(AND($H$58=1,M71=""),1,IF(AND($H$58=1,M71=0),0,IF(AND($H$58=1,M71&gt;0),M71,AVERAGEIF(Data!X$46:X$57,"&gt;0",Data!X$46:X$57)))),1)</f>
        <v>0</v>
      </c>
      <c r="AJ71" s="9"/>
      <c r="AK71" s="9"/>
      <c r="AL71" s="223" t="str">
        <f>IF(comparador2=0,"Do not fill this line",comparador2)</f>
        <v>Atorvastatin 20mg</v>
      </c>
      <c r="AM71" s="227">
        <f>IFERROR(IF($H$58=1,J71,AVERAGEIF(Data!H$10:H$21,"&gt;0",Data!H$10:H$21)),0)</f>
        <v>0</v>
      </c>
      <c r="AN71" s="227">
        <f>IFERROR(IF($H$58=1,K71,AVERAGEIF(Data!H$22:H$33,"&gt;0",Data!H$22:H$33)),0)</f>
        <v>0</v>
      </c>
      <c r="AO71" s="227">
        <f>IFERROR(IF($H$58=1,L71,AVERAGEIF(Data!H$34:H$45,"&gt;0",Data!H$34:H$45)),0)</f>
        <v>0</v>
      </c>
      <c r="AP71" s="227">
        <f>IFERROR(IF($H$58=1,M71,AVERAGEIF(Data!H$46:H$57,"&gt;0",Data!H$46:H$57)),0)</f>
        <v>0</v>
      </c>
      <c r="AQ71" s="9"/>
    </row>
    <row r="72" spans="3:43">
      <c r="C72" s="300" t="str">
        <f>IF(comparador3=0,"Do not fill this line",comparador3)</f>
        <v>Atorvastatin 40mg</v>
      </c>
      <c r="D72" s="461"/>
      <c r="E72" s="462"/>
      <c r="F72" s="7"/>
      <c r="G72" s="7"/>
      <c r="H72" s="470" t="str">
        <f>IF(comparador3=0,"Do not fill this line",comparador3)</f>
        <v>Atorvastatin 40mg</v>
      </c>
      <c r="I72" s="470"/>
      <c r="J72" s="230"/>
      <c r="K72" s="230"/>
      <c r="L72" s="230"/>
      <c r="M72" s="230"/>
      <c r="N72" s="7"/>
      <c r="O72" s="7"/>
      <c r="P72" s="7"/>
      <c r="Q72" s="227" t="str">
        <f>IF(comparador3=0,"Do not fill this line",comparador3)</f>
        <v>Atorvastatin 40mg</v>
      </c>
      <c r="R72" s="227">
        <f t="shared" si="2"/>
        <v>0</v>
      </c>
      <c r="S72" s="227">
        <f t="shared" si="3"/>
        <v>0</v>
      </c>
      <c r="T72" s="227">
        <f t="shared" si="4"/>
        <v>0</v>
      </c>
      <c r="U72" s="227">
        <f t="shared" si="5"/>
        <v>0</v>
      </c>
      <c r="V72" s="11">
        <f t="shared" si="1"/>
        <v>0</v>
      </c>
      <c r="W72" s="7"/>
      <c r="X72" s="223" t="str">
        <f>IF(comparador3=0,"Do not fill this line",comparador3)</f>
        <v>Atorvastatin 40mg</v>
      </c>
      <c r="Y72" s="227" t="e">
        <f>1-AVERAGEIF(Data!AQ$10:AQ$21,"&gt;0",Data!AQ$10:AQ$21)</f>
        <v>#DIV/0!</v>
      </c>
      <c r="Z72" s="227" t="e">
        <f>1-AVERAGEIF(Data!AQ$22:AQ$33,"&gt;0",Data!AQ$22:AQ$33)</f>
        <v>#DIV/0!</v>
      </c>
      <c r="AA72" s="227" t="e">
        <f>1-AVERAGEIF(Data!AQ$34:AQ$45,"&gt;0",Data!AQ$34:AQ$45)</f>
        <v>#DIV/0!</v>
      </c>
      <c r="AB72" s="227" t="e">
        <f>1-AVERAGEIF(Data!AQ$46:AQ$57,"&gt;0",Data!AQ$46:AQ$57)</f>
        <v>#DIV/0!</v>
      </c>
      <c r="AC72" s="11"/>
      <c r="AD72" s="9"/>
      <c r="AE72" s="223" t="str">
        <f>IF(comparador3=0,"Do not fill this line",comparador3)</f>
        <v>Atorvastatin 40mg</v>
      </c>
      <c r="AF72" s="227">
        <f>1-IFERROR(IF(AND($H$58=1,J72=""),1,IF(AND($H$58=1,J72=0),0,IF(AND($H$58=1,J72&gt;0),J72,AVERAGEIF(Data!Y$10:Y$21,"&gt;0",Data!Y$10:Y$21)))),1)</f>
        <v>0</v>
      </c>
      <c r="AG72" s="227">
        <f>1-IFERROR(IF(AND($H$58=1,K72=""),1,IF(AND($H$58=1,K72=0),0,IF(AND($H$58=1,K72&gt;0),K72,AVERAGEIF(Data!Y$22:Y$33,"&gt;0",Data!Y$22:Y$33)))),1)</f>
        <v>0</v>
      </c>
      <c r="AH72" s="227">
        <f>1-IFERROR(IF(AND($H$58=1,L72=""),1,IF(AND($H$58=1,L72=0),0,IF(AND($H$58=1,L72&gt;0),L72,AVERAGEIF(Data!Y$34:Y$45,"&gt;0",Data!Y$34:Y$45)))),1)</f>
        <v>0</v>
      </c>
      <c r="AI72" s="227">
        <f>1-IFERROR(IF(AND($H$58=1,M72=""),1,IF(AND($H$58=1,M72=0),0,IF(AND($H$58=1,M72&gt;0),M72,AVERAGEIF(Data!Y$46:Y$57,"&gt;0",Data!Y$46:Y$57)))),1)</f>
        <v>0</v>
      </c>
      <c r="AJ72" s="9"/>
      <c r="AK72" s="9"/>
      <c r="AL72" s="223" t="str">
        <f>IF(comparador3=0,"Do not fill this line",comparador3)</f>
        <v>Atorvastatin 40mg</v>
      </c>
      <c r="AM72" s="227">
        <f>IFERROR(IF($H$58=1,J72,AVERAGEIF(Data!I$10:I$21,"&gt;0",Data!I$10:I$21)),0)</f>
        <v>0</v>
      </c>
      <c r="AN72" s="227">
        <f>IFERROR(IF($H$58=1,K72,AVERAGEIF(Data!I$22:I$33,"&gt;0",Data!I$22:I$33)),0)</f>
        <v>0</v>
      </c>
      <c r="AO72" s="227">
        <f>IFERROR(IF($H$58=1,L72,AVERAGEIF(Data!I$34:I$45,"&gt;0",Data!I$34:I$45)),0)</f>
        <v>0</v>
      </c>
      <c r="AP72" s="227">
        <f>IFERROR(IF($H$58=1,M72,AVERAGEIF(Data!I$46:I$57,"&gt;0",Data!I$46:I$57)),0)</f>
        <v>0</v>
      </c>
      <c r="AQ72" s="9"/>
    </row>
    <row r="73" spans="3:43">
      <c r="C73" s="300" t="str">
        <f>IF(comparador4=0,"Do not fill this line",comparador4)</f>
        <v>Atorvastatin 80mg</v>
      </c>
      <c r="D73" s="461"/>
      <c r="E73" s="462"/>
      <c r="F73" s="7"/>
      <c r="G73" s="7"/>
      <c r="H73" s="470" t="str">
        <f>IF(comparador4=0,"Do not fill this line",comparador4)</f>
        <v>Atorvastatin 80mg</v>
      </c>
      <c r="I73" s="470"/>
      <c r="J73" s="230"/>
      <c r="K73" s="230"/>
      <c r="L73" s="230"/>
      <c r="M73" s="230"/>
      <c r="N73" s="7"/>
      <c r="O73" s="7"/>
      <c r="P73" s="7"/>
      <c r="Q73" s="227" t="str">
        <f>IF(comparador4=0,"Do not fill this line",comparador4)</f>
        <v>Atorvastatin 80mg</v>
      </c>
      <c r="R73" s="227">
        <f t="shared" si="2"/>
        <v>0</v>
      </c>
      <c r="S73" s="227">
        <f t="shared" si="3"/>
        <v>0</v>
      </c>
      <c r="T73" s="227">
        <f t="shared" si="4"/>
        <v>0</v>
      </c>
      <c r="U73" s="227">
        <f t="shared" si="5"/>
        <v>0</v>
      </c>
      <c r="V73" s="11">
        <f t="shared" si="1"/>
        <v>0</v>
      </c>
      <c r="W73" s="7"/>
      <c r="X73" s="223" t="str">
        <f>IF(comparador4=0,"Do not fill this line",comparador4)</f>
        <v>Atorvastatin 80mg</v>
      </c>
      <c r="Y73" s="227" t="e">
        <f>1-AVERAGEIF(Data!AR$10:AR$21,"&gt;0",Data!AR$10:AR$21)</f>
        <v>#DIV/0!</v>
      </c>
      <c r="Z73" s="227" t="e">
        <f>1-AVERAGEIF(Data!AR$22:AR$33,"&gt;0",Data!AR$22:AR$33)</f>
        <v>#DIV/0!</v>
      </c>
      <c r="AA73" s="227" t="e">
        <f>1-AVERAGEIF(Data!AR$34:AR$45,"&gt;0",Data!AR$34:AR$45)</f>
        <v>#DIV/0!</v>
      </c>
      <c r="AB73" s="227" t="e">
        <f>1-AVERAGEIF(Data!AR$46:AR$57,"&gt;0",Data!AR$46:AR$57)</f>
        <v>#DIV/0!</v>
      </c>
      <c r="AC73" s="11"/>
      <c r="AD73" s="9"/>
      <c r="AE73" s="223" t="str">
        <f>IF(comparador4=0,"Do not fill this line",comparador4)</f>
        <v>Atorvastatin 80mg</v>
      </c>
      <c r="AF73" s="227">
        <f>1-IFERROR(IF(AND($H$58=1,J73=""),1,IF(AND($H$58=1,J73=0),0,IF(AND($H$58=1,J73&gt;0),J73,AVERAGEIF(Data!Z$10:Z$21,"&gt;0",Data!Z$10:Z$21)))),1)</f>
        <v>0</v>
      </c>
      <c r="AG73" s="227">
        <f>1-IFERROR(IF(AND($H$58=1,K73=""),1,IF(AND($H$58=1,K73=0),0,IF(AND($H$58=1,K73&gt;0),K73,AVERAGEIF(Data!Z$22:Z$33,"&gt;0",Data!Z$22:Z$33)))),1)</f>
        <v>0</v>
      </c>
      <c r="AH73" s="227">
        <f>1-IFERROR(IF(AND($H$58=1,L73=""),1,IF(AND($H$58=1,L73=0),0,IF(AND($H$58=1,L73&gt;0),L73,AVERAGEIF(Data!Z$34:Z$45,"&gt;0",Data!Z$34:Z$45)))),1)</f>
        <v>0</v>
      </c>
      <c r="AI73" s="227">
        <f>1-IFERROR(IF(AND($H$58=1,M73=""),1,IF(AND($H$58=1,M73=0),0,IF(AND($H$58=1,M73&gt;0),M73,AVERAGEIF(Data!Z$46:Z$57,"&gt;0",Data!Z$46:Z$57)))),1)</f>
        <v>0</v>
      </c>
      <c r="AJ73" s="9"/>
      <c r="AK73" s="9"/>
      <c r="AL73" s="223" t="str">
        <f>IF(comparador4=0,"Do not fill this line",comparador4)</f>
        <v>Atorvastatin 80mg</v>
      </c>
      <c r="AM73" s="227">
        <f>IFERROR(IF($H$58=1,J73,AVERAGEIF(Data!J$10:J$21,"&gt;0",Data!J$10:J$21)),0)</f>
        <v>0</v>
      </c>
      <c r="AN73" s="227">
        <f>IFERROR(IF($H$58=1,K73,AVERAGEIF(Data!J$22:J$33,"&gt;0",Data!J$22:J$33)),0)</f>
        <v>0</v>
      </c>
      <c r="AO73" s="227">
        <f>IFERROR(IF($H$58=1,L73,AVERAGEIF(Data!J$34:J$45,"&gt;0",Data!J$34:J$45)),0)</f>
        <v>0</v>
      </c>
      <c r="AP73" s="227">
        <f>IFERROR(IF($H$58=1,M73,AVERAGEIF(Data!J$46:J$57,"&gt;0",Data!J$46:J$57)),0)</f>
        <v>0</v>
      </c>
      <c r="AQ73" s="9"/>
    </row>
    <row r="74" spans="3:43">
      <c r="C74" s="300" t="str">
        <f>IF(comparador5=0,"Do not fill this line",comparador5)</f>
        <v>Pravastatin</v>
      </c>
      <c r="D74" s="461"/>
      <c r="E74" s="462"/>
      <c r="F74" s="7"/>
      <c r="G74" s="7"/>
      <c r="H74" s="470" t="str">
        <f>IF(comparador5=0,"Do not fill this line",comparador5)</f>
        <v>Pravastatin</v>
      </c>
      <c r="I74" s="470"/>
      <c r="J74" s="230"/>
      <c r="K74" s="230"/>
      <c r="L74" s="230"/>
      <c r="M74" s="230"/>
      <c r="N74" s="7"/>
      <c r="O74" s="7"/>
      <c r="P74" s="7"/>
      <c r="Q74" s="227" t="str">
        <f>IF(comparador5=0,"Do not fill this line",comparador5)</f>
        <v>Pravastatin</v>
      </c>
      <c r="R74" s="227">
        <f t="shared" si="2"/>
        <v>0</v>
      </c>
      <c r="S74" s="227">
        <f t="shared" si="3"/>
        <v>0</v>
      </c>
      <c r="T74" s="227">
        <f t="shared" si="4"/>
        <v>0</v>
      </c>
      <c r="U74" s="227">
        <f t="shared" si="5"/>
        <v>0</v>
      </c>
      <c r="V74" s="11">
        <f t="shared" si="1"/>
        <v>0</v>
      </c>
      <c r="W74" s="7"/>
      <c r="X74" s="223" t="str">
        <f>IF(comparador5=0,"Do not fill this line",comparador5)</f>
        <v>Pravastatin</v>
      </c>
      <c r="Y74" s="227" t="e">
        <f>1-AVERAGEIF(Data!AS$10:AS$21,"&gt;0",Data!AS$10:AS$21)</f>
        <v>#DIV/0!</v>
      </c>
      <c r="Z74" s="227" t="e">
        <f>1-AVERAGEIF(Data!AS$22:AS$33,"&gt;0",Data!AS$22:AS$33)</f>
        <v>#DIV/0!</v>
      </c>
      <c r="AA74" s="227" t="e">
        <f>1-AVERAGEIF(Data!AS$34:AS$45,"&gt;0",Data!AS$34:AS$45)</f>
        <v>#DIV/0!</v>
      </c>
      <c r="AB74" s="227" t="e">
        <f>1-AVERAGEIF(Data!AS$46:AS$57,"&gt;0",Data!AS$46:AS$57)</f>
        <v>#DIV/0!</v>
      </c>
      <c r="AC74" s="11"/>
      <c r="AD74" s="9"/>
      <c r="AE74" s="223" t="str">
        <f>IF(comparador5=0,"Do not fill this line",comparador5)</f>
        <v>Pravastatin</v>
      </c>
      <c r="AF74" s="227">
        <f>1-IFERROR(IF(AND($H$58=1,J74=""),1,IF(AND($H$58=1,J74=0),0,IF(AND($H$58=1,J74&gt;0),J74,AVERAGEIF(Data!AA$10:AA$21,"&gt;0",Data!AA$10:AA$21)))),1)</f>
        <v>0</v>
      </c>
      <c r="AG74" s="227">
        <f>1-IFERROR(IF(AND($H$58=1,K74=""),1,IF(AND($H$58=1,K74=0),0,IF(AND($H$58=1,K74&gt;0),K74,AVERAGEIF(Data!AA$22:AA$33,"&gt;0",Data!AA$22:AA$33)))),1)</f>
        <v>0</v>
      </c>
      <c r="AH74" s="227">
        <f>1-IFERROR(IF(AND($H$58=1,L74=""),1,IF(AND($H$58=1,L74=0),0,IF(AND($H$58=1,L74&gt;0),L74,AVERAGEIF(Data!AA$34:AA$45,"&gt;0",Data!AA$34:AA$45)))),1)</f>
        <v>0</v>
      </c>
      <c r="AI74" s="227">
        <f>1-IFERROR(IF(AND($H$58=1,M74=""),1,IF(AND($H$58=1,M74=0),0,IF(AND($H$58=1,M74&gt;0),M74,AVERAGEIF(Data!AA$46:AA$57,"&gt;0",Data!AA$46:AA$57)))),1)</f>
        <v>0</v>
      </c>
      <c r="AJ74" s="9"/>
      <c r="AK74" s="9"/>
      <c r="AL74" s="223" t="str">
        <f>IF(comparador5=0,"Do not fill this line",comparador5)</f>
        <v>Pravastatin</v>
      </c>
      <c r="AM74" s="227">
        <f>IFERROR(IF($H$58=1,J74,AVERAGEIF(Data!K$10:K$21,"&gt;0",Data!K$10:K$21)),0)</f>
        <v>0</v>
      </c>
      <c r="AN74" s="227">
        <f>IFERROR(IF($H$58=1,K74,AVERAGEIF(Data!K$22:K$33,"&gt;0",Data!K$22:K$33)),0)</f>
        <v>0</v>
      </c>
      <c r="AO74" s="227">
        <f>IFERROR(IF($H$58=1,L74,AVERAGEIF(Data!K$34:K$45,"&gt;0",Data!K$34:K$45)),0)</f>
        <v>0</v>
      </c>
      <c r="AP74" s="227">
        <f>IFERROR(IF($H$58=1,M74,AVERAGEIF(Data!K$46:K$57,"&gt;0",Data!K$46:K$57)),0)</f>
        <v>0</v>
      </c>
      <c r="AQ74" s="9"/>
    </row>
    <row r="75" spans="3:43">
      <c r="C75" s="300" t="str">
        <f>IF(comparador6=0,"Do not fill this line",comparador6)</f>
        <v>Simvastatin 5mg</v>
      </c>
      <c r="D75" s="461"/>
      <c r="E75" s="462"/>
      <c r="F75" s="7"/>
      <c r="G75" s="7"/>
      <c r="H75" s="470" t="str">
        <f>IF(comparador6=0,"Do not fill this line",comparador6)</f>
        <v>Simvastatin 5mg</v>
      </c>
      <c r="I75" s="470"/>
      <c r="J75" s="230"/>
      <c r="K75" s="230"/>
      <c r="L75" s="230"/>
      <c r="M75" s="230"/>
      <c r="N75" s="7"/>
      <c r="O75" s="7"/>
      <c r="P75" s="7"/>
      <c r="Q75" s="227" t="str">
        <f>IF(comparador6=0,"Do not fill this line",comparador6)</f>
        <v>Simvastatin 5mg</v>
      </c>
      <c r="R75" s="227">
        <f t="shared" si="2"/>
        <v>0</v>
      </c>
      <c r="S75" s="227">
        <f t="shared" si="3"/>
        <v>0</v>
      </c>
      <c r="T75" s="227">
        <f t="shared" si="4"/>
        <v>0</v>
      </c>
      <c r="U75" s="227">
        <f t="shared" si="5"/>
        <v>0</v>
      </c>
      <c r="V75" s="11">
        <f t="shared" si="1"/>
        <v>0</v>
      </c>
      <c r="W75" s="7"/>
      <c r="X75" s="223" t="str">
        <f>IF(comparador6=0,"Do not fill this line",comparador6)</f>
        <v>Simvastatin 5mg</v>
      </c>
      <c r="Y75" s="227" t="e">
        <f>1-AVERAGEIF(Data!AT$10:AT$21,"&gt;0",Data!AT$10:AT$21)</f>
        <v>#DIV/0!</v>
      </c>
      <c r="Z75" s="227" t="e">
        <f>1-AVERAGEIF(Data!AT$22:AT$33,"&gt;0",Data!AT$22:AT$33)</f>
        <v>#DIV/0!</v>
      </c>
      <c r="AA75" s="227" t="e">
        <f>1-AVERAGEIF(Data!AT$34:AT$45,"&gt;0",Data!AT$34:AT$45)</f>
        <v>#DIV/0!</v>
      </c>
      <c r="AB75" s="227" t="e">
        <f>1-AVERAGEIF(Data!AT$46:AT$57,"&gt;0",Data!AT$46:AT$57)</f>
        <v>#DIV/0!</v>
      </c>
      <c r="AC75" s="11"/>
      <c r="AD75" s="9"/>
      <c r="AE75" s="223" t="str">
        <f>IF(comparador6=0,"Do not fill this line",comparador6)</f>
        <v>Simvastatin 5mg</v>
      </c>
      <c r="AF75" s="227">
        <f>1-IFERROR(IF(AND($H$58=1,J75=""),1,IF(AND($H$58=1,J75=0),0,IF(AND($H$58=1,J75&gt;0),J75,AVERAGEIF(Data!AB$10:AB$21,"&gt;0",Data!AB$10:AB$21)))),1)</f>
        <v>0</v>
      </c>
      <c r="AG75" s="227">
        <f>1-IFERROR(IF(AND($H$58=1,K75=""),1,IF(AND($H$58=1,K75=0),0,IF(AND($H$58=1,K75&gt;0),K75,AVERAGEIF(Data!AB$22:AB$33,"&gt;0",Data!AB$22:AB$33)))),1)</f>
        <v>0</v>
      </c>
      <c r="AH75" s="227">
        <f>1-IFERROR(IF(AND($H$58=1,L75=""),1,IF(AND($H$58=1,L75=0),0,IF(AND($H$58=1,L75&gt;0),L75,AVERAGEIF(Data!AB$34:AB$45,"&gt;0",Data!AB$34:AB$45)))),1)</f>
        <v>0</v>
      </c>
      <c r="AI75" s="227">
        <f>1-IFERROR(IF(AND($H$58=1,M75=""),1,IF(AND($H$58=1,M75=0),0,IF(AND($H$58=1,M75&gt;0),M75,AVERAGEIF(Data!AB$46:AB$57,"&gt;0",Data!AB$46:AB$57)))),1)</f>
        <v>0</v>
      </c>
      <c r="AJ75" s="9"/>
      <c r="AK75" s="9"/>
      <c r="AL75" s="223" t="str">
        <f>IF(comparador6=0,"Do not fill this line",comparador6)</f>
        <v>Simvastatin 5mg</v>
      </c>
      <c r="AM75" s="227">
        <f>IFERROR(IF($H$58=1,J75,AVERAGEIF(Data!L$10:L$21,"&gt;0",Data!L$10:L$21)),0)</f>
        <v>0</v>
      </c>
      <c r="AN75" s="227">
        <f>IFERROR(IF($H$58=1,K75,AVERAGEIF(Data!L$22:L$33,"&gt;0",Data!L$22:L$33)),0)</f>
        <v>0</v>
      </c>
      <c r="AO75" s="227">
        <f>IFERROR(IF($H$58=1,L75,AVERAGEIF(Data!L$34:L$45,"&gt;0",Data!L$34:L$45)),0)</f>
        <v>0</v>
      </c>
      <c r="AP75" s="227">
        <f>IFERROR(IF($H$58=1,M75,AVERAGEIF(Data!L$46:L$57,"&gt;0",Data!L$46:L$57)),0)</f>
        <v>0</v>
      </c>
      <c r="AQ75" s="9"/>
    </row>
    <row r="76" spans="3:43">
      <c r="C76" s="300" t="str">
        <f>IF(comparador7=0,"Do not fill this line",comparador7)</f>
        <v>Simvastatin 10mg</v>
      </c>
      <c r="D76" s="461"/>
      <c r="E76" s="462"/>
      <c r="F76" s="7"/>
      <c r="G76" s="7"/>
      <c r="H76" s="470" t="str">
        <f>IF(comparador7=0,"Do not fill this line",comparador7)</f>
        <v>Simvastatin 10mg</v>
      </c>
      <c r="I76" s="470"/>
      <c r="J76" s="230"/>
      <c r="K76" s="230"/>
      <c r="L76" s="230"/>
      <c r="M76" s="230"/>
      <c r="N76" s="7"/>
      <c r="O76" s="7"/>
      <c r="P76" s="7"/>
      <c r="Q76" s="227" t="str">
        <f>IF(comparador7=0,"Do not fill this line",comparador7)</f>
        <v>Simvastatin 10mg</v>
      </c>
      <c r="R76" s="227">
        <f t="shared" si="2"/>
        <v>0</v>
      </c>
      <c r="S76" s="227">
        <f t="shared" si="3"/>
        <v>0</v>
      </c>
      <c r="T76" s="227">
        <f t="shared" si="4"/>
        <v>0</v>
      </c>
      <c r="U76" s="227">
        <f t="shared" si="5"/>
        <v>0</v>
      </c>
      <c r="V76" s="11">
        <f t="shared" si="1"/>
        <v>0</v>
      </c>
      <c r="W76" s="7"/>
      <c r="X76" s="223" t="str">
        <f>IF(comparador7=0,"Do not fill this line",comparador7)</f>
        <v>Simvastatin 10mg</v>
      </c>
      <c r="Y76" s="227" t="e">
        <f>1-AVERAGEIF(Data!AU$10:AU$21,"&gt;0",Data!AU$10:AU$21)</f>
        <v>#DIV/0!</v>
      </c>
      <c r="Z76" s="227" t="e">
        <f>1-AVERAGEIF(Data!AU$22:AU$33,"&gt;0",Data!AU$22:AU$33)</f>
        <v>#DIV/0!</v>
      </c>
      <c r="AA76" s="227" t="e">
        <f>1-AVERAGEIF(Data!AU$34:AU$45,"&gt;0",Data!AU$34:AU$45)</f>
        <v>#DIV/0!</v>
      </c>
      <c r="AB76" s="227" t="e">
        <f>1-AVERAGEIF(Data!AU$46:AU$57,"&gt;0",Data!AU$46:AU$57)</f>
        <v>#DIV/0!</v>
      </c>
      <c r="AC76" s="11"/>
      <c r="AD76" s="9"/>
      <c r="AE76" s="223" t="str">
        <f>IF(comparador7=0,"Do not fill this line",comparador7)</f>
        <v>Simvastatin 10mg</v>
      </c>
      <c r="AF76" s="227">
        <f>1-IFERROR(IF(AND($H$58=1,J76=""),1,IF(AND($H$58=1,J76=0),0,IF(AND($H$58=1,J76&gt;0),J76,AVERAGEIF(Data!AC$10:AC$21,"&gt;0",Data!AC$10:AC$21)))),1)</f>
        <v>0</v>
      </c>
      <c r="AG76" s="227">
        <f>1-IFERROR(IF(AND($H$58=1,K76=""),1,IF(AND($H$58=1,K76=0),0,IF(AND($H$58=1,K76&gt;0),K76,AVERAGEIF(Data!AC$22:AC$33,"&gt;0",Data!AC$22:AC$33)))),1)</f>
        <v>0</v>
      </c>
      <c r="AH76" s="227">
        <f>1-IFERROR(IF(AND($H$58=1,L76=""),1,IF(AND($H$58=1,L76=0),0,IF(AND($H$58=1,L76&gt;0),L76,AVERAGEIF(Data!AC$34:AC$45,"&gt;0",Data!AC$34:AC$45)))),1)</f>
        <v>0</v>
      </c>
      <c r="AI76" s="227">
        <f>1-IFERROR(IF(AND($H$58=1,M76=""),1,IF(AND($H$58=1,M76=0),0,IF(AND($H$58=1,M76&gt;0),M76,AVERAGEIF(Data!AC$46:AC$57,"&gt;0",Data!AC$46:AC$57)))),1)</f>
        <v>0</v>
      </c>
      <c r="AJ76" s="9"/>
      <c r="AK76" s="9"/>
      <c r="AL76" s="223" t="str">
        <f>IF(comparador7=0,"Do not fill this line",comparador7)</f>
        <v>Simvastatin 10mg</v>
      </c>
      <c r="AM76" s="227">
        <f>IFERROR(IF($H$58=1,J76,AVERAGEIF(Data!M$10:M$21,"&gt;0",Data!M$10:M$21)),0)</f>
        <v>0</v>
      </c>
      <c r="AN76" s="227">
        <f>IFERROR(IF($H$58=1,K76,AVERAGEIF(Data!M$22:M$33,"&gt;0",Data!M$22:M$33)),0)</f>
        <v>0</v>
      </c>
      <c r="AO76" s="227">
        <f>IFERROR(IF($H$58=1,L76,AVERAGEIF(Data!M$34:M$45,"&gt;0",Data!M$34:M$45)),0)</f>
        <v>0</v>
      </c>
      <c r="AP76" s="227">
        <f>IFERROR(IF($H$58=1,M76,AVERAGEIF(Data!M$46:M$57,"&gt;0",Data!M$46:M$57)),0)</f>
        <v>0</v>
      </c>
      <c r="AQ76" s="9"/>
    </row>
    <row r="77" spans="3:43">
      <c r="C77" s="300" t="str">
        <f>IF(comparador8=0,"Do not fill this line",comparador8)</f>
        <v>Simvastatin 20mg</v>
      </c>
      <c r="D77" s="461"/>
      <c r="E77" s="462"/>
      <c r="F77" s="7"/>
      <c r="G77" s="7"/>
      <c r="H77" s="470" t="str">
        <f>IF(comparador8=0,"Do not fill this line",comparador8)</f>
        <v>Simvastatin 20mg</v>
      </c>
      <c r="I77" s="470"/>
      <c r="J77" s="230"/>
      <c r="K77" s="230"/>
      <c r="L77" s="230"/>
      <c r="M77" s="230"/>
      <c r="N77" s="7"/>
      <c r="O77" s="7"/>
      <c r="P77" s="7"/>
      <c r="Q77" s="227" t="str">
        <f>IF(comparador8=0,"Do not fill this line",comparador8)</f>
        <v>Simvastatin 20mg</v>
      </c>
      <c r="R77" s="227">
        <f t="shared" si="2"/>
        <v>0</v>
      </c>
      <c r="S77" s="227">
        <f t="shared" si="3"/>
        <v>0</v>
      </c>
      <c r="T77" s="227">
        <f t="shared" si="4"/>
        <v>0</v>
      </c>
      <c r="U77" s="227">
        <f t="shared" si="5"/>
        <v>0</v>
      </c>
      <c r="V77" s="11">
        <f t="shared" si="1"/>
        <v>0</v>
      </c>
      <c r="W77" s="7"/>
      <c r="X77" s="223" t="str">
        <f>IF(comparador8=0,"Do not fill this line",comparador8)</f>
        <v>Simvastatin 20mg</v>
      </c>
      <c r="Y77" s="227" t="e">
        <f>1-AVERAGEIF(Data!AV$10:AV$21,"&gt;0",Data!AV$10:AV$21)</f>
        <v>#DIV/0!</v>
      </c>
      <c r="Z77" s="227" t="e">
        <f>1-AVERAGEIF(Data!AV$22:AV$33,"&gt;0",Data!AV$22:AV$33)</f>
        <v>#DIV/0!</v>
      </c>
      <c r="AA77" s="227" t="e">
        <f>1-AVERAGEIF(Data!AV$34:AV$45,"&gt;0",Data!AV$34:AV$45)</f>
        <v>#DIV/0!</v>
      </c>
      <c r="AB77" s="227" t="e">
        <f>1-AVERAGEIF(Data!AV$46:AV$57,"&gt;0",Data!AV$46:AV$57)</f>
        <v>#DIV/0!</v>
      </c>
      <c r="AC77" s="11"/>
      <c r="AD77" s="9"/>
      <c r="AE77" s="223" t="str">
        <f>IF(comparador8=0,"Do not fill this line",comparador8)</f>
        <v>Simvastatin 20mg</v>
      </c>
      <c r="AF77" s="227">
        <f>1-IFERROR(IF(AND($H$58=1,J77=""),1,IF(AND($H$58=1,J77=0),0,IF(AND($H$58=1,J77&gt;0),J77,AVERAGEIF(Data!AD$10:AD$21,"&gt;0",Data!AD$10:AD$21)))),1)</f>
        <v>0</v>
      </c>
      <c r="AG77" s="227">
        <f>1-IFERROR(IF(AND($H$58=1,K77=""),1,IF(AND($H$58=1,K77=0),0,IF(AND($H$58=1,K77&gt;0),K77,AVERAGEIF(Data!AD$22:AD$33,"&gt;0",Data!AD$22:AD$33)))),1)</f>
        <v>0</v>
      </c>
      <c r="AH77" s="227">
        <f>1-IFERROR(IF(AND($H$58=1,L77=""),1,IF(AND($H$58=1,L77=0),0,IF(AND($H$58=1,L77&gt;0),L77,AVERAGEIF(Data!AD$34:AD$45,"&gt;0",Data!AD$34:AD$45)))),1)</f>
        <v>0</v>
      </c>
      <c r="AI77" s="227">
        <f>1-IFERROR(IF(AND($H$58=1,M77=""),1,IF(AND($H$58=1,M77=0),0,IF(AND($H$58=1,M77&gt;0),M77,AVERAGEIF(Data!AD$46:AD$57,"&gt;0",Data!AD$46:AD$57)))),1)</f>
        <v>0</v>
      </c>
      <c r="AJ77" s="9"/>
      <c r="AK77" s="9"/>
      <c r="AL77" s="223" t="str">
        <f>IF(comparador8=0,"Do not fill this line",comparador8)</f>
        <v>Simvastatin 20mg</v>
      </c>
      <c r="AM77" s="227">
        <f>IFERROR(IF($H$58=1,J77,AVERAGEIF(Data!N$10:N$21,"&gt;0",Data!N$10:N$21)),0)</f>
        <v>0</v>
      </c>
      <c r="AN77" s="227">
        <f>IFERROR(IF($H$58=1,K77,AVERAGEIF(Data!N$22:N$33,"&gt;0",Data!N$22:N$33)),0)</f>
        <v>0</v>
      </c>
      <c r="AO77" s="227">
        <f>IFERROR(IF($H$58=1,L77,AVERAGEIF(Data!N$34:N$45,"&gt;0",Data!N$34:N$45)),0)</f>
        <v>0</v>
      </c>
      <c r="AP77" s="227">
        <f>IFERROR(IF($H$58=1,M77,AVERAGEIF(Data!N$46:N$57,"&gt;0",Data!N$46:N$57)),0)</f>
        <v>0</v>
      </c>
      <c r="AQ77" s="9"/>
    </row>
    <row r="78" spans="3:43">
      <c r="C78" s="300" t="str">
        <f>IF(comparador9=0,"Do not fill this line",comparador9)</f>
        <v>Simvastatin 40mg</v>
      </c>
      <c r="D78" s="461"/>
      <c r="E78" s="462"/>
      <c r="F78" s="7"/>
      <c r="G78" s="7"/>
      <c r="H78" s="470" t="str">
        <f>IF(comparador9=0,"Do not fill this line",comparador9)</f>
        <v>Simvastatin 40mg</v>
      </c>
      <c r="I78" s="470"/>
      <c r="J78" s="230"/>
      <c r="K78" s="230"/>
      <c r="L78" s="230"/>
      <c r="M78" s="230"/>
      <c r="N78" s="7"/>
      <c r="O78" s="7"/>
      <c r="P78" s="7"/>
      <c r="Q78" s="227" t="str">
        <f>IF(comparador9=0,"Do not fill this line",comparador9)</f>
        <v>Simvastatin 40mg</v>
      </c>
      <c r="R78" s="227">
        <f t="shared" si="2"/>
        <v>0</v>
      </c>
      <c r="S78" s="227">
        <f t="shared" si="3"/>
        <v>0</v>
      </c>
      <c r="T78" s="227">
        <f t="shared" si="4"/>
        <v>0</v>
      </c>
      <c r="U78" s="227">
        <f t="shared" si="5"/>
        <v>0</v>
      </c>
      <c r="V78" s="11">
        <f t="shared" si="1"/>
        <v>0</v>
      </c>
      <c r="W78" s="7"/>
      <c r="X78" s="223" t="str">
        <f>IF(comparador9=0,"Do not fill this line",comparador9)</f>
        <v>Simvastatin 40mg</v>
      </c>
      <c r="Y78" s="227" t="e">
        <f>1-AVERAGEIF(Data!AW$10:AW$21,"&gt;0",Data!AW$10:AW$21)</f>
        <v>#DIV/0!</v>
      </c>
      <c r="Z78" s="227" t="e">
        <f>1-AVERAGEIF(Data!AW$22:AW$33,"&gt;0",Data!AW$22:AW$33)</f>
        <v>#DIV/0!</v>
      </c>
      <c r="AA78" s="227" t="e">
        <f>1-AVERAGEIF(Data!AW$34:AW$45,"&gt;0",Data!AW$34:AW$45)</f>
        <v>#DIV/0!</v>
      </c>
      <c r="AB78" s="227" t="e">
        <f>1-AVERAGEIF(Data!AW$46:AW$57,"&gt;0",Data!AW$46:AW$57)</f>
        <v>#DIV/0!</v>
      </c>
      <c r="AC78" s="11"/>
      <c r="AD78" s="9"/>
      <c r="AE78" s="223" t="str">
        <f>IF(comparador9=0,"Do not fill this line",comparador9)</f>
        <v>Simvastatin 40mg</v>
      </c>
      <c r="AF78" s="227">
        <f>1-IFERROR(IF(AND($H$58=1,J78=""),1,IF(AND($H$58=1,J78=0),0,IF(AND($H$58=1,J78&gt;0),J78,AVERAGEIF(Data!AE$10:AE$21,"&gt;0",Data!AE$10:AE$21)))),1)</f>
        <v>0</v>
      </c>
      <c r="AG78" s="227">
        <f>1-IFERROR(IF(AND($H$58=1,K78=""),1,IF(AND($H$58=1,K78=0),0,IF(AND($H$58=1,K78&gt;0),K78,AVERAGEIF(Data!AE$22:AE$33,"&gt;0",Data!AE$22:AE$33)))),1)</f>
        <v>0</v>
      </c>
      <c r="AH78" s="227">
        <f>1-IFERROR(IF(AND($H$58=1,L78=""),1,IF(AND($H$58=1,L78=0),0,IF(AND($H$58=1,L78&gt;0),L78,AVERAGEIF(Data!AE$34:AE$45,"&gt;0",Data!AE$34:AE$45)))),1)</f>
        <v>0</v>
      </c>
      <c r="AI78" s="227">
        <f>1-IFERROR(IF(AND($H$58=1,M78=""),1,IF(AND($H$58=1,M78=0),0,IF(AND($H$58=1,M78&gt;0),M78,AVERAGEIF(Data!AE$46:AE$57,"&gt;0",Data!AE$46:AE$57)))),1)</f>
        <v>0</v>
      </c>
      <c r="AJ78" s="9"/>
      <c r="AK78" s="9"/>
      <c r="AL78" s="223" t="str">
        <f>IF(comparador9=0,"Do not fill this line",comparador9)</f>
        <v>Simvastatin 40mg</v>
      </c>
      <c r="AM78" s="227">
        <f>IFERROR(IF($H$58=1,J78,AVERAGEIF(Data!O$10:O$21,"&gt;0",Data!O$10:O$21)),0)</f>
        <v>0</v>
      </c>
      <c r="AN78" s="227">
        <f>IFERROR(IF($H$58=1,K78,AVERAGEIF(Data!O$22:O$33,"&gt;0",Data!O$22:O$33)),0)</f>
        <v>0</v>
      </c>
      <c r="AO78" s="227">
        <f>IFERROR(IF($H$58=1,L78,AVERAGEIF(Data!O$34:O$45,"&gt;0",Data!O$34:O$45)),0)</f>
        <v>0</v>
      </c>
      <c r="AP78" s="227">
        <f>IFERROR(IF($H$58=1,M78,AVERAGEIF(Data!O$46:O$57,"&gt;0",Data!O$46:O$57)),0)</f>
        <v>0</v>
      </c>
      <c r="AQ78" s="9"/>
    </row>
    <row r="79" spans="3:43">
      <c r="C79" s="300" t="str">
        <f>IF(comparador10=0,"Do not fill this line",comparador10)</f>
        <v>Do not fill this line</v>
      </c>
      <c r="D79" s="461"/>
      <c r="E79" s="462"/>
      <c r="F79" s="7"/>
      <c r="G79" s="7"/>
      <c r="H79" s="470" t="str">
        <f>IF(comparador10=0,"Do not fill this line",comparador10)</f>
        <v>Do not fill this line</v>
      </c>
      <c r="I79" s="470"/>
      <c r="J79" s="230"/>
      <c r="K79" s="230"/>
      <c r="L79" s="230"/>
      <c r="M79" s="230"/>
      <c r="N79" s="7"/>
      <c r="O79" s="7"/>
      <c r="P79" s="7"/>
      <c r="Q79" s="227" t="str">
        <f>IF(comparador10=0,"Do not fill this line",comparador10)</f>
        <v>Do not fill this line</v>
      </c>
      <c r="R79" s="227">
        <f t="shared" si="2"/>
        <v>0</v>
      </c>
      <c r="S79" s="227">
        <f t="shared" si="3"/>
        <v>0</v>
      </c>
      <c r="T79" s="227">
        <f t="shared" si="4"/>
        <v>0</v>
      </c>
      <c r="U79" s="227">
        <f t="shared" si="5"/>
        <v>0</v>
      </c>
      <c r="V79" s="11">
        <f t="shared" si="1"/>
        <v>0</v>
      </c>
      <c r="W79" s="7"/>
      <c r="X79" s="223" t="str">
        <f>IF(comparador10=0,"Do not fill this line",comparador10)</f>
        <v>Do not fill this line</v>
      </c>
      <c r="Y79" s="227" t="e">
        <f>1-AVERAGEIF(Data!AX$10:AX$21,"&gt;0",Data!AX$10:AX$21)</f>
        <v>#DIV/0!</v>
      </c>
      <c r="Z79" s="227" t="e">
        <f>1-AVERAGEIF(Data!AX$22:AX$33,"&gt;0",Data!AX$22:AX$33)</f>
        <v>#DIV/0!</v>
      </c>
      <c r="AA79" s="227" t="e">
        <f>1-AVERAGEIF(Data!AX$34:AX$45,"&gt;0",Data!AX$34:AX$45)</f>
        <v>#DIV/0!</v>
      </c>
      <c r="AB79" s="227" t="e">
        <f>1-AVERAGEIF(Data!AX$46:AX$57,"&gt;0",Data!AX$46:AX$57)</f>
        <v>#DIV/0!</v>
      </c>
      <c r="AC79" s="11"/>
      <c r="AD79" s="9"/>
      <c r="AE79" s="223" t="str">
        <f>IF(comparador10=0,"Do not fill this line",comparador10)</f>
        <v>Do not fill this line</v>
      </c>
      <c r="AF79" s="227">
        <f>1-IFERROR(IF(AND($H$58=1,J79=""),1,IF(AND($H$58=1,J79=0),0,IF(AND($H$58=1,J79&gt;0),J79,AVERAGEIF(Data!AF$10:AF$21,"&gt;0",Data!AF$10:AF$21)))),1)</f>
        <v>0</v>
      </c>
      <c r="AG79" s="227">
        <f>1-IFERROR(IF(AND($H$58=1,K79=""),1,IF(AND($H$58=1,K79=0),0,IF(AND($H$58=1,K79&gt;0),K79,AVERAGEIF(Data!AF$22:AF$33,"&gt;0",Data!AF$22:AF$33)))),1)</f>
        <v>0</v>
      </c>
      <c r="AH79" s="227">
        <f>1-IFERROR(IF(AND($H$58=1,L79=""),1,IF(AND($H$58=1,L79=0),0,IF(AND($H$58=1,L79&gt;0),L79,AVERAGEIF(Data!AF$34:AF$45,"&gt;0",Data!AF$34:AF$45)))),1)</f>
        <v>0</v>
      </c>
      <c r="AI79" s="227">
        <f>1-IFERROR(IF(AND($H$58=1,M79=""),1,IF(AND($H$58=1,M79=0),0,IF(AND($H$58=1,M79&gt;0),M79,AVERAGEIF(Data!AF$46:AF$57,"&gt;0",Data!AF$46:AF$57)))),1)</f>
        <v>0</v>
      </c>
      <c r="AJ79" s="9"/>
      <c r="AK79" s="9"/>
      <c r="AL79" s="223" t="str">
        <f>IF(comparador10=0,"Do not fill this line",comparador10)</f>
        <v>Do not fill this line</v>
      </c>
      <c r="AM79" s="227">
        <f>IFERROR(IF($H$58=1,J79,AVERAGEIF(Data!P$10:P$21,"&gt;0",Data!P$10:P$21)),0)</f>
        <v>0</v>
      </c>
      <c r="AN79" s="227">
        <f>IFERROR(IF($H$58=1,K79,AVERAGEIF(Data!P$22:P$33,"&gt;0",Data!P$22:P$33)),0)</f>
        <v>0</v>
      </c>
      <c r="AO79" s="227">
        <f>IFERROR(IF($H$58=1,L79,AVERAGEIF(Data!P$34:P$45,"&gt;0",Data!P$34:P$45)),0)</f>
        <v>0</v>
      </c>
      <c r="AP79" s="227">
        <f>IFERROR(IF($H$58=1,M79,AVERAGEIF(Data!P$46:P$57,"&gt;0",Data!P$46:P$57)),0)</f>
        <v>0</v>
      </c>
      <c r="AQ79" s="9"/>
    </row>
    <row r="80" spans="3:43">
      <c r="C80" s="379" t="str">
        <f>IF(uso=4,"Atention!",IF(uso=1,"Atention!",""))</f>
        <v>Atention!</v>
      </c>
      <c r="D80" s="6"/>
      <c r="E80" s="6"/>
      <c r="F80" s="7"/>
      <c r="G80" s="7"/>
      <c r="H80" s="2"/>
      <c r="I80" s="7"/>
      <c r="J80" s="7"/>
      <c r="K80" s="7"/>
      <c r="L80" s="7"/>
      <c r="M80" s="7"/>
      <c r="N80" s="7"/>
      <c r="O80" s="7"/>
      <c r="P80" s="7"/>
      <c r="Q80" s="191"/>
      <c r="R80" s="191"/>
      <c r="S80" s="11"/>
      <c r="T80" s="11"/>
      <c r="U80" s="11"/>
      <c r="V80" s="11"/>
      <c r="W80" s="7"/>
      <c r="X80" s="11"/>
      <c r="Y80" s="11"/>
      <c r="Z80" s="11"/>
      <c r="AA80" s="11"/>
      <c r="AB80" s="11"/>
      <c r="AC80" s="11"/>
      <c r="AD80" s="9"/>
      <c r="AE80" s="11"/>
      <c r="AF80" s="9"/>
      <c r="AG80" s="9"/>
      <c r="AH80" s="9"/>
      <c r="AI80" s="9"/>
      <c r="AJ80" s="9"/>
      <c r="AK80" s="9"/>
      <c r="AL80" s="9"/>
      <c r="AM80" s="9"/>
      <c r="AN80" s="9"/>
      <c r="AO80" s="9"/>
      <c r="AP80" s="9"/>
      <c r="AQ80" s="9"/>
    </row>
    <row r="81" spans="3:43" ht="15" customHeight="1">
      <c r="C81" s="479" t="str">
        <f>IF(uso=4,_xlfn._LONGTEXT("Median survival should be used only as a last resort - when no other data are available - since it has a significant limitation: the inability to identify the best curve fit. By assuming a constant rate, it may underestimate or overestimate the duration o","f the patient's treatment over time."),IF(uso=1,_xlfn._LONGTEXT("Median time should be used only as a last resort - when no other data are available - since it has a significant limitation: the inability to identify the best curve fit. By assuming a constant rate, it may underestimate or overestimate the duration of th","e patient's treatment over time."),""))</f>
        <v>Median time should be used only as a last resort - when no other data are available - since it has a significant limitation: the inability to identify the best curve fit. By assuming a constant rate, it may underestimate or overestimate the duration of the patient's treatment over time.</v>
      </c>
      <c r="D81" s="479"/>
      <c r="E81" s="479"/>
      <c r="F81" s="479"/>
      <c r="G81" s="479"/>
      <c r="H81" s="479"/>
      <c r="I81" s="7"/>
      <c r="J81" s="7"/>
      <c r="K81" s="7"/>
      <c r="L81" s="7"/>
      <c r="M81" s="7"/>
      <c r="N81" s="7"/>
      <c r="O81" s="7"/>
      <c r="P81" s="7"/>
      <c r="Q81" s="191"/>
      <c r="R81" s="191"/>
      <c r="S81" s="11"/>
      <c r="T81" s="11"/>
      <c r="U81" s="11"/>
      <c r="V81" s="11"/>
      <c r="W81" s="7"/>
      <c r="X81" s="11"/>
      <c r="Y81" s="11"/>
      <c r="Z81" s="11"/>
      <c r="AA81" s="11"/>
      <c r="AB81" s="11"/>
      <c r="AC81" s="11"/>
      <c r="AD81" s="9"/>
      <c r="AE81" s="11"/>
      <c r="AF81" s="9"/>
      <c r="AG81" s="9"/>
      <c r="AH81" s="9"/>
      <c r="AI81" s="9"/>
      <c r="AJ81" s="9"/>
      <c r="AK81" s="9"/>
      <c r="AL81" s="9"/>
      <c r="AM81" s="9"/>
      <c r="AN81" s="9"/>
      <c r="AO81" s="9"/>
      <c r="AP81" s="9"/>
      <c r="AQ81" s="9"/>
    </row>
    <row r="82" spans="3:43">
      <c r="C82" s="479"/>
      <c r="D82" s="479"/>
      <c r="E82" s="479"/>
      <c r="F82" s="479"/>
      <c r="G82" s="479"/>
      <c r="H82" s="479"/>
      <c r="I82" s="9"/>
      <c r="K82" s="9"/>
      <c r="L82" s="9"/>
      <c r="O82" s="9"/>
      <c r="P82" s="9"/>
      <c r="Q82" s="11"/>
      <c r="R82" s="11"/>
      <c r="S82" s="11"/>
      <c r="T82" s="11"/>
      <c r="U82" s="11"/>
      <c r="V82" s="11"/>
      <c r="W82" s="9"/>
      <c r="X82" s="11"/>
      <c r="Y82" s="11"/>
      <c r="Z82" s="11"/>
      <c r="AA82" s="11"/>
      <c r="AB82" s="11"/>
      <c r="AC82" s="11"/>
      <c r="AD82" s="9"/>
      <c r="AE82" s="11"/>
      <c r="AF82" s="9"/>
      <c r="AG82" s="9"/>
      <c r="AH82" s="9"/>
      <c r="AI82" s="9"/>
      <c r="AJ82" s="9"/>
      <c r="AK82" s="9"/>
      <c r="AL82" s="9"/>
      <c r="AM82" s="9"/>
      <c r="AN82" s="9"/>
      <c r="AO82" s="9"/>
      <c r="AP82" s="9"/>
      <c r="AQ82" s="9"/>
    </row>
    <row r="83" spans="3:43" customFormat="1">
      <c r="C83" s="480"/>
      <c r="D83" s="480"/>
      <c r="E83" s="480"/>
      <c r="F83" s="480"/>
      <c r="G83" s="480"/>
      <c r="H83" s="480"/>
      <c r="I83" s="7"/>
      <c r="J83" s="7"/>
      <c r="K83" s="7"/>
      <c r="L83" s="7"/>
      <c r="M83" s="7"/>
      <c r="N83" s="7"/>
      <c r="O83" s="7"/>
      <c r="P83" s="7"/>
      <c r="Q83" s="287"/>
      <c r="R83" s="287"/>
      <c r="S83" s="287"/>
      <c r="T83" s="284"/>
      <c r="U83" s="284"/>
      <c r="V83" s="284"/>
      <c r="W83" s="7"/>
      <c r="X83" s="284"/>
      <c r="Y83" s="284"/>
      <c r="Z83" s="284"/>
      <c r="AA83" s="284"/>
      <c r="AB83" s="284"/>
      <c r="AC83" s="284"/>
      <c r="AE83" s="284"/>
      <c r="AJ83" s="9"/>
      <c r="AQ83" s="9"/>
    </row>
    <row r="84" spans="3:43" customFormat="1">
      <c r="C84" s="64"/>
      <c r="D84" s="65"/>
      <c r="E84" s="65"/>
      <c r="F84" s="65"/>
      <c r="G84" s="65"/>
      <c r="H84" s="65"/>
      <c r="I84" s="65"/>
      <c r="J84" s="65"/>
      <c r="K84" s="65"/>
      <c r="L84" s="65"/>
      <c r="M84" s="65"/>
      <c r="N84" s="65"/>
      <c r="O84" s="7"/>
      <c r="P84" s="7"/>
      <c r="Q84" s="287"/>
      <c r="R84" s="287"/>
      <c r="S84" s="287"/>
      <c r="T84" s="284"/>
      <c r="U84" s="284"/>
      <c r="V84" s="284"/>
      <c r="W84" s="7"/>
      <c r="X84" s="284"/>
      <c r="Y84" s="284"/>
      <c r="Z84" s="284"/>
      <c r="AA84" s="284"/>
      <c r="AB84" s="284"/>
      <c r="AC84" s="284"/>
      <c r="AE84" s="284"/>
      <c r="AJ84" s="9"/>
      <c r="AQ84" s="9"/>
    </row>
    <row r="85" spans="3:43" customFormat="1">
      <c r="C85" s="63"/>
      <c r="D85" s="7"/>
      <c r="E85" s="7"/>
      <c r="F85" s="7"/>
      <c r="G85" s="7"/>
      <c r="H85" s="7"/>
      <c r="I85" s="7"/>
      <c r="J85" s="7"/>
      <c r="K85" s="7"/>
      <c r="L85" s="7"/>
      <c r="M85" s="7"/>
      <c r="N85" s="7"/>
      <c r="O85" s="7"/>
      <c r="P85" s="7"/>
      <c r="Q85" s="287"/>
      <c r="R85" s="287"/>
      <c r="S85" s="287"/>
      <c r="T85" s="284"/>
      <c r="U85" s="284"/>
      <c r="V85" s="284"/>
      <c r="W85" s="7"/>
      <c r="X85" s="284"/>
      <c r="Y85" s="284"/>
      <c r="Z85" s="284"/>
      <c r="AA85" s="284"/>
      <c r="AB85" s="284"/>
      <c r="AC85" s="284"/>
      <c r="AE85" s="284"/>
    </row>
    <row r="86" spans="3:43" customFormat="1">
      <c r="C86" s="63"/>
      <c r="D86" s="7"/>
      <c r="E86" s="7"/>
      <c r="F86" s="7"/>
      <c r="G86" s="7"/>
      <c r="H86" s="7"/>
      <c r="I86" s="7"/>
      <c r="J86" s="7"/>
      <c r="K86" s="7"/>
      <c r="L86" s="7"/>
      <c r="M86" s="7"/>
      <c r="N86" s="7"/>
      <c r="O86" s="7"/>
      <c r="P86" s="7"/>
      <c r="Q86" s="287"/>
      <c r="R86" s="287"/>
      <c r="S86" s="287"/>
      <c r="T86" s="284"/>
      <c r="U86" s="284"/>
      <c r="V86" s="284"/>
      <c r="W86" s="7"/>
      <c r="X86" s="284"/>
      <c r="Y86" s="284"/>
      <c r="Z86" s="284"/>
      <c r="AA86" s="284"/>
      <c r="AB86" s="284"/>
      <c r="AC86" s="284"/>
      <c r="AE86" s="284"/>
    </row>
    <row r="87" spans="3:43" customFormat="1" ht="18">
      <c r="C87" s="140" t="s">
        <v>289</v>
      </c>
      <c r="M87" s="283"/>
      <c r="N87" s="283"/>
      <c r="Q87" s="284"/>
      <c r="R87" s="284"/>
      <c r="S87" s="284"/>
      <c r="T87" s="284"/>
      <c r="U87" s="284"/>
      <c r="V87" s="284"/>
      <c r="X87" s="284"/>
      <c r="Y87" s="284"/>
      <c r="Z87" s="284"/>
      <c r="AA87" s="284"/>
      <c r="AB87" s="284"/>
      <c r="AC87" s="284"/>
      <c r="AE87" s="284"/>
    </row>
    <row r="88" spans="3:43" customFormat="1">
      <c r="C88" t="s">
        <v>290</v>
      </c>
      <c r="M88" s="283"/>
      <c r="N88" s="283"/>
      <c r="Q88" s="284"/>
      <c r="R88" s="284"/>
      <c r="S88" s="284"/>
      <c r="T88" s="284"/>
      <c r="U88" s="284"/>
      <c r="V88" s="284"/>
      <c r="X88" s="284"/>
      <c r="Y88" s="284"/>
      <c r="Z88" s="284"/>
      <c r="AA88" s="284"/>
      <c r="AB88" s="284"/>
      <c r="AC88" s="284"/>
      <c r="AE88" s="284"/>
    </row>
    <row r="89" spans="3:43">
      <c r="C89" s="136"/>
      <c r="D89" s="9"/>
      <c r="E89" s="9"/>
      <c r="F89" s="9"/>
      <c r="G89" s="9"/>
      <c r="H89" s="9"/>
      <c r="I89" s="9"/>
      <c r="K89" s="9"/>
      <c r="L89" s="9"/>
      <c r="O89" s="9"/>
      <c r="P89" s="9"/>
      <c r="Q89" s="11"/>
      <c r="R89" s="11"/>
      <c r="S89" s="11"/>
      <c r="T89" s="11"/>
      <c r="U89" s="11"/>
      <c r="V89" s="11"/>
      <c r="W89" s="9"/>
      <c r="X89" s="11"/>
      <c r="Y89" s="11"/>
      <c r="Z89" s="11"/>
      <c r="AA89" s="11"/>
      <c r="AB89" s="11"/>
      <c r="AC89" s="11"/>
      <c r="AD89" s="9"/>
      <c r="AE89" s="11"/>
      <c r="AF89" s="9"/>
      <c r="AG89" s="9"/>
      <c r="AH89" s="9"/>
      <c r="AI89" s="9"/>
      <c r="AJ89" s="9"/>
      <c r="AK89" s="9"/>
      <c r="AL89" s="9"/>
      <c r="AM89" s="9"/>
      <c r="AN89" s="9"/>
      <c r="AO89" s="9"/>
      <c r="AP89" s="9"/>
      <c r="AQ89" s="9"/>
    </row>
    <row r="90" spans="3:43">
      <c r="C90" s="136"/>
      <c r="D90" s="9"/>
      <c r="E90" s="9"/>
      <c r="F90" s="9"/>
      <c r="G90" s="9"/>
      <c r="H90" s="288"/>
      <c r="I90" s="9"/>
      <c r="K90" s="9"/>
      <c r="L90" s="9"/>
      <c r="O90" s="9"/>
      <c r="P90" s="9"/>
      <c r="Q90" s="11"/>
      <c r="R90" s="11"/>
      <c r="S90" s="11"/>
      <c r="T90" s="11"/>
      <c r="U90" s="11"/>
      <c r="V90" s="11"/>
      <c r="W90" s="9"/>
      <c r="X90" s="11"/>
      <c r="Y90" s="11"/>
      <c r="Z90" s="11"/>
      <c r="AA90" s="11"/>
      <c r="AB90" s="11"/>
      <c r="AC90" s="11"/>
      <c r="AD90" s="9"/>
      <c r="AE90" s="11"/>
      <c r="AF90" s="9"/>
      <c r="AG90" s="9"/>
      <c r="AH90" s="9"/>
      <c r="AI90" s="9"/>
      <c r="AJ90" s="9"/>
      <c r="AK90" s="9"/>
      <c r="AL90" s="9"/>
      <c r="AM90" s="9"/>
      <c r="AN90" s="9"/>
      <c r="AO90" s="9"/>
      <c r="AP90" s="9"/>
      <c r="AQ90" s="9"/>
    </row>
    <row r="91" spans="3:43">
      <c r="C91" s="465" t="s">
        <v>291</v>
      </c>
      <c r="D91" s="7"/>
      <c r="E91" s="436" t="s">
        <v>256</v>
      </c>
      <c r="F91" s="466"/>
      <c r="G91" s="437"/>
      <c r="H91" s="288">
        <f>IF(E91="No",2,1)</f>
        <v>2</v>
      </c>
      <c r="I91" s="9"/>
      <c r="J91" s="7"/>
      <c r="K91" s="7"/>
      <c r="L91" s="7"/>
      <c r="M91" s="289"/>
      <c r="N91" s="289"/>
      <c r="O91" s="9"/>
      <c r="P91" s="9"/>
      <c r="Q91" s="11"/>
      <c r="R91" s="11"/>
      <c r="S91" s="11"/>
      <c r="T91" s="11"/>
      <c r="U91" s="11"/>
      <c r="V91" s="11"/>
      <c r="W91" s="9"/>
      <c r="X91" s="11"/>
      <c r="Y91" s="11"/>
      <c r="Z91" s="11"/>
      <c r="AA91" s="11"/>
      <c r="AB91" s="11"/>
      <c r="AC91" s="11"/>
      <c r="AD91" s="9"/>
      <c r="AE91" s="11"/>
      <c r="AF91" s="9"/>
      <c r="AG91" s="9"/>
      <c r="AH91" s="9"/>
      <c r="AI91" s="9"/>
      <c r="AJ91" s="9"/>
      <c r="AK91" s="9"/>
      <c r="AL91" s="9"/>
      <c r="AM91" s="9"/>
      <c r="AN91" s="9"/>
      <c r="AO91" s="9"/>
      <c r="AP91" s="9"/>
      <c r="AQ91" s="9"/>
    </row>
    <row r="92" spans="3:43">
      <c r="C92" s="465"/>
      <c r="D92" s="7"/>
      <c r="E92" s="290" t="s">
        <v>292</v>
      </c>
      <c r="F92" s="7"/>
      <c r="G92" s="7"/>
      <c r="H92" s="288"/>
      <c r="I92" s="7"/>
      <c r="J92" s="7"/>
      <c r="K92" s="7"/>
      <c r="L92" s="7"/>
      <c r="M92" s="289"/>
      <c r="N92" s="289"/>
      <c r="O92" s="9"/>
      <c r="P92" s="9"/>
      <c r="Q92" s="11"/>
      <c r="R92" s="11"/>
      <c r="S92" s="11"/>
      <c r="T92" s="11"/>
      <c r="U92" s="11"/>
      <c r="V92" s="11"/>
      <c r="W92" s="9"/>
      <c r="X92" s="11"/>
      <c r="Y92" s="11"/>
      <c r="Z92" s="11"/>
      <c r="AA92" s="11"/>
      <c r="AB92" s="11"/>
      <c r="AC92" s="11"/>
      <c r="AD92" s="9"/>
      <c r="AE92" s="11"/>
      <c r="AF92" s="9"/>
      <c r="AG92" s="9"/>
      <c r="AH92" s="9"/>
      <c r="AI92" s="9"/>
      <c r="AJ92" s="9"/>
      <c r="AK92" s="9"/>
      <c r="AL92" s="9"/>
      <c r="AM92" s="9"/>
      <c r="AN92" s="9"/>
      <c r="AO92" s="9"/>
      <c r="AP92" s="9"/>
      <c r="AQ92" s="9"/>
    </row>
    <row r="93" spans="3:43">
      <c r="C93" s="9"/>
      <c r="D93" s="7"/>
      <c r="E93" s="7"/>
      <c r="F93" s="7"/>
      <c r="G93" s="7"/>
      <c r="H93" s="288"/>
      <c r="I93" s="7"/>
      <c r="J93" s="7"/>
      <c r="K93" s="7"/>
      <c r="L93" s="7"/>
      <c r="M93" s="289"/>
      <c r="N93" s="289"/>
      <c r="O93" s="9"/>
      <c r="P93" s="9"/>
      <c r="Q93" s="11"/>
      <c r="R93" s="11"/>
      <c r="S93" s="11"/>
      <c r="T93" s="11"/>
      <c r="U93" s="11"/>
      <c r="V93" s="11"/>
      <c r="W93" s="9"/>
      <c r="X93" s="11"/>
      <c r="Y93" s="11"/>
      <c r="Z93" s="11"/>
      <c r="AA93" s="11"/>
      <c r="AB93" s="11"/>
      <c r="AC93" s="11"/>
      <c r="AD93" s="9"/>
      <c r="AE93" s="11"/>
      <c r="AF93" s="9"/>
      <c r="AG93" s="9"/>
      <c r="AH93" s="9"/>
      <c r="AI93" s="9"/>
      <c r="AJ93" s="9"/>
      <c r="AK93" s="9"/>
      <c r="AL93" s="9"/>
      <c r="AM93" s="9"/>
      <c r="AN93" s="9"/>
      <c r="AO93" s="9"/>
      <c r="AP93" s="9"/>
      <c r="AQ93" s="9"/>
    </row>
    <row r="94" spans="3:43">
      <c r="C94" s="9"/>
      <c r="D94" s="7"/>
      <c r="E94" s="7"/>
      <c r="F94" s="7"/>
      <c r="G94" s="7"/>
      <c r="H94" s="288"/>
      <c r="I94" s="7"/>
      <c r="J94" s="7"/>
      <c r="K94" s="7"/>
      <c r="L94" s="7"/>
      <c r="M94" s="289"/>
      <c r="N94" s="289"/>
      <c r="O94" s="9"/>
      <c r="P94" s="9"/>
      <c r="Q94" s="11"/>
      <c r="R94" s="11"/>
      <c r="S94" s="11"/>
      <c r="T94" s="11"/>
      <c r="U94" s="11"/>
      <c r="V94" s="11"/>
      <c r="W94" s="9"/>
      <c r="X94" s="11"/>
      <c r="Y94" s="11"/>
      <c r="Z94" s="11"/>
      <c r="AA94" s="11"/>
      <c r="AB94" s="11"/>
      <c r="AC94" s="11"/>
      <c r="AD94" s="9"/>
      <c r="AE94" s="11"/>
      <c r="AF94" s="9"/>
      <c r="AG94" s="9"/>
      <c r="AH94" s="9"/>
      <c r="AI94" s="9"/>
      <c r="AJ94" s="9"/>
      <c r="AK94" s="9"/>
      <c r="AL94" s="9"/>
      <c r="AM94" s="9"/>
      <c r="AN94" s="9"/>
      <c r="AO94" s="9"/>
      <c r="AP94" s="9"/>
      <c r="AQ94" s="9"/>
    </row>
    <row r="95" spans="3:43">
      <c r="C95" s="42"/>
      <c r="D95" s="7"/>
      <c r="E95" s="7"/>
      <c r="F95" s="7"/>
      <c r="G95" s="7"/>
      <c r="H95" s="288"/>
      <c r="I95" s="7"/>
      <c r="J95" s="289"/>
      <c r="K95" s="7"/>
      <c r="L95" s="7"/>
      <c r="M95" s="289"/>
      <c r="N95" s="289"/>
      <c r="O95" s="9"/>
      <c r="P95" s="9"/>
      <c r="Q95" s="11"/>
      <c r="R95" s="11"/>
      <c r="S95" s="11"/>
      <c r="T95" s="11"/>
      <c r="U95" s="11"/>
      <c r="V95" s="11"/>
      <c r="W95" s="9"/>
      <c r="X95" s="11"/>
      <c r="Y95" s="11"/>
      <c r="Z95" s="11"/>
      <c r="AA95" s="11"/>
      <c r="AB95" s="11"/>
      <c r="AC95" s="11"/>
      <c r="AD95" s="9"/>
      <c r="AE95" s="11"/>
      <c r="AF95" s="9"/>
      <c r="AG95" s="9"/>
      <c r="AH95" s="9"/>
      <c r="AI95" s="9"/>
      <c r="AJ95" s="9"/>
      <c r="AK95" s="9"/>
      <c r="AL95" s="9"/>
      <c r="AM95" s="9"/>
      <c r="AN95" s="9"/>
      <c r="AO95" s="9"/>
      <c r="AP95" s="9"/>
      <c r="AQ95" s="9"/>
    </row>
    <row r="96" spans="3:43">
      <c r="C96" s="42"/>
      <c r="D96" s="7"/>
      <c r="E96" s="7"/>
      <c r="F96" s="7"/>
      <c r="G96" s="7"/>
      <c r="H96" s="288"/>
      <c r="I96" s="7"/>
      <c r="J96" s="7"/>
      <c r="K96" s="7"/>
      <c r="L96" s="7"/>
      <c r="M96" s="289"/>
      <c r="N96" s="289"/>
      <c r="O96" s="9"/>
      <c r="P96" s="9"/>
      <c r="Q96" s="11"/>
      <c r="R96" s="11"/>
      <c r="S96" s="11"/>
      <c r="T96" s="11"/>
      <c r="U96" s="11"/>
      <c r="V96" s="11"/>
      <c r="W96" s="9"/>
      <c r="X96" s="11"/>
      <c r="Y96" s="11"/>
      <c r="Z96" s="11"/>
      <c r="AA96" s="11"/>
      <c r="AB96" s="11"/>
      <c r="AC96" s="11"/>
      <c r="AD96" s="9"/>
      <c r="AE96" s="11"/>
      <c r="AF96" s="9"/>
      <c r="AG96" s="9"/>
      <c r="AH96" s="9"/>
      <c r="AI96" s="9"/>
      <c r="AJ96" s="9"/>
      <c r="AK96" s="9"/>
      <c r="AL96" s="9"/>
      <c r="AM96" s="9"/>
      <c r="AN96" s="9"/>
      <c r="AO96" s="9"/>
      <c r="AP96" s="9"/>
      <c r="AQ96" s="9"/>
    </row>
    <row r="97" spans="3:43">
      <c r="C97" s="239"/>
      <c r="D97" s="289"/>
      <c r="E97" s="7"/>
      <c r="F97" s="7"/>
      <c r="G97" s="7"/>
      <c r="H97" s="288"/>
      <c r="I97" s="7"/>
      <c r="J97" s="7"/>
      <c r="K97" s="7"/>
      <c r="L97" s="7"/>
      <c r="M97" s="289"/>
      <c r="N97" s="289"/>
      <c r="O97" s="9"/>
      <c r="P97" s="9"/>
      <c r="Q97" s="11"/>
      <c r="R97" s="11"/>
      <c r="S97" s="11"/>
      <c r="T97" s="11"/>
      <c r="U97" s="11"/>
      <c r="V97" s="11"/>
      <c r="W97" s="9"/>
      <c r="X97" s="11"/>
      <c r="Y97" s="11"/>
      <c r="Z97" s="11"/>
      <c r="AA97" s="11"/>
      <c r="AB97" s="11"/>
      <c r="AC97" s="11"/>
      <c r="AD97" s="9"/>
      <c r="AE97" s="11"/>
      <c r="AF97" s="9"/>
      <c r="AG97" s="9"/>
      <c r="AH97" s="9"/>
      <c r="AI97" s="9"/>
      <c r="AJ97" s="9"/>
      <c r="AK97" s="9"/>
      <c r="AL97" s="9"/>
      <c r="AM97" s="9"/>
      <c r="AN97" s="9"/>
      <c r="AO97" s="9"/>
      <c r="AP97" s="9"/>
      <c r="AQ97" s="9"/>
    </row>
    <row r="98" spans="3:43">
      <c r="C98" s="239"/>
      <c r="D98" s="289"/>
      <c r="E98" s="7"/>
      <c r="F98" s="7"/>
      <c r="G98" s="7"/>
      <c r="H98" s="288"/>
      <c r="I98" s="7"/>
      <c r="J98" s="7"/>
      <c r="K98" s="7"/>
      <c r="L98" s="7"/>
      <c r="M98" s="289"/>
      <c r="N98" s="289"/>
      <c r="O98" s="9"/>
      <c r="P98" s="9"/>
      <c r="Q98" s="11"/>
      <c r="R98" s="11"/>
      <c r="S98" s="11"/>
      <c r="T98" s="11"/>
      <c r="U98" s="11"/>
      <c r="V98" s="11"/>
      <c r="W98" s="9"/>
      <c r="X98" s="11"/>
      <c r="Y98" s="11"/>
      <c r="Z98" s="11"/>
      <c r="AA98" s="11"/>
      <c r="AB98" s="11"/>
      <c r="AC98" s="11"/>
      <c r="AD98" s="9"/>
      <c r="AE98" s="11"/>
      <c r="AF98" s="9"/>
      <c r="AG98" s="9"/>
      <c r="AH98" s="9"/>
      <c r="AI98" s="9"/>
      <c r="AJ98" s="9"/>
      <c r="AK98" s="9"/>
      <c r="AL98" s="9"/>
      <c r="AM98" s="9"/>
      <c r="AN98" s="9"/>
      <c r="AO98" s="9"/>
      <c r="AP98" s="9"/>
      <c r="AQ98" s="9"/>
    </row>
    <row r="99" spans="3:43">
      <c r="C99" s="239"/>
      <c r="D99" s="289"/>
      <c r="E99" s="7"/>
      <c r="F99" s="7"/>
      <c r="G99" s="7"/>
      <c r="H99" s="288"/>
      <c r="I99" s="7"/>
      <c r="J99" s="7"/>
      <c r="K99" s="7"/>
      <c r="L99" s="7"/>
      <c r="M99" s="289"/>
      <c r="N99" s="289"/>
      <c r="O99" s="9"/>
      <c r="P99" s="9"/>
      <c r="Q99" s="11"/>
      <c r="R99" s="11"/>
      <c r="S99" s="11"/>
      <c r="T99" s="11"/>
      <c r="U99" s="11"/>
      <c r="V99" s="11"/>
      <c r="W99" s="9"/>
      <c r="X99" s="11"/>
      <c r="Y99" s="11"/>
      <c r="Z99" s="11"/>
      <c r="AA99" s="11"/>
      <c r="AB99" s="11"/>
      <c r="AC99" s="11"/>
      <c r="AD99" s="9"/>
      <c r="AE99" s="11"/>
      <c r="AF99" s="9"/>
      <c r="AG99" s="9"/>
      <c r="AH99" s="9"/>
      <c r="AI99" s="9"/>
      <c r="AJ99" s="9"/>
      <c r="AK99" s="9"/>
      <c r="AL99" s="9"/>
      <c r="AM99" s="9"/>
      <c r="AN99" s="9"/>
      <c r="AO99" s="9"/>
      <c r="AP99" s="9"/>
      <c r="AQ99" s="9"/>
    </row>
    <row r="100" spans="3:43">
      <c r="C100" s="239"/>
      <c r="D100" s="7"/>
      <c r="E100" s="7"/>
      <c r="F100" s="7"/>
      <c r="G100" s="7"/>
      <c r="H100" s="288"/>
      <c r="I100" s="7"/>
      <c r="J100" s="7"/>
      <c r="K100" s="7"/>
      <c r="L100" s="7"/>
      <c r="M100" s="289"/>
      <c r="N100" s="289"/>
      <c r="O100" s="9"/>
      <c r="P100" s="9"/>
      <c r="Q100" s="11"/>
      <c r="R100" s="11"/>
      <c r="S100" s="11"/>
      <c r="T100" s="11"/>
      <c r="U100" s="11"/>
      <c r="V100" s="11"/>
      <c r="W100" s="9"/>
      <c r="X100" s="11"/>
      <c r="Y100" s="11"/>
      <c r="Z100" s="11"/>
      <c r="AA100" s="11"/>
      <c r="AB100" s="11"/>
      <c r="AC100" s="11"/>
      <c r="AD100" s="9"/>
      <c r="AE100" s="11"/>
      <c r="AF100" s="9"/>
      <c r="AG100" s="9"/>
      <c r="AH100" s="9"/>
      <c r="AI100" s="9"/>
      <c r="AJ100" s="9"/>
      <c r="AK100" s="9"/>
      <c r="AL100" s="9"/>
      <c r="AM100" s="9"/>
      <c r="AN100" s="9"/>
      <c r="AO100" s="9"/>
      <c r="AP100" s="9"/>
      <c r="AQ100" s="9"/>
    </row>
    <row r="101" spans="3:43">
      <c r="C101" s="239"/>
      <c r="D101" s="7"/>
      <c r="E101" s="7"/>
      <c r="F101" s="7"/>
      <c r="G101" s="7"/>
      <c r="H101" s="288"/>
      <c r="I101" s="7"/>
      <c r="J101" s="7"/>
      <c r="K101" s="7"/>
      <c r="L101" s="7"/>
      <c r="M101" s="289"/>
      <c r="N101" s="289"/>
      <c r="O101" s="9"/>
      <c r="P101" s="9"/>
      <c r="Q101" s="11"/>
      <c r="R101" s="11"/>
      <c r="S101" s="11"/>
      <c r="T101" s="11"/>
      <c r="U101" s="11"/>
      <c r="V101" s="11"/>
      <c r="W101" s="9"/>
      <c r="X101" s="11"/>
      <c r="Y101" s="11"/>
      <c r="Z101" s="11"/>
      <c r="AA101" s="11"/>
      <c r="AB101" s="11"/>
      <c r="AC101" s="11"/>
      <c r="AD101" s="9"/>
      <c r="AE101" s="11"/>
      <c r="AF101" s="9"/>
      <c r="AG101" s="9"/>
      <c r="AH101" s="9"/>
      <c r="AI101" s="9"/>
      <c r="AJ101" s="9"/>
      <c r="AK101" s="9"/>
      <c r="AL101" s="9"/>
      <c r="AM101" s="9"/>
      <c r="AN101" s="9"/>
      <c r="AO101" s="9"/>
      <c r="AP101" s="9"/>
      <c r="AQ101" s="9"/>
    </row>
    <row r="102" spans="3:43">
      <c r="C102" s="417" t="s">
        <v>293</v>
      </c>
      <c r="D102" s="7"/>
      <c r="E102" s="436" t="s">
        <v>338</v>
      </c>
      <c r="F102" s="466"/>
      <c r="G102" s="437"/>
      <c r="H102" s="288">
        <f>IF(E102="Median survival",1,IF(E102="Cumulative mortality rate",2,3))</f>
        <v>2</v>
      </c>
      <c r="I102" s="9"/>
      <c r="J102" s="7"/>
      <c r="K102" s="7"/>
      <c r="L102" s="7"/>
      <c r="M102" s="289"/>
      <c r="N102" s="289"/>
      <c r="O102" s="9"/>
      <c r="P102" s="9"/>
      <c r="Q102" s="11"/>
      <c r="R102" s="11"/>
      <c r="S102" s="11"/>
      <c r="T102" s="11"/>
      <c r="U102" s="11"/>
      <c r="V102" s="11"/>
      <c r="W102" s="9"/>
      <c r="X102" s="11"/>
      <c r="Y102" s="11"/>
      <c r="Z102" s="11"/>
      <c r="AA102" s="11"/>
      <c r="AB102" s="11"/>
      <c r="AC102" s="11"/>
      <c r="AD102" s="9"/>
      <c r="AE102" s="11"/>
      <c r="AF102" s="9"/>
      <c r="AG102" s="9"/>
      <c r="AH102" s="9"/>
      <c r="AI102" s="9"/>
      <c r="AJ102" s="9"/>
      <c r="AK102" s="9"/>
      <c r="AL102" s="9"/>
      <c r="AM102" s="9"/>
      <c r="AN102" s="9"/>
      <c r="AO102" s="9"/>
      <c r="AP102" s="9"/>
      <c r="AQ102" s="9"/>
    </row>
    <row r="103" spans="3:43">
      <c r="C103" s="417"/>
      <c r="D103" s="7"/>
      <c r="E103" s="290"/>
      <c r="F103" s="7"/>
      <c r="G103" s="7"/>
      <c r="H103" s="288"/>
      <c r="I103" s="7"/>
      <c r="J103" s="7"/>
      <c r="K103" s="7"/>
      <c r="L103" s="7"/>
      <c r="M103" s="289"/>
      <c r="N103" s="289"/>
      <c r="O103" s="9"/>
      <c r="P103" s="9"/>
      <c r="Q103" s="11"/>
      <c r="R103" s="11"/>
      <c r="S103" s="11"/>
      <c r="T103" s="11"/>
      <c r="U103" s="11"/>
      <c r="V103" s="11"/>
      <c r="W103" s="9"/>
      <c r="X103" s="11"/>
      <c r="Y103" s="11"/>
      <c r="Z103" s="11"/>
      <c r="AA103" s="11"/>
      <c r="AB103" s="11"/>
      <c r="AC103" s="11"/>
      <c r="AD103" s="9"/>
      <c r="AE103" s="11"/>
      <c r="AF103" s="9"/>
      <c r="AG103" s="9"/>
      <c r="AH103" s="9"/>
      <c r="AI103" s="9"/>
      <c r="AJ103" s="9"/>
      <c r="AK103" s="9"/>
      <c r="AL103" s="9"/>
      <c r="AM103" s="9"/>
      <c r="AN103" s="9"/>
      <c r="AO103" s="9"/>
      <c r="AP103" s="9"/>
      <c r="AQ103" s="9"/>
    </row>
    <row r="104" spans="3:43">
      <c r="C104" s="48"/>
      <c r="D104" s="7"/>
      <c r="E104" s="290"/>
      <c r="F104" s="7"/>
      <c r="G104" s="7"/>
      <c r="H104" s="288"/>
      <c r="I104" s="7"/>
      <c r="J104" s="7"/>
      <c r="K104" s="7"/>
      <c r="L104" s="7"/>
      <c r="M104" s="289"/>
      <c r="N104" s="289"/>
      <c r="O104" s="9"/>
      <c r="P104" s="9"/>
      <c r="Q104" s="11"/>
      <c r="R104" s="11"/>
      <c r="S104" s="11"/>
      <c r="T104" s="11"/>
      <c r="U104" s="11"/>
      <c r="V104" s="11"/>
      <c r="W104" s="9"/>
      <c r="X104" s="11"/>
      <c r="Y104" s="11"/>
      <c r="Z104" s="11"/>
      <c r="AA104" s="11"/>
      <c r="AB104" s="11"/>
      <c r="AC104" s="11"/>
      <c r="AD104" s="9"/>
      <c r="AE104" s="11"/>
      <c r="AF104" s="9"/>
      <c r="AG104" s="9"/>
      <c r="AH104" s="9"/>
      <c r="AI104" s="9"/>
      <c r="AJ104" s="9"/>
      <c r="AK104" s="9"/>
      <c r="AL104" s="9"/>
      <c r="AM104" s="9"/>
      <c r="AN104" s="9"/>
      <c r="AO104" s="9"/>
      <c r="AP104" s="9"/>
      <c r="AQ104" s="9"/>
    </row>
    <row r="105" spans="3:43">
      <c r="C105" s="7"/>
      <c r="D105" s="7"/>
      <c r="E105" s="7"/>
      <c r="F105" s="7"/>
      <c r="G105" s="7"/>
      <c r="H105" s="288"/>
      <c r="I105" s="7"/>
      <c r="J105" s="7"/>
      <c r="K105" s="7"/>
      <c r="L105" s="7"/>
      <c r="M105" s="289"/>
      <c r="N105" s="289"/>
      <c r="O105" s="9"/>
      <c r="P105" s="9"/>
      <c r="Q105" s="11"/>
      <c r="R105" s="11"/>
      <c r="S105" s="11"/>
      <c r="T105" s="11"/>
      <c r="U105" s="11"/>
      <c r="V105" s="11"/>
      <c r="W105" s="9"/>
      <c r="X105" s="11"/>
      <c r="Y105" s="11"/>
      <c r="Z105" s="11"/>
      <c r="AA105" s="11"/>
      <c r="AB105" s="11"/>
      <c r="AC105" s="11"/>
      <c r="AD105" s="9"/>
      <c r="AE105" s="11"/>
      <c r="AF105" s="9"/>
      <c r="AG105" s="9"/>
      <c r="AH105" s="9"/>
      <c r="AI105" s="9"/>
      <c r="AJ105" s="9"/>
      <c r="AK105" s="9"/>
      <c r="AL105" s="9"/>
      <c r="AM105" s="9"/>
      <c r="AN105" s="9"/>
      <c r="AO105" s="9"/>
      <c r="AP105" s="9"/>
      <c r="AQ105" s="9"/>
    </row>
    <row r="106" spans="3:43">
      <c r="C106" s="465" t="s">
        <v>294</v>
      </c>
      <c r="D106" s="7"/>
      <c r="E106" s="436" t="s">
        <v>315</v>
      </c>
      <c r="F106" s="466"/>
      <c r="G106" s="437"/>
      <c r="H106" s="288">
        <f>IF(E106="Annual data",1,2)</f>
        <v>1</v>
      </c>
      <c r="I106" s="7"/>
      <c r="J106" s="7"/>
      <c r="K106" s="7"/>
      <c r="L106" s="7"/>
      <c r="M106" s="289"/>
      <c r="N106" s="289"/>
      <c r="O106" s="9"/>
      <c r="P106" s="9"/>
      <c r="Q106" s="11"/>
      <c r="R106" s="11"/>
      <c r="S106" s="11"/>
      <c r="T106" s="11"/>
      <c r="U106" s="11"/>
      <c r="V106" s="11"/>
      <c r="W106" s="9"/>
      <c r="X106" s="11"/>
      <c r="Y106" s="11"/>
      <c r="Z106" s="11"/>
      <c r="AA106" s="11"/>
      <c r="AB106" s="11"/>
      <c r="AC106" s="11"/>
      <c r="AD106" s="9"/>
      <c r="AE106" s="11"/>
      <c r="AF106" s="9"/>
      <c r="AG106" s="9"/>
      <c r="AH106" s="9"/>
      <c r="AI106" s="9"/>
      <c r="AJ106" s="9"/>
      <c r="AK106" s="9"/>
      <c r="AL106" s="9"/>
      <c r="AM106" s="9"/>
      <c r="AN106" s="9"/>
      <c r="AO106" s="9"/>
      <c r="AP106" s="9"/>
      <c r="AQ106" s="9"/>
    </row>
    <row r="107" spans="3:43">
      <c r="C107" s="465"/>
      <c r="D107" s="7"/>
      <c r="E107" s="292" t="s">
        <v>295</v>
      </c>
      <c r="F107" s="7"/>
      <c r="G107" s="7"/>
      <c r="H107" s="7"/>
      <c r="I107" s="7"/>
      <c r="J107" s="7"/>
      <c r="K107" s="7"/>
      <c r="L107" s="7"/>
      <c r="M107" s="289"/>
      <c r="N107" s="289"/>
      <c r="O107" s="9"/>
      <c r="P107" s="9"/>
      <c r="Q107" s="11"/>
      <c r="R107" s="11"/>
      <c r="S107" s="11"/>
      <c r="T107" s="11"/>
      <c r="U107" s="11"/>
      <c r="V107" s="11"/>
      <c r="W107" s="9"/>
      <c r="X107" s="11"/>
      <c r="Y107" s="11"/>
      <c r="Z107" s="11"/>
      <c r="AA107" s="11"/>
      <c r="AB107" s="11"/>
      <c r="AC107" s="11"/>
      <c r="AD107" s="9"/>
      <c r="AE107" s="11"/>
      <c r="AF107" s="9"/>
      <c r="AG107" s="9"/>
      <c r="AH107" s="9"/>
      <c r="AI107" s="9"/>
      <c r="AJ107" s="9"/>
      <c r="AK107" s="9"/>
      <c r="AL107" s="11"/>
      <c r="AM107" s="9"/>
      <c r="AN107" s="9"/>
      <c r="AO107" s="9"/>
      <c r="AP107" s="9"/>
      <c r="AQ107" s="9"/>
    </row>
    <row r="108" spans="3:43">
      <c r="C108" s="48"/>
      <c r="D108" s="7"/>
      <c r="E108" s="290" t="s">
        <v>296</v>
      </c>
      <c r="F108" s="7"/>
      <c r="G108" s="7"/>
      <c r="H108" s="7"/>
      <c r="I108" s="7"/>
      <c r="J108" s="7"/>
      <c r="K108" s="7"/>
      <c r="L108" s="7"/>
      <c r="M108" s="289"/>
      <c r="N108" s="289"/>
      <c r="O108" s="9"/>
      <c r="P108" s="9"/>
      <c r="Q108" s="11"/>
      <c r="R108" s="11"/>
      <c r="S108" s="11"/>
      <c r="T108" s="11"/>
      <c r="U108" s="11"/>
      <c r="V108" s="11"/>
      <c r="W108" s="9"/>
      <c r="X108" s="11"/>
      <c r="Y108" s="11"/>
      <c r="Z108" s="11"/>
      <c r="AA108" s="11"/>
      <c r="AB108" s="11"/>
      <c r="AC108" s="11"/>
      <c r="AD108" s="9"/>
      <c r="AE108" s="11"/>
      <c r="AF108" s="9"/>
      <c r="AG108" s="9"/>
      <c r="AH108" s="9"/>
      <c r="AI108" s="9"/>
      <c r="AJ108" s="9"/>
      <c r="AK108" s="9"/>
      <c r="AL108" s="11"/>
      <c r="AM108" s="9"/>
      <c r="AN108" s="9"/>
      <c r="AO108" s="9"/>
      <c r="AP108" s="9"/>
      <c r="AQ108" s="9"/>
    </row>
    <row r="109" spans="3:43" ht="15" customHeight="1">
      <c r="C109" s="7"/>
      <c r="D109" s="7"/>
      <c r="E109" s="7"/>
      <c r="F109" s="7"/>
      <c r="G109" s="7"/>
      <c r="H109" s="288"/>
      <c r="I109" s="7"/>
      <c r="J109" s="7"/>
      <c r="K109" s="7"/>
      <c r="L109" s="7"/>
      <c r="M109" s="289"/>
      <c r="N109" s="289"/>
      <c r="O109" s="9"/>
      <c r="P109" s="9"/>
      <c r="Q109" s="453" t="s">
        <v>300</v>
      </c>
      <c r="R109" s="454"/>
      <c r="S109" s="454"/>
      <c r="T109" s="454"/>
      <c r="U109" s="455"/>
      <c r="V109" s="11"/>
      <c r="W109" s="9"/>
      <c r="X109" s="453" t="s">
        <v>301</v>
      </c>
      <c r="Y109" s="454"/>
      <c r="Z109" s="454"/>
      <c r="AA109" s="454"/>
      <c r="AB109" s="455"/>
      <c r="AC109" s="11"/>
      <c r="AD109" s="9"/>
      <c r="AE109" s="453" t="s">
        <v>302</v>
      </c>
      <c r="AF109" s="454"/>
      <c r="AG109" s="454"/>
      <c r="AH109" s="454"/>
      <c r="AI109" s="455"/>
      <c r="AJ109" s="9"/>
      <c r="AK109" s="9"/>
      <c r="AL109" s="453" t="s">
        <v>303</v>
      </c>
      <c r="AM109" s="454"/>
      <c r="AN109" s="454"/>
      <c r="AO109" s="454"/>
      <c r="AP109" s="455"/>
      <c r="AQ109" s="9"/>
    </row>
    <row r="110" spans="3:43">
      <c r="C110" s="293" t="s">
        <v>297</v>
      </c>
      <c r="D110" s="7"/>
      <c r="E110" s="290"/>
      <c r="F110" s="7"/>
      <c r="G110" s="7"/>
      <c r="H110" s="293" t="s">
        <v>298</v>
      </c>
      <c r="I110" s="7"/>
      <c r="J110" s="7"/>
      <c r="K110" s="7"/>
      <c r="L110" s="7"/>
      <c r="M110" s="289"/>
      <c r="N110" s="289"/>
      <c r="O110" s="9"/>
      <c r="P110" s="9"/>
      <c r="Q110" s="456"/>
      <c r="R110" s="457"/>
      <c r="S110" s="457"/>
      <c r="T110" s="457"/>
      <c r="U110" s="458"/>
      <c r="V110" s="11"/>
      <c r="W110" s="9"/>
      <c r="X110" s="456"/>
      <c r="Y110" s="457"/>
      <c r="Z110" s="457"/>
      <c r="AA110" s="457"/>
      <c r="AB110" s="458"/>
      <c r="AC110" s="11"/>
      <c r="AD110" s="9"/>
      <c r="AE110" s="456"/>
      <c r="AF110" s="457"/>
      <c r="AG110" s="457"/>
      <c r="AH110" s="457"/>
      <c r="AI110" s="458"/>
      <c r="AJ110" s="9"/>
      <c r="AK110" s="9"/>
      <c r="AL110" s="456"/>
      <c r="AM110" s="457"/>
      <c r="AN110" s="457"/>
      <c r="AO110" s="457"/>
      <c r="AP110" s="458"/>
      <c r="AQ110" s="9"/>
    </row>
    <row r="111" spans="3:43" ht="15" customHeight="1">
      <c r="C111" s="467" t="str">
        <f>IF($H$102=1,"Enter the median survival","Do not fill in this table")</f>
        <v>Do not fill in this table</v>
      </c>
      <c r="D111" s="469" t="s">
        <v>278</v>
      </c>
      <c r="E111" s="469"/>
      <c r="F111" s="9"/>
      <c r="G111" s="9"/>
      <c r="H111" s="467" t="str">
        <f>IF($H$102=1,"Do not fill in this table",E102)</f>
        <v>Cumulative mortality rate</v>
      </c>
      <c r="I111" s="449"/>
      <c r="J111" s="295" t="s">
        <v>285</v>
      </c>
      <c r="K111" s="295" t="s">
        <v>286</v>
      </c>
      <c r="L111" s="295" t="s">
        <v>287</v>
      </c>
      <c r="M111" s="295" t="s">
        <v>288</v>
      </c>
      <c r="N111" s="289"/>
      <c r="O111" s="9"/>
      <c r="P111" s="9"/>
      <c r="Q111" s="449" t="s">
        <v>276</v>
      </c>
      <c r="R111" s="295" t="s">
        <v>285</v>
      </c>
      <c r="S111" s="295" t="s">
        <v>286</v>
      </c>
      <c r="T111" s="295" t="s">
        <v>287</v>
      </c>
      <c r="U111" s="295" t="s">
        <v>288</v>
      </c>
      <c r="V111" s="11"/>
      <c r="W111" s="9"/>
      <c r="X111" s="449" t="s">
        <v>276</v>
      </c>
      <c r="Y111" s="295" t="s">
        <v>285</v>
      </c>
      <c r="Z111" s="295" t="s">
        <v>286</v>
      </c>
      <c r="AA111" s="295" t="s">
        <v>287</v>
      </c>
      <c r="AB111" s="295" t="s">
        <v>288</v>
      </c>
      <c r="AC111" s="11"/>
      <c r="AD111" s="9"/>
      <c r="AE111" s="449" t="s">
        <v>276</v>
      </c>
      <c r="AF111" s="295" t="s">
        <v>285</v>
      </c>
      <c r="AG111" s="295" t="s">
        <v>286</v>
      </c>
      <c r="AH111" s="295" t="s">
        <v>287</v>
      </c>
      <c r="AI111" s="295" t="s">
        <v>288</v>
      </c>
      <c r="AJ111" s="9"/>
      <c r="AK111" s="9"/>
      <c r="AL111" s="449" t="s">
        <v>276</v>
      </c>
      <c r="AM111" s="295" t="s">
        <v>285</v>
      </c>
      <c r="AN111" s="295" t="s">
        <v>286</v>
      </c>
      <c r="AO111" s="295" t="s">
        <v>287</v>
      </c>
      <c r="AP111" s="295" t="s">
        <v>288</v>
      </c>
      <c r="AQ111" s="9"/>
    </row>
    <row r="112" spans="3:43" ht="15" customHeight="1">
      <c r="C112" s="468"/>
      <c r="D112" s="468"/>
      <c r="E112" s="468"/>
      <c r="F112" s="9"/>
      <c r="G112" s="9"/>
      <c r="H112" s="467"/>
      <c r="I112" s="449"/>
      <c r="J112" s="477" t="s">
        <v>280</v>
      </c>
      <c r="K112" s="478"/>
      <c r="L112" s="478"/>
      <c r="M112" s="478"/>
      <c r="N112" s="289"/>
      <c r="O112" s="9"/>
      <c r="P112" s="9"/>
      <c r="Q112" s="450"/>
      <c r="R112" s="297"/>
      <c r="S112" s="298"/>
      <c r="T112" s="298"/>
      <c r="U112" s="298"/>
      <c r="V112" s="11"/>
      <c r="W112" s="9"/>
      <c r="X112" s="450"/>
      <c r="Y112" s="297"/>
      <c r="Z112" s="298"/>
      <c r="AA112" s="298"/>
      <c r="AB112" s="298"/>
      <c r="AC112" s="11"/>
      <c r="AD112" s="9"/>
      <c r="AE112" s="450"/>
      <c r="AF112" s="297"/>
      <c r="AG112" s="298"/>
      <c r="AH112" s="298"/>
      <c r="AI112" s="298"/>
      <c r="AJ112" s="9"/>
      <c r="AK112" s="9"/>
      <c r="AL112" s="450"/>
      <c r="AM112" s="297"/>
      <c r="AN112" s="298"/>
      <c r="AO112" s="298"/>
      <c r="AP112" s="298"/>
      <c r="AQ112" s="9"/>
    </row>
    <row r="113" spans="3:43">
      <c r="C113" s="300" t="str">
        <f>IF(intervencao1=0,"Do not fill this line",intervencao1)</f>
        <v>Rosuvastatin 5mg</v>
      </c>
      <c r="D113" s="461"/>
      <c r="E113" s="462"/>
      <c r="F113" s="9"/>
      <c r="G113" s="9"/>
      <c r="H113" s="451" t="str">
        <f>IF(intervencao1=0,"Do not fill this line",intervencao1)</f>
        <v>Rosuvastatin 5mg</v>
      </c>
      <c r="I113" s="452"/>
      <c r="J113" s="230"/>
      <c r="K113" s="230"/>
      <c r="L113" s="230"/>
      <c r="M113" s="230"/>
      <c r="N113" s="289"/>
      <c r="O113" s="9"/>
      <c r="P113" s="9"/>
      <c r="Q113" s="300" t="str">
        <f>IF(intervencao1=0,"Do not fill this line",intervencao1)</f>
        <v>Rosuvastatin 5mg</v>
      </c>
      <c r="R113" s="227">
        <f t="shared" ref="R113:U116" si="6">IFERROR(IF(AND(obito=1,$H$102=1),Y113,IF(AND(obito=1,$H$102=2),AM113,IF(AND(obito=1,$H$102=3),AF113,0))),0)</f>
        <v>0</v>
      </c>
      <c r="S113" s="227">
        <f t="shared" si="6"/>
        <v>0</v>
      </c>
      <c r="T113" s="227">
        <f t="shared" si="6"/>
        <v>0</v>
      </c>
      <c r="U113" s="227">
        <f t="shared" si="6"/>
        <v>0</v>
      </c>
      <c r="V113" s="11"/>
      <c r="W113" s="9"/>
      <c r="X113" s="223" t="str">
        <f>IF(intervencao1=0,"Do not fill this line",intervencao1)</f>
        <v>Rosuvastatin 5mg</v>
      </c>
      <c r="Y113" s="227" t="e">
        <f>1-AVERAGEIF(Data!AK$110:AK$121,"&gt;0",Data!AK$110:AK$121)</f>
        <v>#DIV/0!</v>
      </c>
      <c r="Z113" s="227" t="e">
        <f>1-AVERAGEIF(Data!AK$122:AK$133,"&gt;0",Data!AK$122:AK$133)</f>
        <v>#DIV/0!</v>
      </c>
      <c r="AA113" s="227" t="e">
        <f>1-AVERAGEIF(Data!AK$134:AK$145,"&gt;0",Data!AK$134:AK$145)</f>
        <v>#DIV/0!</v>
      </c>
      <c r="AB113" s="227" t="e">
        <f>1-AVERAGEIF(Data!AK$146:AK$157,"&gt;0",Data!AK$146:AK$157)</f>
        <v>#DIV/0!</v>
      </c>
      <c r="AC113" s="11"/>
      <c r="AD113" s="9"/>
      <c r="AE113" s="223" t="str">
        <f>IF(intervencao1=0,"Do not fill this line",intervencao1)</f>
        <v>Rosuvastatin 5mg</v>
      </c>
      <c r="AF113" s="227">
        <f>1-IFERROR(IF(AND($H$106=1,J113=""),1,IF(AND($H$106=1,J113=0),0,IF(AND($H$106=1,J113&gt;0),J113,AVERAGEIF(Data!S$110:S$121,"&gt;0",Data!S$110:S$121)))),1)</f>
        <v>0</v>
      </c>
      <c r="AG113" s="227">
        <f>1-IFERROR(IF(AND($H$106=1,K113=""),1,IF(AND($H$106=1,K113=0),0,IF(AND($H$106=1,K113&gt;0),K113,AVERAGEIF(Data!S$122:S$133,"&gt;0",Data!S$122:S$133)))),1)</f>
        <v>0</v>
      </c>
      <c r="AH113" s="227">
        <f>1-IFERROR(IF(AND($H$106=1,L113=""),1,IF(AND($H$106=1,L113=0),0,IF(AND($H$106=1,L113&gt;0),L113,AVERAGEIF(Data!S$134:S$145,"&gt;0",Data!S$134:S$145)))),1)</f>
        <v>0</v>
      </c>
      <c r="AI113" s="227">
        <f>1-IFERROR(IF(AND($H$106=1,M113=""),1,IF(AND($H$106=1,M113=0),0,IF(AND($H$106=1,M113&gt;0),M113,AVERAGEIF(Data!S$146:S$157,"&gt;0",Data!S$146:S$157)))),1)</f>
        <v>0</v>
      </c>
      <c r="AJ113" s="9"/>
      <c r="AK113" s="9"/>
      <c r="AL113" s="223" t="str">
        <f>IF(intervencao1=0,"Do not fill this line",intervencao1)</f>
        <v>Rosuvastatin 5mg</v>
      </c>
      <c r="AM113" s="227">
        <f>IFERROR(IF(H106=1,J113,AVERAGEIF(Data!C$110:C$121,"&gt;0",Data!C$110:C$121)),0)</f>
        <v>0</v>
      </c>
      <c r="AN113" s="227">
        <f>IFERROR(IF(H106=1,K113,AVERAGEIF(Data!C$122:C$133,"&gt;0",Data!C$122:C$133)),0)</f>
        <v>0</v>
      </c>
      <c r="AO113" s="227">
        <f>IFERROR(IF(H106=1,L113,AVERAGEIF(Data!C$134:C$145,"&gt;0",Data!C$134:C$145)),0)</f>
        <v>0</v>
      </c>
      <c r="AP113" s="227">
        <f>IFERROR(IF(H106=1,M113,AVERAGEIF(Data!C$146:C$157,"&gt;0",Data!C$146:C$157)),0)</f>
        <v>0</v>
      </c>
      <c r="AQ113" s="9"/>
    </row>
    <row r="114" spans="3:43">
      <c r="C114" s="300" t="str">
        <f>IF(intervencao2=0,"Do not fill this line",intervencao2)</f>
        <v>Rosuvastatin 10mg</v>
      </c>
      <c r="D114" s="461"/>
      <c r="E114" s="462"/>
      <c r="F114" s="9"/>
      <c r="G114" s="9"/>
      <c r="H114" s="451" t="str">
        <f>IF(intervencao2=0,"Do not fill this line",intervencao2)</f>
        <v>Rosuvastatin 10mg</v>
      </c>
      <c r="I114" s="452"/>
      <c r="J114" s="230"/>
      <c r="K114" s="230"/>
      <c r="L114" s="230"/>
      <c r="M114" s="230"/>
      <c r="N114" s="289"/>
      <c r="O114" s="9"/>
      <c r="P114" s="9"/>
      <c r="Q114" s="300" t="str">
        <f>IF(intervencao2=0,"Do not fill this line",intervencao2)</f>
        <v>Rosuvastatin 10mg</v>
      </c>
      <c r="R114" s="227">
        <f t="shared" si="6"/>
        <v>0</v>
      </c>
      <c r="S114" s="227">
        <f t="shared" si="6"/>
        <v>0</v>
      </c>
      <c r="T114" s="227">
        <f t="shared" si="6"/>
        <v>0</v>
      </c>
      <c r="U114" s="227">
        <f t="shared" si="6"/>
        <v>0</v>
      </c>
      <c r="V114" s="11"/>
      <c r="W114" s="9"/>
      <c r="X114" s="223" t="str">
        <f>IF(intervencao2=0,"Do not fill this line",intervencao2)</f>
        <v>Rosuvastatin 10mg</v>
      </c>
      <c r="Y114" s="227" t="e">
        <f>1-AVERAGEIF(Data!AL$110:AL$121,"&gt;0",Data!AL$110:AL$121)</f>
        <v>#DIV/0!</v>
      </c>
      <c r="Z114" s="227" t="e">
        <f>1-AVERAGEIF(Data!AL$122:AL$133,"&gt;0",Data!AL$122:AL$133)</f>
        <v>#DIV/0!</v>
      </c>
      <c r="AA114" s="227" t="e">
        <f>1-AVERAGEIF(Data!AL$134:AL$145,"&gt;0",Data!AL$134:AL$145)</f>
        <v>#DIV/0!</v>
      </c>
      <c r="AB114" s="227" t="e">
        <f>1-AVERAGEIF(Data!AL$146:AL$157,"&gt;0",Data!AL$146:AL$157)</f>
        <v>#DIV/0!</v>
      </c>
      <c r="AC114" s="11"/>
      <c r="AD114" s="9"/>
      <c r="AE114" s="223" t="str">
        <f>IF(intervencao2=0,"Do not fill this line",intervencao2)</f>
        <v>Rosuvastatin 10mg</v>
      </c>
      <c r="AF114" s="227">
        <f>1-IFERROR(IF(AND($H$106=1,J114=""),1,IF(AND($H$106=1,J114=0),0,IF(AND($H$106=1,J114&gt;0),J114,AVERAGEIF(Data!T$110:T$121,"&gt;0",Data!T$110:T$121)))),1)</f>
        <v>0</v>
      </c>
      <c r="AG114" s="227">
        <f>1-IFERROR(IF(AND($H$106=1,K114=""),1,IF(AND($H$106=1,K114=0),0,IF(AND($H$106=1,K114&gt;0),K114,AVERAGEIF(Data!T$122:T$133,"&gt;0",Data!T$122:T$133)))),1)</f>
        <v>0</v>
      </c>
      <c r="AH114" s="227">
        <f>1-IFERROR(IF(AND($H$106=1,L114=""),1,IF(AND($H$106=1,L114=0),0,IF(AND($H$106=1,L114&gt;0),L114,AVERAGEIF(Data!T$134:T$145,"&gt;0",Data!T$134:T$145)))),1)</f>
        <v>0</v>
      </c>
      <c r="AI114" s="227">
        <f>1-IFERROR(IF(AND($H$106=1,M114=""),1,IF(AND($H$106=1,M114=0),0,IF(AND($H$106=1,M114&gt;0),M114,AVERAGEIF(Data!T$146:T$157,"&gt;0",Data!T$146:T$157)))),1)</f>
        <v>0</v>
      </c>
      <c r="AJ114" s="9"/>
      <c r="AK114" s="9"/>
      <c r="AL114" s="223" t="str">
        <f>IF(intervencao2=0,"Do not fill this line",intervencao2)</f>
        <v>Rosuvastatin 10mg</v>
      </c>
      <c r="AM114" s="227">
        <f>IFERROR(IF(H106=1,J114,AVERAGEIF(Data!D$110:D$121,"&gt;0",Data!D$110:D$121)),0)</f>
        <v>0</v>
      </c>
      <c r="AN114" s="227">
        <f>IFERROR(IF(H106=1,K114,AVERAGEIF(Data!D$122:D$133,"&gt;0",Data!D$122:D$133)),0)</f>
        <v>0</v>
      </c>
      <c r="AO114" s="227">
        <f>IFERROR(IF(H106=1,L114,AVERAGEIF(Data!D$134:D$145,"&gt;0",Data!D$134:D$145)),0)</f>
        <v>0</v>
      </c>
      <c r="AP114" s="227">
        <f>IFERROR(IF(H106=1,M114,AVERAGEIF(Data!D$146:D$157,"&gt;0",Data!D$146:D$157)),0)</f>
        <v>0</v>
      </c>
      <c r="AQ114" s="9"/>
    </row>
    <row r="115" spans="3:43">
      <c r="C115" s="300" t="str">
        <f>IF(intervencao3=0,"Do not fill this line",intervencao3)</f>
        <v>Rosuvastatin 20mg</v>
      </c>
      <c r="D115" s="461"/>
      <c r="E115" s="462"/>
      <c r="F115" s="9"/>
      <c r="G115" s="9"/>
      <c r="H115" s="451" t="str">
        <f>IF(intervencao3=0,"Do not fill this line",intervencao3)</f>
        <v>Rosuvastatin 20mg</v>
      </c>
      <c r="I115" s="452"/>
      <c r="J115" s="230"/>
      <c r="K115" s="230"/>
      <c r="L115" s="230"/>
      <c r="M115" s="230"/>
      <c r="N115" s="289"/>
      <c r="O115" s="9"/>
      <c r="P115" s="9"/>
      <c r="Q115" s="300" t="str">
        <f>IF(intervencao3=0,"Do not fill this line",intervencao3)</f>
        <v>Rosuvastatin 20mg</v>
      </c>
      <c r="R115" s="227">
        <f t="shared" si="6"/>
        <v>0</v>
      </c>
      <c r="S115" s="227">
        <f t="shared" si="6"/>
        <v>0</v>
      </c>
      <c r="T115" s="227">
        <f t="shared" si="6"/>
        <v>0</v>
      </c>
      <c r="U115" s="227">
        <f t="shared" si="6"/>
        <v>0</v>
      </c>
      <c r="V115" s="11"/>
      <c r="W115" s="9"/>
      <c r="X115" s="223" t="str">
        <f>IF(intervencao3=0,"Do not fill this line",intervencao3)</f>
        <v>Rosuvastatin 20mg</v>
      </c>
      <c r="Y115" s="227" t="e">
        <f>1-AVERAGEIF(Data!AM$110:AM$121,"&gt;0",Data!AM$110:AM$121)</f>
        <v>#DIV/0!</v>
      </c>
      <c r="Z115" s="227" t="e">
        <f>1-AVERAGEIF(Data!AM$122:AM$133,"&gt;0",Data!AM$122:AM$133)</f>
        <v>#DIV/0!</v>
      </c>
      <c r="AA115" s="227" t="e">
        <f>1-AVERAGEIF(Data!AM$134:AM$145,"&gt;0",Data!AM$134:AM$145)</f>
        <v>#DIV/0!</v>
      </c>
      <c r="AB115" s="227" t="e">
        <f>1-AVERAGEIF(Data!AM$146:AM$157,"&gt;0",Data!AM$146:AM$157)</f>
        <v>#DIV/0!</v>
      </c>
      <c r="AC115" s="11"/>
      <c r="AD115" s="9"/>
      <c r="AE115" s="223" t="str">
        <f>IF(intervencao3=0,"Do not fill this line",intervencao3)</f>
        <v>Rosuvastatin 20mg</v>
      </c>
      <c r="AF115" s="227">
        <f>1-IFERROR(IF(AND($H$106=1,J115=""),1,IF(AND($H$106=1,J115=0),0,IF(AND($H$106=1,J115&gt;0),J115,AVERAGEIF(Data!U$110:U$121,"&gt;0",Data!U$110:U$1090)))),1)</f>
        <v>0</v>
      </c>
      <c r="AG115" s="227">
        <f>1-IFERROR(IF(AND($H$106=1,K115=""),1,IF(AND($H$106=1,K115=0),0,IF(AND($H$106=1,K115&gt;0),K115,AVERAGEIF(Data!U$122:U$133,"&gt;0",Data!U$122:U$133)))),1)</f>
        <v>0</v>
      </c>
      <c r="AH115" s="227">
        <f>1-IFERROR(IF(AND($H$106=1,L115=""),1,IF(AND($H$106=1,L115=0),0,IF(AND($H$106=1,L115&gt;0),L115,AVERAGEIF(Data!U$134:U$145,"&gt;0",Data!U$134:U$145)))),1)</f>
        <v>0</v>
      </c>
      <c r="AI115" s="227">
        <f>1-IFERROR(IF(AND($H$106=1,M115=""),1,IF(AND($H$106=1,M115=0),0,IF(AND($H$106=1,M115&gt;0),M115,AVERAGEIF(Data!U$146:U$157,"&gt;0",Data!U$146:U$157)))),1)</f>
        <v>0</v>
      </c>
      <c r="AJ115" s="9"/>
      <c r="AK115" s="9"/>
      <c r="AL115" s="223" t="str">
        <f>IF(intervencao3=0,"Do not fill this line",intervencao3)</f>
        <v>Rosuvastatin 20mg</v>
      </c>
      <c r="AM115" s="227">
        <f>IFERROR(IF(H106=1,J115,AVERAGEIF(Data!E$110:E$121,"&gt;0",Data!E$110:E$121)),0)</f>
        <v>0</v>
      </c>
      <c r="AN115" s="227">
        <f>IFERROR(IF(H106=1,K115,AVERAGEIF(Data!E$122:E$133,"&gt;0",Data!E$122:E$133)),0)</f>
        <v>0</v>
      </c>
      <c r="AO115" s="227">
        <f>IFERROR(IF(H106=1,L115,AVERAGEIF(Data!E$134:E$145,"&gt;0",Data!E$134:E$145)),0)</f>
        <v>0</v>
      </c>
      <c r="AP115" s="227">
        <f>IFERROR(IF(H106=1,M115,AVERAGEIF(Data!E$146:E$157,"&gt;0",Data!E$146:E$157)),0)</f>
        <v>0</v>
      </c>
      <c r="AQ115" s="9"/>
    </row>
    <row r="116" spans="3:43">
      <c r="C116" s="300" t="str">
        <f>IF(intervencao4=0,"Do not fill this line",intervencao4)</f>
        <v>Rosuvastatin 40mg</v>
      </c>
      <c r="D116" s="461"/>
      <c r="E116" s="462"/>
      <c r="F116" s="9"/>
      <c r="G116" s="9"/>
      <c r="H116" s="451" t="str">
        <f>IF(intervencao4=0,"Do not fill this line",intervencao4)</f>
        <v>Rosuvastatin 40mg</v>
      </c>
      <c r="I116" s="452"/>
      <c r="J116" s="230"/>
      <c r="K116" s="230"/>
      <c r="L116" s="230"/>
      <c r="M116" s="230"/>
      <c r="N116" s="289"/>
      <c r="O116" s="9"/>
      <c r="P116" s="9"/>
      <c r="Q116" s="300" t="str">
        <f>IF(intervencao4=0,"Do not fill this line",intervencao4)</f>
        <v>Rosuvastatin 40mg</v>
      </c>
      <c r="R116" s="227">
        <f t="shared" si="6"/>
        <v>0</v>
      </c>
      <c r="S116" s="227">
        <f t="shared" si="6"/>
        <v>0</v>
      </c>
      <c r="T116" s="227">
        <f t="shared" si="6"/>
        <v>0</v>
      </c>
      <c r="U116" s="227">
        <f t="shared" si="6"/>
        <v>0</v>
      </c>
      <c r="V116" s="11"/>
      <c r="W116" s="9"/>
      <c r="X116" s="223" t="str">
        <f>IF(intervencao4=0,"Do not fill this line",intervencao4)</f>
        <v>Rosuvastatin 40mg</v>
      </c>
      <c r="Y116" s="227" t="e">
        <f>1-AVERAGEIF(Data!AN$110:AN$121,"&gt;0",Data!AN$110:AN$121)</f>
        <v>#DIV/0!</v>
      </c>
      <c r="Z116" s="227" t="e">
        <f>1-AVERAGEIF(Data!AN$122:AN$133,"&gt;0",Data!AN$122:AN$133)</f>
        <v>#DIV/0!</v>
      </c>
      <c r="AA116" s="227" t="e">
        <f>1-AVERAGEIF(Data!AN$134:AN$145,"&gt;0",Data!AN$134:AN$145)</f>
        <v>#DIV/0!</v>
      </c>
      <c r="AB116" s="227" t="e">
        <f>1-AVERAGEIF(Data!AN$146:AN$157,"&gt;0",Data!AN$146:AN$157)</f>
        <v>#DIV/0!</v>
      </c>
      <c r="AC116" s="11"/>
      <c r="AD116" s="9"/>
      <c r="AE116" s="223" t="str">
        <f>IF(intervencao4=0,"Do not fill this line",intervencao4)</f>
        <v>Rosuvastatin 40mg</v>
      </c>
      <c r="AF116" s="227">
        <f>1-IFERROR(IF(AND($H$106=1,J116=""),1,IF(AND($H$106=1,J116=0),0,IF(AND($H$106=1,J116&gt;0),J116,AVERAGEIF(Data!V$110:V$121,"&gt;0",Data!V$110:V$121)))),1)</f>
        <v>0</v>
      </c>
      <c r="AG116" s="227">
        <f>1-IFERROR(IF(AND($H$106=1,K116=""),1,IF(AND($H$106=1,K116=0),0,IF(AND($H$106=1,K116&gt;0),K116,AVERAGEIF(Data!V$122:V$133,"&gt;0",Data!V$122:V$133)))),1)</f>
        <v>0</v>
      </c>
      <c r="AH116" s="227">
        <f>1-IFERROR(IF(AND($H$106=1,L116=""),1,IF(AND($H$106=1,L116=0),0,IF(AND($H$106=1,L116&gt;0),L116,AVERAGEIF(Data!V$134:V$145,"&gt;0",Data!V$134:V$145)))),1)</f>
        <v>0</v>
      </c>
      <c r="AI116" s="227">
        <f>1-IFERROR(IF(AND($H$106=1,M116=""),1,IF(AND($H$106=1,M116=0),0,IF(AND($H$106=1,M116&gt;0),M116,AVERAGEIF(Data!V$146:V$157,"&gt;0",Data!V$146:V$157)))),1)</f>
        <v>0</v>
      </c>
      <c r="AJ116" s="9"/>
      <c r="AK116" s="9"/>
      <c r="AL116" s="223" t="str">
        <f>IF(intervencao4=0,"Do not fill this line",intervencao4)</f>
        <v>Rosuvastatin 40mg</v>
      </c>
      <c r="AM116" s="227">
        <f>IFERROR(IF(H106=1,J116,AVERAGEIF(Data!F$110:F$121,"&gt;0",Data!F$110:F$121)),0)</f>
        <v>0</v>
      </c>
      <c r="AN116" s="227">
        <f>IFERROR(IF(H106=1,K116,AVERAGEIF(Data!F$122:F$133,"&gt;0",Data!F$122:F$133)),0)</f>
        <v>0</v>
      </c>
      <c r="AO116" s="227">
        <f>IFERROR(IF(H106=1,L116,AVERAGEIF(Data!F$134:F$145,"&gt;0",Data!F$134:F$145)),0)</f>
        <v>0</v>
      </c>
      <c r="AP116" s="227">
        <f>IFERROR(IF(H106=1,M116,AVERAGEIF(Data!F$146:F$157,"&gt;0",Data!F$146:F$157)),0)</f>
        <v>0</v>
      </c>
      <c r="AQ116" s="9"/>
    </row>
    <row r="117" spans="3:43" ht="16.05" customHeight="1">
      <c r="C117" s="294" t="str">
        <f>IF($H$102=1,"Enter the median survival","Do not fill in this table")</f>
        <v>Do not fill in this table</v>
      </c>
      <c r="D117" s="463" t="s">
        <v>278</v>
      </c>
      <c r="E117" s="464"/>
      <c r="F117" s="9"/>
      <c r="G117" s="9"/>
      <c r="H117" s="459" t="str">
        <f>H111</f>
        <v>Cumulative mortality rate</v>
      </c>
      <c r="I117" s="460"/>
      <c r="J117" s="475" t="s">
        <v>279</v>
      </c>
      <c r="K117" s="476"/>
      <c r="L117" s="476"/>
      <c r="M117" s="476"/>
      <c r="N117" s="7"/>
      <c r="O117" s="7"/>
      <c r="P117" s="7"/>
      <c r="Q117" s="302" t="str">
        <f>Q111</f>
        <v>Do not fill in this table</v>
      </c>
      <c r="R117" s="303"/>
      <c r="S117" s="304"/>
      <c r="T117" s="304"/>
      <c r="U117" s="304"/>
      <c r="V117" s="11"/>
      <c r="W117" s="7"/>
      <c r="X117" s="302" t="str">
        <f>X111</f>
        <v>Do not fill in this table</v>
      </c>
      <c r="Y117" s="303"/>
      <c r="Z117" s="304"/>
      <c r="AA117" s="304"/>
      <c r="AB117" s="304"/>
      <c r="AC117" s="11"/>
      <c r="AD117" s="9"/>
      <c r="AE117" s="302" t="str">
        <f>AE111</f>
        <v>Do not fill in this table</v>
      </c>
      <c r="AF117" s="303"/>
      <c r="AG117" s="304"/>
      <c r="AH117" s="304"/>
      <c r="AI117" s="304"/>
      <c r="AJ117" s="9"/>
      <c r="AK117" s="9"/>
      <c r="AL117" s="302" t="s">
        <v>276</v>
      </c>
      <c r="AM117" s="303"/>
      <c r="AN117" s="304"/>
      <c r="AO117" s="304"/>
      <c r="AP117" s="304"/>
      <c r="AQ117" s="9"/>
    </row>
    <row r="118" spans="3:43">
      <c r="C118" s="300" t="str">
        <f>IF(comparador1=0,"Do not fill this line",comparador1)</f>
        <v>Atorvastatin 10mg</v>
      </c>
      <c r="D118" s="461"/>
      <c r="E118" s="462"/>
      <c r="F118" s="9"/>
      <c r="G118" s="9"/>
      <c r="H118" s="451" t="str">
        <f>IF(comparador1=0,"Do not fill this line",comparador1)</f>
        <v>Atorvastatin 10mg</v>
      </c>
      <c r="I118" s="452"/>
      <c r="J118" s="230"/>
      <c r="K118" s="230"/>
      <c r="L118" s="230"/>
      <c r="M118" s="230"/>
      <c r="N118" s="289"/>
      <c r="O118" s="9"/>
      <c r="P118" s="9"/>
      <c r="Q118" s="300" t="str">
        <f>IF(comparador1=0,"Do not fill this line",comparador1)</f>
        <v>Atorvastatin 10mg</v>
      </c>
      <c r="R118" s="227">
        <f>IFERROR(IF(AND(obito=1,$H$102=1),Y118,IF(AND(obito=1,$H$102=2),AM118,IF(AND(obito=1,$H$102=3),AF118,0))),0)</f>
        <v>0</v>
      </c>
      <c r="S118" s="227">
        <f t="shared" ref="S118:S127" si="7">IFERROR(IF(AND(obito=1,$H$102=1),Z118,IF(AND(obito=1,$H$102=2),AN118,IF(AND(obito=1,$H$102=3),AG118,0))),0)</f>
        <v>0</v>
      </c>
      <c r="T118" s="227">
        <f t="shared" ref="T118:T127" si="8">IFERROR(IF(AND(obito=1,$H$102=1),AA118,IF(AND(obito=1,$H$102=2),AO118,IF(AND(obito=1,$H$102=3),AH118,0))),0)</f>
        <v>0</v>
      </c>
      <c r="U118" s="227">
        <f t="shared" ref="U118:U127" si="9">IFERROR(IF(AND(obito=1,$H$102=1),AB118,IF(AND(obito=1,$H$102=2),AP118,IF(AND(obito=1,$H$102=3),AI118,0))),0)</f>
        <v>0</v>
      </c>
      <c r="V118" s="11"/>
      <c r="W118" s="9"/>
      <c r="X118" s="223" t="str">
        <f>IF(comparador1=0,"Do not fill this line",comparador1)</f>
        <v>Atorvastatin 10mg</v>
      </c>
      <c r="Y118" s="227" t="e">
        <f>1-AVERAGEIF(Data!AO$110:AO$121,"&gt;0",Data!AO$110:AO$121)</f>
        <v>#DIV/0!</v>
      </c>
      <c r="Z118" s="227" t="e">
        <f>1-AVERAGEIF(Data!AO$122:AO$133,"&gt;0",Data!AO$122:AO$133)</f>
        <v>#DIV/0!</v>
      </c>
      <c r="AA118" s="227" t="e">
        <f>1-AVERAGEIF(Data!AO$134:AO$145,"&gt;0",Data!AO$134:AO$145)</f>
        <v>#DIV/0!</v>
      </c>
      <c r="AB118" s="227" t="e">
        <f>1-AVERAGEIF(Data!AO$146:AO$157,"&gt;0",Data!AO$146:AO$157)</f>
        <v>#DIV/0!</v>
      </c>
      <c r="AC118" s="11"/>
      <c r="AD118" s="9"/>
      <c r="AE118" s="223" t="str">
        <f>IF(comparador1=0,"Do not fill this line",comparador1)</f>
        <v>Atorvastatin 10mg</v>
      </c>
      <c r="AF118" s="227">
        <f>1-IFERROR(IF(AND($H$106=1,J118=""),1,IF(AND($H$106=1,J118=0),0,IF(AND($H$106=1,J118&gt;0),J118,AVERAGEIF(Data!W$110:W$121,"&gt;0",Data!W$110:W$121)))),1)</f>
        <v>0</v>
      </c>
      <c r="AG118" s="227">
        <f>1-IFERROR(IF(AND($H$106=1,K118=""),1,IF(AND($H$106=1,K118=0),0,IF(AND($H$106=1,K118&gt;0),K118,AVERAGEIF(Data!W$122:W$133,"&gt;0",Data!W$122:W$133)))),1)</f>
        <v>0</v>
      </c>
      <c r="AH118" s="227">
        <f>1-IFERROR(IF(AND($H$106=1,L118=""),1,IF(AND($H$106=1,L118=0),0,IF(AND($H$106=1,L118&gt;0),L118,AVERAGEIF(Data!W$134:W$145,"&gt;0",Data!W$134:W$145)))),1)</f>
        <v>0</v>
      </c>
      <c r="AI118" s="227">
        <f>1-IFERROR(IF(AND($H$106=1,M118=""),1,IF(AND($H$106=1,M118=0),0,IF(AND($H$106=1,M118&gt;0),M118,AVERAGEIF(Data!W$146:W$157,"&gt;0",Data!W$146:W$157)))),1)</f>
        <v>0</v>
      </c>
      <c r="AJ118" s="9"/>
      <c r="AK118" s="9"/>
      <c r="AL118" s="223" t="str">
        <f>IF(comparador1=0,"Do not fill this line",comparador1)</f>
        <v>Atorvastatin 10mg</v>
      </c>
      <c r="AM118" s="227">
        <f>IFERROR(IF(H106=1,J118,AVERAGEIF(Data!G$110:G$121,"&gt;0",Data!G$110:G$121)),0)</f>
        <v>0</v>
      </c>
      <c r="AN118" s="227">
        <f>IFERROR(IF(H106=1,K118,AVERAGEIF(Data!G$122:G$133,"&gt;0",Data!G$122:G$133)),0)</f>
        <v>0</v>
      </c>
      <c r="AO118" s="227">
        <f>IFERROR(IF(H106=1,L118,AVERAGEIF(Data!G$134:G$145,"&gt;0",Data!G$134:G$145)),0)</f>
        <v>0</v>
      </c>
      <c r="AP118" s="227">
        <f>IFERROR(IF(H106=1,M118,AVERAGEIF(Data!G$146:G$157,"&gt;0",Data!G$146:G$157)),0)</f>
        <v>0</v>
      </c>
      <c r="AQ118" s="9"/>
    </row>
    <row r="119" spans="3:43">
      <c r="C119" s="300" t="str">
        <f>IF(comparador2=0,"Do not fill this line",comparador2)</f>
        <v>Atorvastatin 20mg</v>
      </c>
      <c r="D119" s="461"/>
      <c r="E119" s="462"/>
      <c r="F119" s="9"/>
      <c r="G119" s="9"/>
      <c r="H119" s="451" t="str">
        <f>IF(comparador2=0,"Do not fill this line",comparador2)</f>
        <v>Atorvastatin 20mg</v>
      </c>
      <c r="I119" s="452"/>
      <c r="J119" s="230"/>
      <c r="K119" s="230"/>
      <c r="L119" s="230"/>
      <c r="M119" s="230"/>
      <c r="N119" s="289"/>
      <c r="O119" s="9"/>
      <c r="P119" s="9"/>
      <c r="Q119" s="300" t="str">
        <f>IF(comparador2=0,"Do not fill this line",comparador2)</f>
        <v>Atorvastatin 20mg</v>
      </c>
      <c r="R119" s="227">
        <f t="shared" ref="R119:R126" si="10">IFERROR(IF(AND(obito=1,$H$102=1),Y119,IF(AND(obito=1,$H$102=2),AM119,IF(AND(obito=1,$H$102=3),AF119,0))),0)</f>
        <v>0</v>
      </c>
      <c r="S119" s="227">
        <f t="shared" si="7"/>
        <v>0</v>
      </c>
      <c r="T119" s="227">
        <f t="shared" si="8"/>
        <v>0</v>
      </c>
      <c r="U119" s="227">
        <f t="shared" si="9"/>
        <v>0</v>
      </c>
      <c r="V119" s="11"/>
      <c r="W119" s="9"/>
      <c r="X119" s="223" t="str">
        <f>IF(comparador2=0,"Do not fill this line",comparador2)</f>
        <v>Atorvastatin 20mg</v>
      </c>
      <c r="Y119" s="227" t="e">
        <f>1-AVERAGEIF(Data!AP$110:AP$121,"&gt;0",Data!AP$110:AP$121)</f>
        <v>#DIV/0!</v>
      </c>
      <c r="Z119" s="227" t="e">
        <f>1-AVERAGEIF(Data!AP$122:AP$133,"&gt;0",Data!AP$122:AP$133)</f>
        <v>#DIV/0!</v>
      </c>
      <c r="AA119" s="227" t="e">
        <f>1-AVERAGEIF(Data!AP$134:AP$145,"&gt;0",Data!AP$134:AP$145)</f>
        <v>#DIV/0!</v>
      </c>
      <c r="AB119" s="227" t="e">
        <f>1-AVERAGEIF(Data!AP$146:AP$157,"&gt;0",Data!AP$146:AP$157)</f>
        <v>#DIV/0!</v>
      </c>
      <c r="AC119" s="11"/>
      <c r="AD119" s="9"/>
      <c r="AE119" s="223" t="str">
        <f>IF(comparador2=0,"Do not fill this line",comparador2)</f>
        <v>Atorvastatin 20mg</v>
      </c>
      <c r="AF119" s="227">
        <f>1-IFERROR(IF(AND($H$106=1,J119=""),1,IF(AND($H$106=1,J119=0),0,IF(AND($H$106=1,J119&gt;0),J119,AVERAGEIF(Data!X$110:X$121,"&gt;0",Data!X$110:X$121)))),1)</f>
        <v>0</v>
      </c>
      <c r="AG119" s="227">
        <f>1-IFERROR(IF(AND($H$106=1,K119=""),1,IF(AND($H$106=1,K119=0),0,IF(AND($H$106=1,K119&gt;0),K119,AVERAGEIF(Data!X$122:X$133,"&gt;0",Data!X$122:X$133)))),1)</f>
        <v>0</v>
      </c>
      <c r="AH119" s="227">
        <f>1-IFERROR(IF(AND($H$106=1,L119=""),1,IF(AND($H$106=1,L119=0),0,IF(AND($H$106=1,L119&gt;0),L119,AVERAGEIF(Data!X$134:X$145,"&gt;0",Data!X$134:X$145)))),1)</f>
        <v>0</v>
      </c>
      <c r="AI119" s="227">
        <f>1-IFERROR(IF(AND($H$106=1,M119=""),1,IF(AND($H$106=1,M119=0),0,IF(AND($H$106=1,M119&gt;0),M119,AVERAGEIF(Data!X$146:X$157,"&gt;0",Data!X$146:X$157)))),1)</f>
        <v>0</v>
      </c>
      <c r="AJ119" s="9"/>
      <c r="AK119" s="9"/>
      <c r="AL119" s="223" t="str">
        <f>IF(comparador2=0,"Do not fill this line",comparador2)</f>
        <v>Atorvastatin 20mg</v>
      </c>
      <c r="AM119" s="227">
        <f>IFERROR(IF(H106=1,J119,AVERAGEIF(Data!H$110:H$121,"&gt;0",Data!H$110:H$121)),0)</f>
        <v>0</v>
      </c>
      <c r="AN119" s="227">
        <f>IFERROR(IF(H106=1,K119,AVERAGEIF(Data!H$122:H$133,"&gt;0",Data!H$122:H$133)),0)</f>
        <v>0</v>
      </c>
      <c r="AO119" s="227">
        <f>IFERROR(IF(H106=1,L119,AVERAGEIF(Data!H$134:H$145,"&gt;0",Data!H$134:H$145)),0)</f>
        <v>0</v>
      </c>
      <c r="AP119" s="227">
        <f>IFERROR(IF(H106=1,M119,AVERAGEIF(Data!H$146:H$157,"&gt;0",Data!H$146:H$157)),0)</f>
        <v>0</v>
      </c>
      <c r="AQ119" s="9"/>
    </row>
    <row r="120" spans="3:43">
      <c r="C120" s="300" t="str">
        <f>IF(comparador3=0,"Do not fill this line",comparador3)</f>
        <v>Atorvastatin 40mg</v>
      </c>
      <c r="D120" s="461"/>
      <c r="E120" s="462"/>
      <c r="F120" s="9"/>
      <c r="G120" s="9"/>
      <c r="H120" s="451" t="str">
        <f>IF(comparador3=0,"Do not fill this line",comparador3)</f>
        <v>Atorvastatin 40mg</v>
      </c>
      <c r="I120" s="452"/>
      <c r="J120" s="230"/>
      <c r="K120" s="230"/>
      <c r="L120" s="230"/>
      <c r="M120" s="230"/>
      <c r="N120" s="289"/>
      <c r="O120" s="9"/>
      <c r="P120" s="9"/>
      <c r="Q120" s="300" t="str">
        <f>IF(comparador3=0,"Do not fill this line",comparador3)</f>
        <v>Atorvastatin 40mg</v>
      </c>
      <c r="R120" s="227">
        <f t="shared" si="10"/>
        <v>0</v>
      </c>
      <c r="S120" s="227">
        <f t="shared" si="7"/>
        <v>0</v>
      </c>
      <c r="T120" s="227">
        <f t="shared" si="8"/>
        <v>0</v>
      </c>
      <c r="U120" s="227">
        <f t="shared" si="9"/>
        <v>0</v>
      </c>
      <c r="V120" s="11"/>
      <c r="W120" s="9"/>
      <c r="X120" s="223" t="str">
        <f>IF(comparador3=0,"Do not fill this line",comparador3)</f>
        <v>Atorvastatin 40mg</v>
      </c>
      <c r="Y120" s="227" t="e">
        <f>1-AVERAGEIF(Data!AQ$110:AQ$121,"&gt;0",Data!AQ$110:AQ$121)</f>
        <v>#DIV/0!</v>
      </c>
      <c r="Z120" s="227" t="e">
        <f>1-AVERAGEIF(Data!AQ$122:AQ$133,"&gt;0",Data!AQ$122:AQ$133)</f>
        <v>#DIV/0!</v>
      </c>
      <c r="AA120" s="227" t="e">
        <f>1-AVERAGEIF(Data!AQ$134:AQ$145,"&gt;0",Data!AQ$134:AQ$145)</f>
        <v>#DIV/0!</v>
      </c>
      <c r="AB120" s="227" t="e">
        <f>1-AVERAGEIF(Data!AQ$146:AQ$157,"&gt;0",Data!AQ$146:AQ$157)</f>
        <v>#DIV/0!</v>
      </c>
      <c r="AC120" s="11"/>
      <c r="AD120" s="9"/>
      <c r="AE120" s="223" t="str">
        <f>IF(comparador3=0,"Do not fill this line",comparador3)</f>
        <v>Atorvastatin 40mg</v>
      </c>
      <c r="AF120" s="227">
        <f>1-IFERROR(IF(AND($H$106=1,J120=""),1,IF(AND($H$106=1,J120=0),0,IF(AND($H$106=1,J120&gt;0),J120,AVERAGEIF(Data!Y$110:Y$121,"&gt;0",Data!Y$110:Y$121)))),1)</f>
        <v>0</v>
      </c>
      <c r="AG120" s="227">
        <f>1-IFERROR(IF(AND($H$106=1,K120=""),1,IF(AND($H$106=1,K120=0),0,IF(AND($H$106=1,K120&gt;0),K120,AVERAGEIF(Data!Y$122:Y$133,"&gt;0",Data!Y$122:Y$133)))),1)</f>
        <v>0</v>
      </c>
      <c r="AH120" s="227">
        <f>1-IFERROR(IF(AND($H$106=1,L120=""),1,IF(AND($H$106=1,L120=0),0,IF(AND($H$106=1,L120&gt;0),L120,AVERAGEIF(Data!Y$134:Y$145,"&gt;0",Data!Y$134:Y$145)))),1)</f>
        <v>0</v>
      </c>
      <c r="AI120" s="227">
        <f>1-IFERROR(IF(AND($H$106=1,M120=""),1,IF(AND($H$106=1,M120=0),0,IF(AND($H$106=1,M120&gt;0),M120,AVERAGEIF(Data!Y$146:Y$157,"&gt;0",Data!Y$146:Y$157)))),1)</f>
        <v>0</v>
      </c>
      <c r="AJ120" s="9"/>
      <c r="AK120" s="9"/>
      <c r="AL120" s="223" t="str">
        <f>IF(comparador3=0,"Do not fill this line",comparador3)</f>
        <v>Atorvastatin 40mg</v>
      </c>
      <c r="AM120" s="227">
        <f>IFERROR(IF(H106=1,J120,AVERAGEIF(Data!I$110:I$121,"&gt;0",Data!I$110:I$121)),0)</f>
        <v>0</v>
      </c>
      <c r="AN120" s="227">
        <f>IFERROR(IF(H106=1,K120,AVERAGEIF(Data!I$122:I$133,"&gt;0",Data!I$122:I$133)),0)</f>
        <v>0</v>
      </c>
      <c r="AO120" s="227">
        <f>IFERROR(IF(H106=1,L120,AVERAGEIF(Data!I$134:I$145,"&gt;0",Data!I$134:I$145)),0)</f>
        <v>0</v>
      </c>
      <c r="AP120" s="227">
        <f>IFERROR(IF(H106=1,M120,AVERAGEIF(Data!I$146:I$157,"&gt;0",Data!I$146:I$157)),0)</f>
        <v>0</v>
      </c>
      <c r="AQ120" s="9"/>
    </row>
    <row r="121" spans="3:43">
      <c r="C121" s="300" t="str">
        <f>IF(comparador4=0,"Do not fill this line",comparador4)</f>
        <v>Atorvastatin 80mg</v>
      </c>
      <c r="D121" s="461"/>
      <c r="E121" s="462"/>
      <c r="F121" s="9"/>
      <c r="G121" s="9"/>
      <c r="H121" s="451" t="str">
        <f>IF(comparador4=0,"Do not fill this line",comparador4)</f>
        <v>Atorvastatin 80mg</v>
      </c>
      <c r="I121" s="452"/>
      <c r="J121" s="230"/>
      <c r="K121" s="230"/>
      <c r="L121" s="230"/>
      <c r="M121" s="230"/>
      <c r="N121" s="289"/>
      <c r="O121" s="9"/>
      <c r="P121" s="9"/>
      <c r="Q121" s="300" t="str">
        <f>IF(comparador4=0,"Do not fill this line",comparador4)</f>
        <v>Atorvastatin 80mg</v>
      </c>
      <c r="R121" s="227">
        <f t="shared" si="10"/>
        <v>0</v>
      </c>
      <c r="S121" s="227">
        <f t="shared" si="7"/>
        <v>0</v>
      </c>
      <c r="T121" s="227">
        <f t="shared" si="8"/>
        <v>0</v>
      </c>
      <c r="U121" s="227">
        <f t="shared" si="9"/>
        <v>0</v>
      </c>
      <c r="V121" s="11"/>
      <c r="W121" s="9"/>
      <c r="X121" s="223" t="str">
        <f>IF(comparador4=0,"Do not fill this line",comparador4)</f>
        <v>Atorvastatin 80mg</v>
      </c>
      <c r="Y121" s="227" t="e">
        <f>1-AVERAGEIF(Data!AR$110:AR$121,"&gt;0",Data!AR$110:AR$121)</f>
        <v>#DIV/0!</v>
      </c>
      <c r="Z121" s="227" t="e">
        <f>1-AVERAGEIF(Data!AR$122:AR$133,"&gt;0",Data!AR$122:AR$133)</f>
        <v>#DIV/0!</v>
      </c>
      <c r="AA121" s="227" t="e">
        <f>1-AVERAGEIF(Data!AR$134:AR$145,"&gt;0",Data!AR$134:AR$145)</f>
        <v>#DIV/0!</v>
      </c>
      <c r="AB121" s="227" t="e">
        <f>1-AVERAGEIF(Data!AR$146:AR$157,"&gt;0",Data!AR$146:AR$157)</f>
        <v>#DIV/0!</v>
      </c>
      <c r="AC121" s="11"/>
      <c r="AD121" s="9"/>
      <c r="AE121" s="223" t="str">
        <f>IF(comparador4=0,"Do not fill this line",comparador4)</f>
        <v>Atorvastatin 80mg</v>
      </c>
      <c r="AF121" s="227">
        <f>1-IFERROR(IF(AND($H$106=1,J121=""),1,IF(AND($H$106=1,J121=0),0,IF(AND($H$106=1,J121&gt;0),J121,AVERAGEIF(Data!Z$110:Z$121,"&gt;0",Data!Z$110:Z$121)))),1)</f>
        <v>0</v>
      </c>
      <c r="AG121" s="227">
        <f>1-IFERROR(IF(AND($H$106=1,K121=""),1,IF(AND($H$106=1,K121=0),0,IF(AND($H$106=1,K121&gt;0),K121,AVERAGEIF(Data!Z$122:Z$133,"&gt;0",Data!Z$122:Z$133)))),1)</f>
        <v>0</v>
      </c>
      <c r="AH121" s="227">
        <f>1-IFERROR(IF(AND($H$106=1,L121=""),1,IF(AND($H$106=1,L121=0),0,IF(AND($H$106=1,L121&gt;0),L121,AVERAGEIF(Data!Z$134:Z$145,"&gt;0",Data!Z$134:Z$145)))),1)</f>
        <v>0</v>
      </c>
      <c r="AI121" s="227">
        <f>1-IFERROR(IF(AND($H$106=1,M121=""),1,IF(AND($H$106=1,M121=0),0,IF(AND($H$106=1,M121&gt;0),M121,AVERAGEIF(Data!Z$146:Z$157,"&gt;0",Data!Z$146:Z$157)))),1)</f>
        <v>0</v>
      </c>
      <c r="AJ121" s="9"/>
      <c r="AK121" s="9"/>
      <c r="AL121" s="223" t="str">
        <f>IF(comparador4=0,"Do not fill this line",comparador4)</f>
        <v>Atorvastatin 80mg</v>
      </c>
      <c r="AM121" s="227">
        <f>IFERROR(IF(H106=1,J121,AVERAGEIF(Data!J$110:J$121,"&gt;0",Data!J$110:J$121)),0)</f>
        <v>0</v>
      </c>
      <c r="AN121" s="227">
        <f>IFERROR(IF(H106=1,K121,AVERAGEIF(Data!J$122:J$133,"&gt;0",Data!J$122:J$133)),0)</f>
        <v>0</v>
      </c>
      <c r="AO121" s="227">
        <f>IFERROR(IF(H106=1,L121,AVERAGEIF(Data!J$134:J$145,"&gt;0",Data!J$134:J$145)),0)</f>
        <v>0</v>
      </c>
      <c r="AP121" s="227">
        <f>IFERROR(IF(H106=1,M121,AVERAGEIF(Data!J$146:J$157,"&gt;0",Data!J$146:J$157)),0)</f>
        <v>0</v>
      </c>
      <c r="AQ121" s="9"/>
    </row>
    <row r="122" spans="3:43">
      <c r="C122" s="300" t="str">
        <f>IF(comparador5=0,"Do not fill this line",comparador5)</f>
        <v>Pravastatin</v>
      </c>
      <c r="D122" s="461"/>
      <c r="E122" s="462"/>
      <c r="F122" s="9"/>
      <c r="G122" s="9"/>
      <c r="H122" s="451" t="str">
        <f>IF(comparador5=0,"Do not fill this line",comparador5)</f>
        <v>Pravastatin</v>
      </c>
      <c r="I122" s="452"/>
      <c r="J122" s="230"/>
      <c r="K122" s="230"/>
      <c r="L122" s="230"/>
      <c r="M122" s="230"/>
      <c r="N122" s="289"/>
      <c r="O122" s="9"/>
      <c r="P122" s="9"/>
      <c r="Q122" s="300" t="str">
        <f>IF(comparador5=0,"Do not fill this line",comparador5)</f>
        <v>Pravastatin</v>
      </c>
      <c r="R122" s="227">
        <f t="shared" si="10"/>
        <v>0</v>
      </c>
      <c r="S122" s="227">
        <f t="shared" si="7"/>
        <v>0</v>
      </c>
      <c r="T122" s="227">
        <f t="shared" si="8"/>
        <v>0</v>
      </c>
      <c r="U122" s="227">
        <f t="shared" si="9"/>
        <v>0</v>
      </c>
      <c r="V122" s="11"/>
      <c r="W122" s="9"/>
      <c r="X122" s="223" t="str">
        <f>IF(comparador5=0,"Do not fill this line",comparador5)</f>
        <v>Pravastatin</v>
      </c>
      <c r="Y122" s="227" t="e">
        <f>1-AVERAGEIF(Data!AS$110:AS$121,"&gt;0",Data!AS$110:AS$121)</f>
        <v>#DIV/0!</v>
      </c>
      <c r="Z122" s="227" t="e">
        <f>1-AVERAGEIF(Data!AS$122:AS$133,"&gt;0",Data!AS$122:AS$133)</f>
        <v>#DIV/0!</v>
      </c>
      <c r="AA122" s="227" t="e">
        <f>1-AVERAGEIF(Data!AS$134:AS$145,"&gt;0",Data!AS$134:AS$145)</f>
        <v>#DIV/0!</v>
      </c>
      <c r="AB122" s="227" t="e">
        <f>1-AVERAGEIF(Data!AS$146:AS$157,"&gt;0",Data!AS$146:AS$157)</f>
        <v>#DIV/0!</v>
      </c>
      <c r="AC122" s="11"/>
      <c r="AD122" s="9"/>
      <c r="AE122" s="223" t="str">
        <f>IF(comparador5=0,"Do not fill this line",comparador5)</f>
        <v>Pravastatin</v>
      </c>
      <c r="AF122" s="227">
        <f>1-IFERROR(IF(AND($H$106=1,J122=""),1,IF(AND($H$106=1,J122=0),0,IF(AND($H$106=1,J122&gt;0),J122,AVERAGEIF(Data!AA$110:AA$121,"&gt;0",Data!AA$110:AA$121)))),1)</f>
        <v>0</v>
      </c>
      <c r="AG122" s="227">
        <f>1-IFERROR(IF(AND($H$106=1,K122=""),1,IF(AND($H$106=1,K122=0),0,IF(AND($H$106=1,K122&gt;0),K122,AVERAGEIF(Data!AA$122:AA$133,"&gt;0",Data!AA$122:AA$133)))),1)</f>
        <v>0</v>
      </c>
      <c r="AH122" s="227">
        <f>1-IFERROR(IF(AND($H$106=1,L122=""),1,IF(AND($H$106=1,L122=0),0,IF(AND($H$106=1,L122&gt;0),L122,AVERAGEIF(Data!AA$134:AA$145,"&gt;0",Data!AA$134:AA$145)))),1)</f>
        <v>0</v>
      </c>
      <c r="AI122" s="227">
        <f>1-IFERROR(IF(AND($H$106=1,M122=""),1,IF(AND($H$106=1,M122=0),0,IF(AND($H$106=1,M122&gt;0),M122,AVERAGEIF(Data!AA$146:AA$157,"&gt;0",Data!AA$146:AA$157)))),1)</f>
        <v>0</v>
      </c>
      <c r="AJ122" s="9"/>
      <c r="AK122" s="9"/>
      <c r="AL122" s="223" t="str">
        <f>IF(comparador5=0,"Do not fill this line",comparador5)</f>
        <v>Pravastatin</v>
      </c>
      <c r="AM122" s="227">
        <f>IFERROR(IF(H106=1,J122,AVERAGEIF(Data!K$110:K$121,"&gt;0",Data!K$110:K$121)),0)</f>
        <v>0</v>
      </c>
      <c r="AN122" s="227">
        <f>IFERROR(IF(H106=1,K122,AVERAGEIF(Data!K$122:K$133,"&gt;0",Data!K$122:K$133)),0)</f>
        <v>0</v>
      </c>
      <c r="AO122" s="227">
        <f>IFERROR(IF(H106=1,L122,AVERAGEIF(Data!K$134:K$145,"&gt;0",Data!K$134:K$145)),0)</f>
        <v>0</v>
      </c>
      <c r="AP122" s="227">
        <f>IFERROR(IF(H106=1,M122,AVERAGEIF(Data!K$146:K$157,"&gt;0",Data!K$146:K$157)),0)</f>
        <v>0</v>
      </c>
      <c r="AQ122" s="9"/>
    </row>
    <row r="123" spans="3:43">
      <c r="C123" s="300" t="str">
        <f>IF(comparador6=0,"Do not fill this line",comparador6)</f>
        <v>Simvastatin 5mg</v>
      </c>
      <c r="D123" s="461"/>
      <c r="E123" s="462"/>
      <c r="F123" s="9"/>
      <c r="G123" s="9"/>
      <c r="H123" s="451" t="str">
        <f>IF(comparador6=0,"Do not fill this line",comparador6)</f>
        <v>Simvastatin 5mg</v>
      </c>
      <c r="I123" s="452"/>
      <c r="J123" s="230"/>
      <c r="K123" s="230"/>
      <c r="L123" s="230"/>
      <c r="M123" s="230"/>
      <c r="N123" s="289"/>
      <c r="O123" s="9"/>
      <c r="P123" s="9"/>
      <c r="Q123" s="300" t="str">
        <f>IF(comparador6=0,"Do not fill this line",comparador6)</f>
        <v>Simvastatin 5mg</v>
      </c>
      <c r="R123" s="227">
        <f t="shared" si="10"/>
        <v>0</v>
      </c>
      <c r="S123" s="227">
        <f t="shared" si="7"/>
        <v>0</v>
      </c>
      <c r="T123" s="227">
        <f t="shared" si="8"/>
        <v>0</v>
      </c>
      <c r="U123" s="227">
        <f t="shared" si="9"/>
        <v>0</v>
      </c>
      <c r="V123" s="11"/>
      <c r="W123" s="9"/>
      <c r="X123" s="223" t="str">
        <f>IF(comparador6=0,"Do not fill this line",comparador6)</f>
        <v>Simvastatin 5mg</v>
      </c>
      <c r="Y123" s="227" t="e">
        <f>1-AVERAGEIF(Data!AT$110:AT$121,"&gt;0",Data!AT$110:AT$121)</f>
        <v>#DIV/0!</v>
      </c>
      <c r="Z123" s="227" t="e">
        <f>1-AVERAGEIF(Data!AT$122:AT$133,"&gt;0",Data!AT$122:AT$133)</f>
        <v>#DIV/0!</v>
      </c>
      <c r="AA123" s="227" t="e">
        <f>1-AVERAGEIF(Data!AT$134:AT$145,"&gt;0",Data!AT$134:AT$145)</f>
        <v>#DIV/0!</v>
      </c>
      <c r="AB123" s="227" t="e">
        <f>1-AVERAGEIF(Data!AT$146:AT$157,"&gt;0",Data!AT$146:AT$157)</f>
        <v>#DIV/0!</v>
      </c>
      <c r="AC123" s="11"/>
      <c r="AD123" s="9"/>
      <c r="AE123" s="223" t="str">
        <f>IF(comparador6=0,"Do not fill this line",comparador6)</f>
        <v>Simvastatin 5mg</v>
      </c>
      <c r="AF123" s="227">
        <f>1-IFERROR(IF(AND($H$106=1,J123=""),1,IF(AND($H$106=1,J123=0),0,IF(AND($H$106=1,J123&gt;0),J123,AVERAGEIF(Data!AB$110:AB$121,"&gt;0",Data!AB$110:AB$121)))),1)</f>
        <v>0</v>
      </c>
      <c r="AG123" s="227">
        <f>1-IFERROR(IF(AND($H$106=1,K123=""),1,IF(AND($H$106=1,K123=0),0,IF(AND($H$106=1,K123&gt;0),K123,AVERAGEIF(Data!AB$122:AB$133,"&gt;0",Data!AB$122:AB$133)))),1)</f>
        <v>0</v>
      </c>
      <c r="AH123" s="227">
        <f>1-IFERROR(IF(AND($H$106=1,L123=""),1,IF(AND($H$106=1,L123=0),0,IF(AND($H$106=1,L123&gt;0),L123,AVERAGEIF(Data!AB$134:AB$145,"&gt;0",Data!AB$134:AB$145)))),1)</f>
        <v>0</v>
      </c>
      <c r="AI123" s="227">
        <f>1-IFERROR(IF(AND($H$106=1,M123=""),1,IF(AND($H$106=1,M123=0),0,IF(AND($H$106=1,M123&gt;0),M123,AVERAGEIF(Data!AB$146:AB$157,"&gt;0",Data!AB$146:AB$157)))),1)</f>
        <v>0</v>
      </c>
      <c r="AJ123" s="9"/>
      <c r="AK123" s="9"/>
      <c r="AL123" s="223" t="str">
        <f>IF(comparador6=0,"Do not fill this line",comparador6)</f>
        <v>Simvastatin 5mg</v>
      </c>
      <c r="AM123" s="227">
        <f>IFERROR(IF(H106=1,J123,AVERAGEIF(Data!L$110:L$121,"&gt;0",Data!L$110:L$121)),0)</f>
        <v>0</v>
      </c>
      <c r="AN123" s="227">
        <f>IFERROR(IF(H106=1,K123,AVERAGEIF(Data!L$122:L$133,"&gt;0",Data!L$122:L$133)),0)</f>
        <v>0</v>
      </c>
      <c r="AO123" s="227">
        <f>IFERROR(IF(H106=1,L123,AVERAGEIF(Data!L$134:L$145,"&gt;0",Data!L$134:L$145)),0)</f>
        <v>0</v>
      </c>
      <c r="AP123" s="227">
        <f>IFERROR(IF(H106=1,M123,AVERAGEIF(Data!L$146:L$157,"&gt;0",Data!L$146:L$157)),0)</f>
        <v>0</v>
      </c>
      <c r="AQ123" s="9"/>
    </row>
    <row r="124" spans="3:43">
      <c r="C124" s="300" t="str">
        <f>IF(comparador7=0,"Do not fill this line",comparador7)</f>
        <v>Simvastatin 10mg</v>
      </c>
      <c r="D124" s="461"/>
      <c r="E124" s="462"/>
      <c r="F124" s="9"/>
      <c r="G124" s="9"/>
      <c r="H124" s="451" t="str">
        <f>IF(comparador7=0,"Do not fill this line",comparador7)</f>
        <v>Simvastatin 10mg</v>
      </c>
      <c r="I124" s="452"/>
      <c r="J124" s="230"/>
      <c r="K124" s="230"/>
      <c r="L124" s="230"/>
      <c r="M124" s="230"/>
      <c r="N124" s="289"/>
      <c r="O124" s="9"/>
      <c r="P124" s="9"/>
      <c r="Q124" s="300" t="str">
        <f>IF(comparador7=0,"Do not fill this line",comparador7)</f>
        <v>Simvastatin 10mg</v>
      </c>
      <c r="R124" s="227">
        <f t="shared" si="10"/>
        <v>0</v>
      </c>
      <c r="S124" s="227">
        <f t="shared" si="7"/>
        <v>0</v>
      </c>
      <c r="T124" s="227">
        <f t="shared" si="8"/>
        <v>0</v>
      </c>
      <c r="U124" s="227">
        <f t="shared" si="9"/>
        <v>0</v>
      </c>
      <c r="V124" s="11"/>
      <c r="W124" s="9"/>
      <c r="X124" s="223" t="str">
        <f>IF(comparador7=0,"Do not fill this line",comparador7)</f>
        <v>Simvastatin 10mg</v>
      </c>
      <c r="Y124" s="227" t="e">
        <f>1-AVERAGEIF(Data!AU$110:AU$121,"&gt;0",Data!AU$110:AU$121)</f>
        <v>#DIV/0!</v>
      </c>
      <c r="Z124" s="227" t="e">
        <f>1-AVERAGEIF(Data!AU$122:AU$133,"&gt;0",Data!AU$122:AU$133)</f>
        <v>#DIV/0!</v>
      </c>
      <c r="AA124" s="227" t="e">
        <f>1-AVERAGEIF(Data!AU$134:AU$145,"&gt;0",Data!AU$134:AU$145)</f>
        <v>#DIV/0!</v>
      </c>
      <c r="AB124" s="227" t="e">
        <f>1-AVERAGEIF(Data!AU$146:AU$157,"&gt;0",Data!AU$146:AU$157)</f>
        <v>#DIV/0!</v>
      </c>
      <c r="AC124" s="11"/>
      <c r="AD124" s="9"/>
      <c r="AE124" s="223" t="str">
        <f>IF(comparador7=0,"Do not fill this line",comparador7)</f>
        <v>Simvastatin 10mg</v>
      </c>
      <c r="AF124" s="227">
        <f>1-IFERROR(IF(AND($H$106=1,J124=""),1,IF(AND($H$106=1,J124=0),0,IF(AND($H$106=1,J124&gt;0),J124,AVERAGEIF(Data!AC$110:AC$121,"&gt;0",Data!AC$110:AC$121)))),1)</f>
        <v>0</v>
      </c>
      <c r="AG124" s="227">
        <f>1-IFERROR(IF(AND($H$106=1,K124=""),1,IF(AND($H$106=1,K124=0),0,IF(AND($H$106=1,K124&gt;0),K124,AVERAGEIF(Data!AC$122:AC$133,"&gt;0",Data!AC$122:AC$133)))),1)</f>
        <v>0</v>
      </c>
      <c r="AH124" s="227">
        <f>1-IFERROR(IF(AND($H$106=1,L124=""),1,IF(AND($H$106=1,L124=0),0,IF(AND($H$106=1,L124&gt;0),L124,AVERAGEIF(Data!AC$134:AC$145,"&gt;0",Data!AC$134:AC$145)))),1)</f>
        <v>0</v>
      </c>
      <c r="AI124" s="227">
        <f>1-IFERROR(IF(AND($H$106=1,M124=""),1,IF(AND($H$106=1,M124=0),0,IF(AND($H$106=1,M124&gt;0),M124,AVERAGEIF(Data!AC$146:AC$157,"&gt;0",Data!AC$146:AC$157)))),1)</f>
        <v>0</v>
      </c>
      <c r="AJ124" s="9"/>
      <c r="AK124" s="9"/>
      <c r="AL124" s="223" t="str">
        <f>IF(comparador7=0,"Do not fill this line",comparador7)</f>
        <v>Simvastatin 10mg</v>
      </c>
      <c r="AM124" s="227">
        <f>IFERROR(IF(H106=1,J124,AVERAGEIF(Data!M$110:M$121,"&gt;0",Data!M$110:M$121)),0)</f>
        <v>0</v>
      </c>
      <c r="AN124" s="227">
        <f>IFERROR(IF(H106=1,K124,AVERAGEIF(Data!M$122:M$133,"&gt;0",Data!M$122:M$133)),0)</f>
        <v>0</v>
      </c>
      <c r="AO124" s="227">
        <f>IFERROR(IF(H106=1,L124,AVERAGEIF(Data!M$134:M$145,"&gt;0",Data!M$134:M$145)),0)</f>
        <v>0</v>
      </c>
      <c r="AP124" s="227">
        <f>IFERROR(IF(H106=1,M124,AVERAGEIF(Data!M$146:M$157,"&gt;0",Data!M$146:M$157)),0)</f>
        <v>0</v>
      </c>
      <c r="AQ124" s="9"/>
    </row>
    <row r="125" spans="3:43">
      <c r="C125" s="300" t="str">
        <f>IF(comparador8=0,"Do not fill this line",comparador8)</f>
        <v>Simvastatin 20mg</v>
      </c>
      <c r="D125" s="461"/>
      <c r="E125" s="462"/>
      <c r="F125" s="9"/>
      <c r="G125" s="9"/>
      <c r="H125" s="451" t="str">
        <f>IF(comparador8=0,"Do not fill this line",comparador8)</f>
        <v>Simvastatin 20mg</v>
      </c>
      <c r="I125" s="452"/>
      <c r="J125" s="230"/>
      <c r="K125" s="230"/>
      <c r="L125" s="230"/>
      <c r="M125" s="230"/>
      <c r="N125" s="289"/>
      <c r="O125" s="9"/>
      <c r="P125" s="9"/>
      <c r="Q125" s="300" t="str">
        <f>IF(comparador8=0,"Do not fill this line",comparador8)</f>
        <v>Simvastatin 20mg</v>
      </c>
      <c r="R125" s="227">
        <f t="shared" si="10"/>
        <v>0</v>
      </c>
      <c r="S125" s="227">
        <f t="shared" si="7"/>
        <v>0</v>
      </c>
      <c r="T125" s="227">
        <f t="shared" si="8"/>
        <v>0</v>
      </c>
      <c r="U125" s="227">
        <f t="shared" si="9"/>
        <v>0</v>
      </c>
      <c r="V125" s="11"/>
      <c r="W125" s="9"/>
      <c r="X125" s="223" t="str">
        <f>IF(comparador8=0,"Do not fill this line",comparador8)</f>
        <v>Simvastatin 20mg</v>
      </c>
      <c r="Y125" s="227" t="e">
        <f>1-AVERAGEIF(Data!AV$110:AV$121,"&gt;0",Data!AV$110:AV$121)</f>
        <v>#DIV/0!</v>
      </c>
      <c r="Z125" s="227" t="e">
        <f>1-AVERAGEIF(Data!AV$122:AV$133,"&gt;0",Data!AV$122:AV$133)</f>
        <v>#DIV/0!</v>
      </c>
      <c r="AA125" s="227" t="e">
        <f>1-AVERAGEIF(Data!AV$134:AV$145,"&gt;0",Data!AV$134:AV$145)</f>
        <v>#DIV/0!</v>
      </c>
      <c r="AB125" s="227" t="e">
        <f>1-AVERAGEIF(Data!AV$146:AV$157,"&gt;0",Data!AV$146:AV$157)</f>
        <v>#DIV/0!</v>
      </c>
      <c r="AC125" s="11"/>
      <c r="AD125" s="9"/>
      <c r="AE125" s="223" t="str">
        <f>IF(comparador8=0,"Do not fill this line",comparador8)</f>
        <v>Simvastatin 20mg</v>
      </c>
      <c r="AF125" s="227">
        <f>1-IFERROR(IF(AND($H$106=1,J125=""),1,IF(AND($H$106=1,J125=0),0,IF(AND($H$106=1,J125&gt;0),J125,AVERAGEIF(Data!AD$110:AD$121,"&gt;0",Data!AD$110:AD$121)))),1)</f>
        <v>0</v>
      </c>
      <c r="AG125" s="227">
        <f>1-IFERROR(IF(AND($H$106=1,K125=""),1,IF(AND($H$106=1,K125=0),0,IF(AND($H$106=1,K125&gt;0),K125,AVERAGEIF(Data!AD$122:AD$133,"&gt;0",Data!AD$122:AD$133)))),1)</f>
        <v>0</v>
      </c>
      <c r="AH125" s="227">
        <f>1-IFERROR(IF(AND($H$106=1,L125=""),1,IF(AND($H$106=1,L125=0),0,IF(AND($H$106=1,L125&gt;0),L125,AVERAGEIF(Data!AD$134:AD$145,"&gt;0",Data!AD$134:AD$145)))),1)</f>
        <v>0</v>
      </c>
      <c r="AI125" s="227">
        <f>1-IFERROR(IF(AND($H$106=1,M125=""),1,IF(AND($H$106=1,M125=0),0,IF(AND($H$106=1,M125&gt;0),M125,AVERAGEIF(Data!AD$146:AD$157,"&gt;0",Data!AD$146:AD$157)))),1)</f>
        <v>0</v>
      </c>
      <c r="AJ125" s="9"/>
      <c r="AK125" s="9"/>
      <c r="AL125" s="223" t="str">
        <f>IF(comparador8=0,"Do not fill this line",comparador8)</f>
        <v>Simvastatin 20mg</v>
      </c>
      <c r="AM125" s="227">
        <f>IFERROR(IF(H106=1,J125,AVERAGEIF(Data!N$110:N$121,"&gt;0",Data!N$110:N$121)),0)</f>
        <v>0</v>
      </c>
      <c r="AN125" s="227">
        <f>IFERROR(IF(H106=1,K125,AVERAGEIF(Data!N$122:N$133,"&gt;0",Data!N$122:N$133)),0)</f>
        <v>0</v>
      </c>
      <c r="AO125" s="227">
        <f>IFERROR(IF(H106=1,L125,AVERAGEIF(Data!N$134:N$145,"&gt;0",Data!N$134:N$145)),0)</f>
        <v>0</v>
      </c>
      <c r="AP125" s="227">
        <f>IFERROR(IF(H106=1,M125,AVERAGEIF(Data!N$146:N$157,"&gt;0",Data!N$146:N$157)),0)</f>
        <v>0</v>
      </c>
      <c r="AQ125" s="9"/>
    </row>
    <row r="126" spans="3:43">
      <c r="C126" s="300" t="str">
        <f>IF(comparador9=0,"Do not fill this line",comparador9)</f>
        <v>Simvastatin 40mg</v>
      </c>
      <c r="D126" s="461"/>
      <c r="E126" s="462"/>
      <c r="F126" s="9"/>
      <c r="G126" s="9"/>
      <c r="H126" s="451" t="str">
        <f>IF(comparador9=0,"Do not fill this line",comparador9)</f>
        <v>Simvastatin 40mg</v>
      </c>
      <c r="I126" s="452"/>
      <c r="J126" s="230"/>
      <c r="K126" s="230"/>
      <c r="L126" s="230"/>
      <c r="M126" s="230"/>
      <c r="N126" s="289"/>
      <c r="O126" s="9"/>
      <c r="P126" s="9"/>
      <c r="Q126" s="300" t="str">
        <f>IF(comparador9=0,"Do not fill this line",comparador9)</f>
        <v>Simvastatin 40mg</v>
      </c>
      <c r="R126" s="227">
        <f t="shared" si="10"/>
        <v>0</v>
      </c>
      <c r="S126" s="227">
        <f t="shared" si="7"/>
        <v>0</v>
      </c>
      <c r="T126" s="227">
        <f t="shared" si="8"/>
        <v>0</v>
      </c>
      <c r="U126" s="227">
        <f t="shared" si="9"/>
        <v>0</v>
      </c>
      <c r="V126" s="11"/>
      <c r="W126" s="9"/>
      <c r="X126" s="223" t="str">
        <f>IF(comparador9=0,"Do not fill this line",comparador9)</f>
        <v>Simvastatin 40mg</v>
      </c>
      <c r="Y126" s="227" t="e">
        <f>1-AVERAGEIF(Data!AW$110:AW$121,"&gt;0",Data!AW$110:AW$121)</f>
        <v>#DIV/0!</v>
      </c>
      <c r="Z126" s="227" t="e">
        <f>1-AVERAGEIF(Data!AW$122:AW$133,"&gt;0",Data!AW$122:AW$133)</f>
        <v>#DIV/0!</v>
      </c>
      <c r="AA126" s="227" t="e">
        <f>1-AVERAGEIF(Data!AW$134:AW$145,"&gt;0",Data!AW$134:AW$145)</f>
        <v>#DIV/0!</v>
      </c>
      <c r="AB126" s="227" t="e">
        <f>1-AVERAGEIF(Data!AW$146:AW$157,"&gt;0",Data!AW$146:AW$157)</f>
        <v>#DIV/0!</v>
      </c>
      <c r="AC126" s="11"/>
      <c r="AD126" s="9"/>
      <c r="AE126" s="223" t="str">
        <f>IF(comparador9=0,"Do not fill this line",comparador9)</f>
        <v>Simvastatin 40mg</v>
      </c>
      <c r="AF126" s="227">
        <f>1-IFERROR(IF(AND($H$106=1,J126=""),1,IF(AND($H$106=1,J126=0),0,IF(AND($H$106=1,J126&gt;0),J126,AVERAGEIF(Data!AE$110:AE$121,"&gt;0",Data!AE$110:AE$121)))),1)</f>
        <v>0</v>
      </c>
      <c r="AG126" s="227">
        <f>1-IFERROR(IF(AND($H$106=1,K126=""),1,IF(AND($H$106=1,K126=0),0,IF(AND($H$106=1,K126&gt;0),K126,AVERAGEIF(Data!AE$122:AE$133,"&gt;0",Data!AE$122:AE$133)))),1)</f>
        <v>0</v>
      </c>
      <c r="AH126" s="227">
        <f>1-IFERROR(IF(AND($H$106=1,L126=""),1,IF(AND($H$106=1,L126=0),0,IF(AND($H$106=1,L126&gt;0),L126,AVERAGEIF(Data!AE$134:AE$145,"&gt;0",Data!AE$134:AE$145)))),1)</f>
        <v>0</v>
      </c>
      <c r="AI126" s="227">
        <f>1-IFERROR(IF(AND($H$106=1,M126=""),1,IF(AND($H$106=1,M126=0),0,IF(AND($H$106=1,M126&gt;0),M126,AVERAGEIF(Data!AE$146:AE$157,"&gt;0",Data!AE$146:AE$157)))),1)</f>
        <v>0</v>
      </c>
      <c r="AJ126" s="9"/>
      <c r="AK126" s="9"/>
      <c r="AL126" s="223" t="str">
        <f>IF(comparador9=0,"Do not fill this line",comparador9)</f>
        <v>Simvastatin 40mg</v>
      </c>
      <c r="AM126" s="227">
        <f>IFERROR(IF(H106=1,J126,AVERAGEIF(Data!O$110:O$121,"&gt;0",Data!O$110:O$121)),0)</f>
        <v>0</v>
      </c>
      <c r="AN126" s="227">
        <f>IFERROR(IF(H106=1,K126,AVERAGEIF(Data!O$122:O$133,"&gt;0",Data!O$122:O$133)),0)</f>
        <v>0</v>
      </c>
      <c r="AO126" s="227">
        <f>IFERROR(IF(H106=1,L126,AVERAGEIF(Data!O$134:O$145,"&gt;0",Data!O$134:O$145)),0)</f>
        <v>0</v>
      </c>
      <c r="AP126" s="227">
        <f>IFERROR(IF(H106=1,M126,AVERAGEIF(Data!O$146:O$157,"&gt;0",Data!O$146:O$157)),0)</f>
        <v>0</v>
      </c>
      <c r="AQ126" s="9"/>
    </row>
    <row r="127" spans="3:43">
      <c r="C127" s="300" t="str">
        <f>IF(comparador10=0,"Do not fill this line",comparador10)</f>
        <v>Do not fill this line</v>
      </c>
      <c r="D127" s="461"/>
      <c r="E127" s="462"/>
      <c r="F127" s="9"/>
      <c r="G127" s="9"/>
      <c r="H127" s="451" t="str">
        <f>IF(comparador10=0,"Do not fill this line",comparador10)</f>
        <v>Do not fill this line</v>
      </c>
      <c r="I127" s="452"/>
      <c r="J127" s="230"/>
      <c r="K127" s="230"/>
      <c r="L127" s="230"/>
      <c r="M127" s="230"/>
      <c r="N127" s="289"/>
      <c r="O127" s="9"/>
      <c r="P127" s="9"/>
      <c r="Q127" s="300" t="str">
        <f>IF(comparador10=0,"Do not fill this line",comparador10)</f>
        <v>Do not fill this line</v>
      </c>
      <c r="R127" s="227">
        <f>IFERROR(IF(AND(obito=1,$H$102=1),Y127,IF(AND(obito=1,$H$102=2),AM127,IF(AND(obito=1,$H$102=3),AF127,0))),0)</f>
        <v>0</v>
      </c>
      <c r="S127" s="227">
        <f t="shared" si="7"/>
        <v>0</v>
      </c>
      <c r="T127" s="227">
        <f t="shared" si="8"/>
        <v>0</v>
      </c>
      <c r="U127" s="227">
        <f t="shared" si="9"/>
        <v>0</v>
      </c>
      <c r="V127" s="11"/>
      <c r="W127" s="9"/>
      <c r="X127" s="223" t="str">
        <f>IF(comparador10=0,"Do not fill this line",comparador10)</f>
        <v>Do not fill this line</v>
      </c>
      <c r="Y127" s="227" t="e">
        <f>1-AVERAGEIF(Data!AX$110:AX$121,"&gt;0",Data!AX$110:AX$121)</f>
        <v>#DIV/0!</v>
      </c>
      <c r="Z127" s="227" t="e">
        <f>1-AVERAGEIF(Data!AX$122:AX$133,"&gt;0",Data!AX$122:AX$133)</f>
        <v>#DIV/0!</v>
      </c>
      <c r="AA127" s="227" t="e">
        <f>1-AVERAGEIF(Data!AX$134:AX$145,"&gt;0",Data!AX$134:AX$145)</f>
        <v>#DIV/0!</v>
      </c>
      <c r="AB127" s="227" t="e">
        <f>1-AVERAGEIF(Data!AX$146:AX$157,"&gt;0",Data!AX$146:AX$157)</f>
        <v>#DIV/0!</v>
      </c>
      <c r="AC127" s="11"/>
      <c r="AD127" s="9"/>
      <c r="AE127" s="223" t="str">
        <f>IF(comparador10=0,"Do not fill this line",comparador10)</f>
        <v>Do not fill this line</v>
      </c>
      <c r="AF127" s="227">
        <f>1-IFERROR(IF(AND($H$106=1,J127=""),1,IF(AND($H$106=1,J127=0),0,IF(AND($H$106=1,J127&gt;0),J127,AVERAGEIF(Data!AF$110:AF$121,"&gt;0",Data!AF$110:AF$121)))),1)</f>
        <v>0</v>
      </c>
      <c r="AG127" s="227">
        <f>1-IFERROR(IF(AND($H$106=1,K127=""),1,IF(AND($H$106=1,K127=0),0,IF(AND($H$106=1,K127&gt;0),K127,AVERAGEIF(Data!AF$122:AF$133,"&gt;0",Data!AF$122:AF$133)))),1)</f>
        <v>0</v>
      </c>
      <c r="AH127" s="227">
        <f>1-IFERROR(IF(AND($H$106=1,L127=""),1,IF(AND($H$106=1,L127=0),0,IF(AND($H$106=1,L127&gt;0),L127,AVERAGEIF(Data!AF$134:AF$145,"&gt;0",Data!AF$134:AF$145)))),1)</f>
        <v>0</v>
      </c>
      <c r="AI127" s="227">
        <f>1-IFERROR(IF(AND($H$106=1,M127=""),1,IF(AND($H$106=1,M127=0),0,IF(AND($H$106=1,M127&gt;0),M127,AVERAGEIF(Data!AF$146:AF$157,"&gt;0",Data!AF$146:AF$157)))),1)</f>
        <v>0</v>
      </c>
      <c r="AJ127" s="9"/>
      <c r="AK127" s="9"/>
      <c r="AL127" s="223" t="str">
        <f>IF(comparador10=0,"Do not fill this line",comparador10)</f>
        <v>Do not fill this line</v>
      </c>
      <c r="AM127" s="227">
        <f>IFERROR(IF(H106=1,J127,AVERAGEIF(Data!P$110:P$121,"&gt;0",Data!P$110:P$121)),0)</f>
        <v>0</v>
      </c>
      <c r="AN127" s="227">
        <f>IFERROR(IF(H106=1,K127,AVERAGEIF(Data!P$122:P$133,"&gt;0",Data!P$122:P$133)),0)</f>
        <v>0</v>
      </c>
      <c r="AO127" s="227">
        <f>IFERROR(IF(H106=1,L127,AVERAGEIF(Data!P$134:P$145,"&gt;0",Data!P$134:P$145)),0)</f>
        <v>0</v>
      </c>
      <c r="AP127" s="227">
        <f>IFERROR(IF(H106=1,M127,AVERAGEIF(Data!P$146:P$157,"&gt;0",Data!P$146:P$157)),0)</f>
        <v>0</v>
      </c>
      <c r="AQ127" s="9"/>
    </row>
    <row r="128" spans="3:43">
      <c r="C128" s="2"/>
      <c r="D128" s="7"/>
      <c r="E128" s="7"/>
      <c r="F128" s="7"/>
      <c r="G128" s="7"/>
      <c r="H128" s="7"/>
      <c r="I128" s="9"/>
      <c r="J128" s="7"/>
      <c r="K128" s="7"/>
      <c r="L128" s="7"/>
      <c r="M128" s="7"/>
      <c r="N128" s="289"/>
      <c r="O128" s="9"/>
      <c r="P128" s="9"/>
      <c r="Q128" s="11"/>
      <c r="R128" s="11"/>
      <c r="S128" s="11"/>
      <c r="T128" s="11"/>
      <c r="U128" s="11"/>
      <c r="V128" s="11"/>
      <c r="W128" s="9"/>
      <c r="X128" s="11"/>
      <c r="Y128" s="11"/>
      <c r="Z128" s="11"/>
      <c r="AA128" s="11"/>
      <c r="AB128" s="11"/>
      <c r="AC128" s="11"/>
      <c r="AD128" s="9"/>
      <c r="AE128" s="11"/>
      <c r="AF128" s="9"/>
      <c r="AG128" s="9"/>
      <c r="AH128" s="9"/>
      <c r="AI128" s="9"/>
      <c r="AJ128" s="9"/>
      <c r="AK128" s="9"/>
      <c r="AL128" s="9"/>
      <c r="AM128" s="9"/>
      <c r="AN128" s="9"/>
      <c r="AO128" s="9"/>
      <c r="AP128" s="9"/>
      <c r="AQ128" s="9"/>
    </row>
    <row r="129" spans="2:31">
      <c r="C129" s="2"/>
      <c r="D129" s="7"/>
      <c r="E129" s="7"/>
      <c r="F129" s="7"/>
      <c r="G129" s="7"/>
      <c r="H129" s="7"/>
      <c r="I129" s="7"/>
      <c r="J129" s="7"/>
      <c r="K129" s="7"/>
      <c r="L129" s="7"/>
      <c r="M129" s="289"/>
      <c r="N129" s="289"/>
      <c r="O129" s="9"/>
      <c r="P129" s="9"/>
      <c r="Q129" s="11"/>
      <c r="R129" s="11"/>
      <c r="S129" s="11"/>
      <c r="T129" s="11"/>
      <c r="U129" s="11"/>
    </row>
    <row r="130" spans="2:31">
      <c r="C130" s="7"/>
      <c r="D130" s="7"/>
      <c r="E130" s="7"/>
      <c r="F130" s="7"/>
      <c r="G130" s="7"/>
      <c r="H130" s="7"/>
      <c r="I130" s="7"/>
      <c r="J130" s="7"/>
      <c r="K130" s="7"/>
      <c r="L130" s="7"/>
      <c r="M130" s="289"/>
      <c r="N130" s="289"/>
      <c r="O130" s="306"/>
      <c r="P130" s="9"/>
      <c r="Q130" s="11"/>
      <c r="R130" s="11"/>
      <c r="S130" s="11"/>
      <c r="T130" s="11"/>
      <c r="U130" s="11"/>
    </row>
    <row r="131" spans="2:31">
      <c r="C131" s="7"/>
      <c r="D131" s="7"/>
      <c r="E131" s="7"/>
      <c r="F131" s="7"/>
      <c r="G131" s="7"/>
      <c r="H131" s="7"/>
      <c r="I131" s="7"/>
      <c r="J131" s="7"/>
      <c r="K131" s="7"/>
      <c r="L131" s="7"/>
      <c r="M131" s="289"/>
      <c r="N131" s="289"/>
      <c r="O131" s="306"/>
      <c r="P131" s="9"/>
      <c r="Q131" s="11"/>
      <c r="R131" s="11"/>
      <c r="S131" s="11"/>
      <c r="T131" s="11"/>
      <c r="U131" s="11"/>
    </row>
    <row r="132" spans="2:31">
      <c r="C132" s="9"/>
      <c r="D132" s="9"/>
      <c r="E132" s="9"/>
      <c r="F132" s="9"/>
      <c r="G132" s="9"/>
      <c r="H132" s="9"/>
      <c r="I132" s="7"/>
      <c r="J132" s="7"/>
      <c r="K132" s="7"/>
      <c r="L132" s="7"/>
      <c r="O132" s="9"/>
      <c r="P132" s="9"/>
      <c r="Q132" s="11"/>
      <c r="R132" s="11"/>
      <c r="S132" s="11"/>
      <c r="T132" s="11"/>
      <c r="U132" s="11"/>
    </row>
    <row r="137" spans="2:31">
      <c r="C137" s="7"/>
      <c r="D137" s="7"/>
      <c r="E137" s="7"/>
      <c r="F137" s="7"/>
      <c r="G137" s="7"/>
      <c r="H137" s="7"/>
      <c r="I137" s="7"/>
      <c r="J137" s="7"/>
      <c r="K137" s="7"/>
      <c r="L137" s="7"/>
      <c r="M137" s="142"/>
      <c r="N137" s="142"/>
    </row>
    <row r="138" spans="2:31">
      <c r="C138" s="65"/>
      <c r="D138" s="65"/>
      <c r="E138" s="65"/>
      <c r="F138" s="65"/>
      <c r="G138" s="65"/>
      <c r="H138" s="65"/>
      <c r="I138" s="65"/>
      <c r="J138" s="65"/>
      <c r="K138" s="65"/>
      <c r="L138" s="65"/>
      <c r="M138" s="65"/>
      <c r="N138" s="65"/>
    </row>
    <row r="139" spans="2:31">
      <c r="C139" s="406" t="s">
        <v>224</v>
      </c>
      <c r="D139" s="406"/>
      <c r="E139" s="406"/>
      <c r="F139" s="406"/>
      <c r="G139" s="406"/>
      <c r="H139" s="406"/>
      <c r="I139" s="406"/>
      <c r="J139" s="406"/>
      <c r="K139" s="406"/>
      <c r="L139" s="406"/>
      <c r="M139" s="406"/>
      <c r="N139" s="406"/>
    </row>
    <row r="140" spans="2:31">
      <c r="C140" s="406"/>
      <c r="D140" s="406"/>
      <c r="E140" s="406"/>
      <c r="F140" s="406"/>
      <c r="G140" s="406"/>
      <c r="H140" s="406"/>
      <c r="I140" s="406"/>
      <c r="J140" s="406"/>
      <c r="K140" s="406"/>
      <c r="L140" s="406"/>
      <c r="M140" s="406"/>
      <c r="N140" s="406"/>
    </row>
    <row r="141" spans="2:31" ht="85.95" customHeight="1">
      <c r="B141" s="405" t="e" vm="1">
        <v>#VALUE!</v>
      </c>
      <c r="C141" s="405"/>
      <c r="D141" s="405"/>
      <c r="E141" s="405"/>
      <c r="F141" s="405"/>
      <c r="G141" s="405"/>
      <c r="H141" s="405"/>
      <c r="I141" s="405"/>
      <c r="J141" s="405"/>
      <c r="K141" s="405"/>
      <c r="L141" s="405"/>
      <c r="M141" s="405"/>
      <c r="N141" s="3"/>
      <c r="Q141" s="3"/>
      <c r="R141" s="3"/>
      <c r="S141" s="3"/>
      <c r="T141" s="3"/>
      <c r="U141" s="3"/>
      <c r="V141" s="3"/>
      <c r="X141" s="3"/>
      <c r="Y141" s="3"/>
      <c r="Z141" s="3"/>
      <c r="AA141" s="3"/>
      <c r="AB141" s="3"/>
      <c r="AC141" s="3"/>
      <c r="AE141" s="3"/>
    </row>
  </sheetData>
  <sheetProtection algorithmName="SHA-512" hashValue="zqyH7KwBFoU5dVct2o/MFt8+B4uVQeh/UzyYRoexg2TgaCiEiUD8jqVprfIgXcZLA7FaLWpPdegtdduXW6W3Jg==" saltValue="Upu5T8upEvER9QWUzQ7fNA==" spinCount="100000" sheet="1" scenarios="1" formatCells="0" formatColumns="0" formatRows="0"/>
  <mergeCells count="104">
    <mergeCell ref="AL61:AP62"/>
    <mergeCell ref="Q61:U62"/>
    <mergeCell ref="H63:I64"/>
    <mergeCell ref="H69:I69"/>
    <mergeCell ref="H65:I65"/>
    <mergeCell ref="X61:AB62"/>
    <mergeCell ref="AE63:AE64"/>
    <mergeCell ref="I54:I55"/>
    <mergeCell ref="K54:M54"/>
    <mergeCell ref="J69:M69"/>
    <mergeCell ref="J64:M64"/>
    <mergeCell ref="J117:M117"/>
    <mergeCell ref="J112:M112"/>
    <mergeCell ref="H111:I112"/>
    <mergeCell ref="H113:I113"/>
    <mergeCell ref="H114:I114"/>
    <mergeCell ref="Q109:U110"/>
    <mergeCell ref="H77:I77"/>
    <mergeCell ref="H78:I78"/>
    <mergeCell ref="H79:I79"/>
    <mergeCell ref="C81:H83"/>
    <mergeCell ref="H73:I73"/>
    <mergeCell ref="H74:I74"/>
    <mergeCell ref="H75:I75"/>
    <mergeCell ref="H66:I66"/>
    <mergeCell ref="H67:I67"/>
    <mergeCell ref="H68:I68"/>
    <mergeCell ref="H70:I70"/>
    <mergeCell ref="H71:I71"/>
    <mergeCell ref="H72:I72"/>
    <mergeCell ref="C54:C55"/>
    <mergeCell ref="C40:C41"/>
    <mergeCell ref="D69:E69"/>
    <mergeCell ref="D65:E65"/>
    <mergeCell ref="D66:E66"/>
    <mergeCell ref="D67:E67"/>
    <mergeCell ref="D68:E68"/>
    <mergeCell ref="E40:G40"/>
    <mergeCell ref="C58:C59"/>
    <mergeCell ref="E58:G58"/>
    <mergeCell ref="C63:C64"/>
    <mergeCell ref="E54:G54"/>
    <mergeCell ref="D63:E64"/>
    <mergeCell ref="D72:E72"/>
    <mergeCell ref="Q63:Q64"/>
    <mergeCell ref="X63:X64"/>
    <mergeCell ref="AE61:AI62"/>
    <mergeCell ref="C106:C107"/>
    <mergeCell ref="E106:G106"/>
    <mergeCell ref="D114:E114"/>
    <mergeCell ref="C91:C92"/>
    <mergeCell ref="E91:G91"/>
    <mergeCell ref="C102:C103"/>
    <mergeCell ref="E102:G102"/>
    <mergeCell ref="D78:E78"/>
    <mergeCell ref="D79:E79"/>
    <mergeCell ref="C111:C112"/>
    <mergeCell ref="D111:E112"/>
    <mergeCell ref="D113:E113"/>
    <mergeCell ref="D73:E73"/>
    <mergeCell ref="D74:E74"/>
    <mergeCell ref="D75:E75"/>
    <mergeCell ref="D76:E76"/>
    <mergeCell ref="D77:E77"/>
    <mergeCell ref="D70:E70"/>
    <mergeCell ref="D71:E71"/>
    <mergeCell ref="H76:I76"/>
    <mergeCell ref="D125:E125"/>
    <mergeCell ref="D126:E126"/>
    <mergeCell ref="D127:E127"/>
    <mergeCell ref="D120:E120"/>
    <mergeCell ref="D121:E121"/>
    <mergeCell ref="D122:E122"/>
    <mergeCell ref="D123:E123"/>
    <mergeCell ref="D124:E124"/>
    <mergeCell ref="D115:E115"/>
    <mergeCell ref="D116:E116"/>
    <mergeCell ref="D117:E117"/>
    <mergeCell ref="D118:E118"/>
    <mergeCell ref="D119:E119"/>
    <mergeCell ref="C10:H10"/>
    <mergeCell ref="C17:H17"/>
    <mergeCell ref="C139:N140"/>
    <mergeCell ref="B141:M141"/>
    <mergeCell ref="X111:X112"/>
    <mergeCell ref="AE111:AE112"/>
    <mergeCell ref="AL111:AL112"/>
    <mergeCell ref="H126:I126"/>
    <mergeCell ref="H127:I127"/>
    <mergeCell ref="X109:AB110"/>
    <mergeCell ref="AE109:AI110"/>
    <mergeCell ref="AL109:AP110"/>
    <mergeCell ref="H117:I117"/>
    <mergeCell ref="Q111:Q112"/>
    <mergeCell ref="H121:I121"/>
    <mergeCell ref="H122:I122"/>
    <mergeCell ref="H123:I123"/>
    <mergeCell ref="H124:I124"/>
    <mergeCell ref="H125:I125"/>
    <mergeCell ref="H115:I115"/>
    <mergeCell ref="H116:I116"/>
    <mergeCell ref="H118:I118"/>
    <mergeCell ref="H119:I119"/>
    <mergeCell ref="H120:I120"/>
  </mergeCells>
  <phoneticPr fontId="2" type="noConversion"/>
  <conditionalFormatting sqref="D28:H28">
    <cfRule type="expression" dxfId="39" priority="45" stopIfTrue="1">
      <formula>$C28="Do not fill this line"</formula>
    </cfRule>
  </conditionalFormatting>
  <conditionalFormatting sqref="C110:E127">
    <cfRule type="expression" dxfId="38" priority="27">
      <formula>$H$102&gt;1</formula>
    </cfRule>
  </conditionalFormatting>
  <conditionalFormatting sqref="H110:N128">
    <cfRule type="expression" dxfId="37" priority="22">
      <formula>$H$102=1</formula>
    </cfRule>
  </conditionalFormatting>
  <conditionalFormatting sqref="B61:F80">
    <cfRule type="expression" dxfId="36" priority="30">
      <formula>OR(uso=2,uso=3)</formula>
    </cfRule>
  </conditionalFormatting>
  <conditionalFormatting sqref="G62:N64 G69:N69 G65:I68 N65:N68 G80:N80 G70:I79 N70:N79">
    <cfRule type="expression" dxfId="35" priority="14">
      <formula>IF($H$58=2,TRUE,FALSE)</formula>
    </cfRule>
    <cfRule type="expression" dxfId="34" priority="15" stopIfTrue="1">
      <formula>OR(uso=1,uso=4)</formula>
    </cfRule>
  </conditionalFormatting>
  <conditionalFormatting sqref="C105:I108">
    <cfRule type="expression" dxfId="33" priority="40">
      <formula>IF($H$102=1,TRUE,FALSE)</formula>
    </cfRule>
  </conditionalFormatting>
  <conditionalFormatting sqref="C101:N129">
    <cfRule type="expression" dxfId="32" priority="20">
      <formula>IF($H$91=2,TRUE,FALSE)</formula>
    </cfRule>
  </conditionalFormatting>
  <conditionalFormatting sqref="C69:M69 C65:I68 C80:M80 C70:I79 C58:M64 C54:J57 L55:M57 C52:M53">
    <cfRule type="expression" dxfId="31" priority="12">
      <formula>IF($H$40=2,TRUE,FALSE)</formula>
    </cfRule>
  </conditionalFormatting>
  <conditionalFormatting sqref="C57:I61">
    <cfRule type="expression" dxfId="30" priority="37">
      <formula>IF(OR(uso=1,uso=4),TRUE,FALSE)</formula>
    </cfRule>
  </conditionalFormatting>
  <conditionalFormatting sqref="G109:N129">
    <cfRule type="expression" dxfId="29" priority="21">
      <formula>IF($H$106=2,TRUE,FALSE)</formula>
    </cfRule>
  </conditionalFormatting>
  <conditionalFormatting sqref="D67:E67">
    <cfRule type="expression" dxfId="28" priority="42">
      <formula>IF(C67="Do not fill this line",TRUE,FALSE)</formula>
    </cfRule>
  </conditionalFormatting>
  <conditionalFormatting sqref="D68:E68">
    <cfRule type="expression" dxfId="27" priority="38">
      <formula>IF(C68="Do not fill this line",TRUE,FALSE)</formula>
    </cfRule>
  </conditionalFormatting>
  <conditionalFormatting sqref="D68:E68">
    <cfRule type="expression" dxfId="26" priority="34">
      <formula>IF(C68="Do not fill this line",TRUE,FALSE)</formula>
    </cfRule>
  </conditionalFormatting>
  <conditionalFormatting sqref="D70:E79">
    <cfRule type="expression" dxfId="25" priority="33">
      <formula>IF(C70="Do not fill this line",TRUE,FALSE)</formula>
    </cfRule>
  </conditionalFormatting>
  <conditionalFormatting sqref="D70:E79">
    <cfRule type="expression" dxfId="24" priority="32">
      <formula>IF(C70="Do not fill this line",TRUE,FALSE)</formula>
    </cfRule>
  </conditionalFormatting>
  <conditionalFormatting sqref="D113:E113">
    <cfRule type="expression" dxfId="23" priority="44">
      <formula>IF(C113="Do not fill this line",TRUE,FALSE)</formula>
    </cfRule>
  </conditionalFormatting>
  <conditionalFormatting sqref="D114:E116">
    <cfRule type="expression" dxfId="22" priority="39">
      <formula>IF(C114="Do not fill this line",TRUE,FALSE)</formula>
    </cfRule>
  </conditionalFormatting>
  <conditionalFormatting sqref="D118:E127">
    <cfRule type="expression" dxfId="21" priority="29">
      <formula>IF(C118="Do not fill this line",TRUE,FALSE)</formula>
    </cfRule>
  </conditionalFormatting>
  <conditionalFormatting sqref="J113:M116">
    <cfRule type="expression" dxfId="20" priority="43">
      <formula>IF($H113="Do not fill this line",TRUE,FALSE)</formula>
    </cfRule>
  </conditionalFormatting>
  <conditionalFormatting sqref="J114:M114">
    <cfRule type="expression" dxfId="19" priority="35">
      <formula>IF(H114="Do not fill this line",TRUE,FALSE)</formula>
    </cfRule>
  </conditionalFormatting>
  <conditionalFormatting sqref="J115:M115">
    <cfRule type="expression" dxfId="18" priority="28">
      <formula>IF(H115="Do not fill this line",TRUE,FALSE)</formula>
    </cfRule>
  </conditionalFormatting>
  <conditionalFormatting sqref="J116:M116">
    <cfRule type="expression" dxfId="17" priority="26">
      <formula>IF(H116="Do not fill this line",TRUE,FALSE)</formula>
    </cfRule>
  </conditionalFormatting>
  <conditionalFormatting sqref="J118:J127">
    <cfRule type="expression" dxfId="16" priority="25">
      <formula>IF(H118="Do not fill this line",TRUE,FALSE)</formula>
    </cfRule>
  </conditionalFormatting>
  <conditionalFormatting sqref="J118:M127">
    <cfRule type="expression" dxfId="15" priority="24">
      <formula>IF($H118="Do not fill this line",TRUE,FALSE)</formula>
    </cfRule>
  </conditionalFormatting>
  <conditionalFormatting sqref="J118:M127">
    <cfRule type="expression" dxfId="14" priority="23">
      <formula>IF(H118="Do not fill this line",TRUE,FALSE)</formula>
    </cfRule>
  </conditionalFormatting>
  <conditionalFormatting sqref="J65:M68">
    <cfRule type="expression" dxfId="13" priority="41">
      <formula>IF(H65="Do not fill this line",TRUE,FALSE)</formula>
    </cfRule>
  </conditionalFormatting>
  <conditionalFormatting sqref="J65:M68">
    <cfRule type="expression" dxfId="12" priority="36">
      <formula>IF($H65="Do not fill this line",TRUE,FALSE)</formula>
    </cfRule>
  </conditionalFormatting>
  <conditionalFormatting sqref="J65:M68">
    <cfRule type="expression" dxfId="11" priority="31">
      <formula>IF(H65="Do not fill this line",TRUE,FALSE)</formula>
    </cfRule>
  </conditionalFormatting>
  <conditionalFormatting sqref="J70:M79">
    <cfRule type="expression" dxfId="10" priority="19">
      <formula>IF(H70="Do not fill this line",TRUE,FALSE)</formula>
    </cfRule>
  </conditionalFormatting>
  <conditionalFormatting sqref="J70:M79">
    <cfRule type="expression" dxfId="9" priority="18">
      <formula>IF($H70="Do not fill this line",TRUE,FALSE)</formula>
    </cfRule>
  </conditionalFormatting>
  <conditionalFormatting sqref="J70:M79">
    <cfRule type="expression" dxfId="8" priority="17">
      <formula>IF(H70="Do not fill this line",TRUE,FALSE)</formula>
    </cfRule>
  </conditionalFormatting>
  <conditionalFormatting sqref="J65:M79">
    <cfRule type="expression" dxfId="7" priority="5">
      <formula>$H$58=2</formula>
    </cfRule>
    <cfRule type="expression" dxfId="6" priority="6">
      <formula>OR(uso=1,uso=4)</formula>
    </cfRule>
    <cfRule type="expression" dxfId="5" priority="7">
      <formula>$H$40=2</formula>
    </cfRule>
  </conditionalFormatting>
  <conditionalFormatting sqref="C81">
    <cfRule type="expression" dxfId="4" priority="4">
      <formula>OR(uso=2,uso=3)</formula>
    </cfRule>
  </conditionalFormatting>
  <conditionalFormatting sqref="C81">
    <cfRule type="expression" dxfId="3" priority="3">
      <formula>IF($H$40=2,TRUE,FALSE)</formula>
    </cfRule>
  </conditionalFormatting>
  <conditionalFormatting sqref="D12:H15">
    <cfRule type="expression" dxfId="2" priority="2" stopIfTrue="1">
      <formula>$C12="Do not fill this line"</formula>
    </cfRule>
  </conditionalFormatting>
  <conditionalFormatting sqref="D19:H27">
    <cfRule type="expression" dxfId="1" priority="1" stopIfTrue="1">
      <formula>$C19="Do not fill this line"</formula>
    </cfRule>
  </conditionalFormatting>
  <dataValidations count="7">
    <dataValidation type="list" allowBlank="1" showInputMessage="1" showErrorMessage="1" sqref="E102:G102" xr:uid="{0A46129E-B32B-40DA-9EBB-905DAFB7A3C8}">
      <formula1>"Median survival,Cumulative mortality rate,Overall survival"</formula1>
    </dataValidation>
    <dataValidation type="list" allowBlank="1" showInputMessage="1" showErrorMessage="1" sqref="E91:G91 E40:G40 J54" xr:uid="{AA7AFB32-ED8C-4F8B-9A30-013D835D2286}">
      <formula1>"Yes,No"</formula1>
    </dataValidation>
    <dataValidation type="list" allowBlank="1" showInputMessage="1" showErrorMessage="1" sqref="E54:G54" xr:uid="{CEF5F761-9A55-45D4-B951-E389D1E3CC7C}">
      <formula1>"Median usage time,Discontinuation rate,Progression-free survival,Median progression-free survival"</formula1>
    </dataValidation>
    <dataValidation type="list" allowBlank="1" showInputMessage="1" showErrorMessage="1" sqref="E58:G58 E106:G106" xr:uid="{D0323927-5CD0-9449-9BFC-63B79D78F4C7}">
      <formula1>"Annual data,Other data frequency"</formula1>
    </dataValidation>
    <dataValidation type="decimal" allowBlank="1" showInputMessage="1" showErrorMessage="1" error="Enter the number of months of treatment use per year (from 0 to 12)." sqref="D19:H28 D12:H15" xr:uid="{677DF6AE-A3DC-F342-8A09-9055854BED38}">
      <formula1>0</formula1>
      <formula2>12</formula2>
    </dataValidation>
    <dataValidation type="decimal" operator="greaterThan" allowBlank="1" showInputMessage="1" showErrorMessage="1" sqref="D65:E68 D70:E79 D113:E116 D118:E127" xr:uid="{BF30B2A5-ACDD-F146-AFF1-AF1308CA6A2D}">
      <formula1>0</formula1>
    </dataValidation>
    <dataValidation type="decimal" allowBlank="1" showInputMessage="1" showErrorMessage="1" sqref="J65:M68 J70:M79 J113:M116 J118:M127" xr:uid="{E96F6BE2-BDFE-A543-9085-6B2D57411D70}">
      <formula1>0</formula1>
      <formula2>1</formula2>
    </dataValidation>
  </dataValidations>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9D641-CB78-45F3-8E6B-38CA72C6D6FA}">
  <sheetPr codeName="Planilha17">
    <tabColor rgb="FF726C5A"/>
  </sheetPr>
  <dimension ref="A1:X98"/>
  <sheetViews>
    <sheetView showGridLines="0" showRowColHeaders="0" topLeftCell="A46" zoomScaleNormal="100" workbookViewId="0">
      <selection activeCell="P9" sqref="P9"/>
    </sheetView>
  </sheetViews>
  <sheetFormatPr defaultColWidth="8.77734375" defaultRowHeight="14.4"/>
  <cols>
    <col min="1" max="1" width="5.44140625" style="3" customWidth="1"/>
    <col min="2" max="2" width="28.88671875" style="3" customWidth="1"/>
    <col min="3" max="3" width="10.6640625" style="3" customWidth="1"/>
    <col min="4" max="9" width="18.109375" style="3" customWidth="1"/>
    <col min="10" max="10" width="6.77734375" style="3" customWidth="1"/>
    <col min="11" max="11" width="21.44140625" style="3" customWidth="1"/>
    <col min="12" max="21" width="8.77734375" style="3" customWidth="1"/>
    <col min="22" max="22" width="17.33203125" style="3" customWidth="1"/>
    <col min="23" max="23" width="21.77734375" style="3" customWidth="1"/>
    <col min="24" max="24" width="17.6640625" style="3" customWidth="1"/>
    <col min="25" max="44" width="8.77734375" style="3" customWidth="1"/>
    <col min="45" max="16384" width="8.77734375" style="3"/>
  </cols>
  <sheetData>
    <row r="1" spans="1:24" s="130" customFormat="1" ht="33.6">
      <c r="A1" s="127"/>
      <c r="B1" s="128" t="str">
        <f>Introduction!$B$1</f>
        <v>Budget impact analysis of treatments for Patients at high and very high cardiovascular risk</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4" spans="1:24" ht="15.6">
      <c r="A4" s="9"/>
      <c r="B4" s="9"/>
      <c r="C4" s="9"/>
      <c r="D4" s="9"/>
      <c r="E4" s="9"/>
      <c r="F4" s="9"/>
      <c r="G4" s="9"/>
      <c r="H4" s="9"/>
      <c r="I4" s="9"/>
      <c r="J4" s="9"/>
      <c r="K4" s="9"/>
      <c r="L4" s="9"/>
      <c r="M4" s="9"/>
      <c r="N4" s="9"/>
      <c r="O4" s="9"/>
      <c r="P4" s="9"/>
      <c r="Q4" s="9"/>
      <c r="R4" s="9"/>
      <c r="S4" s="9"/>
      <c r="T4" s="9"/>
      <c r="U4" s="274"/>
      <c r="V4" s="9"/>
      <c r="W4" s="9"/>
      <c r="X4" s="9"/>
    </row>
    <row r="5" spans="1:24" s="137" customFormat="1" ht="18">
      <c r="A5" s="136"/>
      <c r="B5" s="140" t="s">
        <v>183</v>
      </c>
      <c r="D5" s="138"/>
      <c r="F5" s="43"/>
    </row>
    <row r="6" spans="1:24" s="137" customFormat="1" ht="15" customHeight="1">
      <c r="A6" s="136"/>
      <c r="B6" s="136"/>
      <c r="D6" s="136"/>
      <c r="E6" s="136"/>
      <c r="F6" s="43"/>
    </row>
    <row r="7" spans="1:24" customFormat="1">
      <c r="D7" s="9"/>
    </row>
    <row r="8" spans="1:24" customFormat="1">
      <c r="D8" s="189">
        <f>ano_1</f>
        <v>2026</v>
      </c>
      <c r="E8" s="189">
        <f>ano_1+1</f>
        <v>2027</v>
      </c>
      <c r="F8" s="189">
        <f>ano_1+2</f>
        <v>2028</v>
      </c>
      <c r="G8" s="189">
        <f>ano_1+3</f>
        <v>2029</v>
      </c>
      <c r="H8" s="189">
        <f>ano_1+4</f>
        <v>2030</v>
      </c>
      <c r="J8" s="9"/>
      <c r="K8" s="189" t="s">
        <v>190</v>
      </c>
    </row>
    <row r="9" spans="1:24" ht="15.6">
      <c r="A9" s="9"/>
      <c r="B9" s="10"/>
      <c r="C9" s="275" t="s">
        <v>189</v>
      </c>
      <c r="D9" s="199">
        <f>IF(demanda="Enter data manually",Population!D27,IF(demanda="Epidemiological method",Population!E89,Population!D67))</f>
        <v>10517610.166747084</v>
      </c>
      <c r="E9" s="199">
        <f>IF(demanda="Enter data manually",Population!E27,IF(demanda="Epidemiological method",Population!F89,Population!E67))</f>
        <v>10603875.610308018</v>
      </c>
      <c r="F9" s="199">
        <f>IF(demanda="Enter data manually",Population!F27,IF(demanda="Epidemiological method",Population!G89,Population!F67))</f>
        <v>10686526.405801881</v>
      </c>
      <c r="G9" s="199">
        <f>IF(demanda="Enter data manually",Population!G27,IF(demanda="Epidemiological method",Population!H89,Population!G67))</f>
        <v>10769373.602290329</v>
      </c>
      <c r="H9" s="199">
        <f>IF(demanda="Enter data manually",Population!H27,IF(demanda="Epidemiological method",Population!I89,Population!H67))</f>
        <v>10852674.548390169</v>
      </c>
      <c r="I9" s="9"/>
      <c r="J9" s="9"/>
      <c r="K9" s="199">
        <f>AVERAGE(D9:H9)</f>
        <v>10686012.066707496</v>
      </c>
      <c r="L9" s="9"/>
      <c r="M9" s="9"/>
      <c r="N9" s="9"/>
      <c r="O9" s="9"/>
      <c r="P9" s="9"/>
      <c r="Q9" s="9"/>
      <c r="R9" s="9"/>
      <c r="S9" s="9"/>
      <c r="T9" s="9"/>
      <c r="U9" s="9"/>
      <c r="V9" s="9"/>
      <c r="W9" s="276"/>
      <c r="X9" s="9"/>
    </row>
    <row r="10" spans="1:24">
      <c r="A10" s="9"/>
      <c r="B10" s="9"/>
      <c r="C10" s="9"/>
      <c r="D10" s="43"/>
      <c r="E10" s="9"/>
      <c r="F10" s="9"/>
      <c r="G10" s="9"/>
      <c r="H10" s="9"/>
      <c r="I10" s="9"/>
      <c r="J10" s="9"/>
      <c r="K10" s="9"/>
      <c r="L10" s="9"/>
      <c r="M10" s="9"/>
      <c r="N10" s="9"/>
      <c r="O10" s="9"/>
      <c r="P10" s="9"/>
      <c r="Q10" s="9"/>
      <c r="R10" s="9"/>
      <c r="S10" s="9"/>
      <c r="T10" s="9"/>
      <c r="U10" s="9"/>
      <c r="V10" s="9"/>
      <c r="W10" s="9"/>
      <c r="X10" s="9"/>
    </row>
    <row r="11" spans="1:24">
      <c r="A11" s="9"/>
      <c r="B11" s="9"/>
      <c r="C11" s="9"/>
      <c r="D11" s="43"/>
      <c r="E11" s="9"/>
      <c r="F11" s="9"/>
      <c r="G11" s="9"/>
      <c r="H11" s="9"/>
      <c r="I11" s="9"/>
      <c r="J11" s="9"/>
      <c r="K11" s="9"/>
      <c r="L11" s="9"/>
      <c r="M11" s="9"/>
      <c r="N11" s="9"/>
      <c r="O11" s="9"/>
      <c r="P11" s="9"/>
      <c r="Q11" s="9"/>
      <c r="R11" s="9"/>
      <c r="S11" s="9"/>
      <c r="T11" s="9"/>
      <c r="U11" s="9"/>
      <c r="V11" s="9"/>
      <c r="W11" s="9"/>
      <c r="X11" s="9"/>
    </row>
    <row r="12" spans="1:24">
      <c r="A12" s="9"/>
      <c r="B12" s="417" t="s">
        <v>333</v>
      </c>
      <c r="C12" s="417"/>
      <c r="D12" s="7"/>
      <c r="E12"/>
      <c r="F12" s="7"/>
      <c r="G12" s="9"/>
      <c r="H12" s="9"/>
      <c r="I12" s="9"/>
      <c r="J12" s="9"/>
      <c r="K12" s="9"/>
      <c r="L12" s="9"/>
      <c r="M12" s="9"/>
      <c r="N12" s="9"/>
      <c r="O12" s="9"/>
      <c r="P12" s="9"/>
      <c r="Q12" s="9"/>
      <c r="R12" s="9"/>
      <c r="S12" s="9"/>
      <c r="T12" s="9"/>
      <c r="U12" s="9"/>
      <c r="V12" s="9"/>
      <c r="W12" s="9"/>
      <c r="X12" s="9"/>
    </row>
    <row r="13" spans="1:24">
      <c r="A13" s="9"/>
      <c r="B13" s="417"/>
      <c r="C13" s="417"/>
      <c r="D13" s="381" t="s">
        <v>256</v>
      </c>
      <c r="E13" s="290" t="s">
        <v>334</v>
      </c>
      <c r="G13" s="9"/>
      <c r="H13" s="9"/>
      <c r="I13" s="9"/>
      <c r="J13" s="9"/>
      <c r="K13" s="9"/>
      <c r="L13" s="9"/>
      <c r="M13" s="9"/>
      <c r="N13" s="9"/>
      <c r="O13" s="9"/>
      <c r="P13" s="9"/>
      <c r="Q13" s="9"/>
      <c r="R13" s="9"/>
      <c r="S13" s="9"/>
      <c r="T13" s="9"/>
      <c r="U13" s="9"/>
      <c r="V13" s="9"/>
      <c r="W13" s="9"/>
      <c r="X13" s="9"/>
    </row>
    <row r="14" spans="1:24">
      <c r="A14" s="9"/>
      <c r="B14" s="9"/>
      <c r="C14" s="9"/>
      <c r="D14" s="43"/>
      <c r="E14" s="9"/>
      <c r="F14" s="9"/>
      <c r="G14" s="9"/>
      <c r="H14" s="9"/>
      <c r="I14" s="9"/>
      <c r="J14" s="9"/>
      <c r="K14" s="9"/>
      <c r="L14" s="9"/>
      <c r="M14" s="9"/>
      <c r="N14" s="9"/>
      <c r="O14" s="9"/>
      <c r="P14" s="9"/>
      <c r="Q14" s="9"/>
      <c r="R14" s="9"/>
      <c r="S14" s="9"/>
      <c r="T14" s="9"/>
      <c r="U14" s="9"/>
      <c r="V14" s="9"/>
      <c r="W14" s="9"/>
      <c r="X14" s="9"/>
    </row>
    <row r="15" spans="1:24">
      <c r="A15" s="9"/>
      <c r="B15" s="269"/>
      <c r="C15" s="269"/>
      <c r="D15" s="270"/>
      <c r="E15" s="269"/>
      <c r="F15" s="269"/>
      <c r="G15" s="269"/>
      <c r="H15" s="269"/>
      <c r="I15" s="269"/>
      <c r="J15" s="269"/>
      <c r="K15" s="269"/>
      <c r="L15" s="269"/>
      <c r="M15" s="269"/>
      <c r="N15" s="269"/>
      <c r="O15" s="269"/>
      <c r="P15" s="269"/>
      <c r="Q15" s="269"/>
      <c r="R15" s="269"/>
      <c r="S15" s="269"/>
      <c r="T15" s="269"/>
      <c r="U15" s="269"/>
      <c r="V15" s="269"/>
      <c r="W15" s="269"/>
      <c r="X15" s="9"/>
    </row>
    <row r="16" spans="1:24">
      <c r="A16" s="9"/>
      <c r="B16" s="9"/>
      <c r="C16" s="9"/>
      <c r="D16" s="43"/>
      <c r="E16" s="9"/>
      <c r="F16" s="9"/>
      <c r="G16" s="9"/>
      <c r="H16" s="9"/>
      <c r="I16" s="9"/>
      <c r="J16" s="9"/>
      <c r="K16" s="9"/>
      <c r="L16" s="9"/>
      <c r="M16" s="9"/>
      <c r="N16" s="9"/>
      <c r="O16" s="9"/>
      <c r="P16" s="9"/>
      <c r="Q16" s="9"/>
      <c r="R16" s="9"/>
      <c r="S16" s="9"/>
      <c r="T16" s="9"/>
      <c r="U16" s="9"/>
      <c r="V16" s="9"/>
      <c r="W16" s="9"/>
      <c r="X16" s="9"/>
    </row>
    <row r="17" spans="1:24" ht="18">
      <c r="A17" s="9"/>
      <c r="B17" s="271" t="str">
        <f>'Mkt share'!B39</f>
        <v>Alternative scenario 1:</v>
      </c>
      <c r="C17" s="140" t="str">
        <f>cen_prop1</f>
        <v>all options</v>
      </c>
      <c r="D17" s="140"/>
      <c r="E17" s="140"/>
      <c r="F17" s="140"/>
      <c r="G17" s="140"/>
      <c r="H17" s="140"/>
      <c r="I17" s="140"/>
      <c r="J17" s="9"/>
      <c r="K17" s="9"/>
      <c r="L17" s="9"/>
      <c r="M17" s="9"/>
      <c r="N17" s="9"/>
      <c r="O17" s="9"/>
      <c r="P17" s="9"/>
      <c r="Q17" s="9"/>
      <c r="R17" s="9"/>
      <c r="S17" s="9"/>
      <c r="T17" s="9"/>
      <c r="U17" s="9"/>
      <c r="V17" s="9"/>
      <c r="W17" s="9"/>
      <c r="X17" s="9"/>
    </row>
    <row r="18" spans="1:24" ht="15.6">
      <c r="A18" s="9"/>
      <c r="B18" s="275" t="s">
        <v>188</v>
      </c>
      <c r="C18" s="277">
        <f>SUM('Mkt share'!C42:C45)</f>
        <v>0.1</v>
      </c>
      <c r="D18" s="278" t="s">
        <v>186</v>
      </c>
      <c r="E18" s="277">
        <f>SUM('Mkt share'!G42:G45)</f>
        <v>0.49999999999999994</v>
      </c>
      <c r="F18" s="9"/>
      <c r="G18" s="9"/>
      <c r="H18" s="9"/>
      <c r="I18" s="9"/>
      <c r="J18" s="9"/>
      <c r="K18" s="9"/>
      <c r="L18" s="9"/>
      <c r="M18" s="9"/>
      <c r="N18" s="9"/>
      <c r="O18" s="9"/>
      <c r="P18" s="9"/>
      <c r="Q18" s="9"/>
      <c r="R18" s="9"/>
      <c r="S18" s="9"/>
      <c r="T18" s="9"/>
      <c r="U18" s="9"/>
      <c r="V18" s="9"/>
      <c r="W18" s="9"/>
      <c r="X18" s="9"/>
    </row>
    <row r="19" spans="1:24" ht="14.55" customHeight="1">
      <c r="B19" s="9"/>
      <c r="C19" s="9"/>
      <c r="D19" s="9"/>
      <c r="E19" s="9"/>
      <c r="F19" s="9"/>
      <c r="G19" s="9"/>
      <c r="H19" s="9"/>
      <c r="I19" s="9"/>
      <c r="J19" s="9"/>
      <c r="K19" s="9"/>
      <c r="L19" s="9"/>
      <c r="M19" s="9"/>
      <c r="N19" s="9"/>
      <c r="O19" s="9"/>
      <c r="P19" s="9"/>
      <c r="Q19" s="9"/>
      <c r="R19" s="9"/>
      <c r="S19" s="9"/>
      <c r="T19" s="489"/>
      <c r="U19" s="489"/>
      <c r="V19" s="489"/>
      <c r="W19" s="489"/>
      <c r="X19" s="9"/>
    </row>
    <row r="20" spans="1:24">
      <c r="B20" s="9"/>
      <c r="C20" s="9"/>
      <c r="D20" s="9"/>
      <c r="E20" s="9"/>
      <c r="F20" s="9"/>
      <c r="G20" s="9"/>
      <c r="H20" s="9"/>
      <c r="I20" s="9"/>
      <c r="J20" s="9"/>
      <c r="K20" s="9"/>
      <c r="L20" s="9"/>
      <c r="M20" s="9"/>
      <c r="N20" s="9"/>
      <c r="O20" s="9"/>
      <c r="P20" s="9"/>
      <c r="Q20" s="9"/>
      <c r="R20" s="9"/>
      <c r="S20" s="9"/>
      <c r="T20" s="489"/>
      <c r="U20" s="489"/>
      <c r="V20" s="489"/>
      <c r="W20" s="489"/>
      <c r="X20" s="9"/>
    </row>
    <row r="21" spans="1:24">
      <c r="B21" s="491" t="s">
        <v>191</v>
      </c>
      <c r="C21" s="492"/>
      <c r="D21" s="189">
        <f>ano_1</f>
        <v>2026</v>
      </c>
      <c r="E21" s="189">
        <f>D21+1</f>
        <v>2027</v>
      </c>
      <c r="F21" s="189">
        <f t="shared" ref="F21:H21" si="0">E21+1</f>
        <v>2028</v>
      </c>
      <c r="G21" s="189">
        <f t="shared" si="0"/>
        <v>2029</v>
      </c>
      <c r="H21" s="189">
        <f t="shared" si="0"/>
        <v>2030</v>
      </c>
      <c r="I21" s="189" t="s">
        <v>313</v>
      </c>
      <c r="J21" s="9"/>
      <c r="K21" s="189" t="s">
        <v>190</v>
      </c>
      <c r="L21" s="9"/>
      <c r="M21" s="9"/>
      <c r="N21" s="9"/>
      <c r="O21" s="9"/>
      <c r="P21" s="9"/>
      <c r="Q21" s="9"/>
      <c r="R21" s="9"/>
      <c r="S21" s="9"/>
      <c r="T21" s="489"/>
      <c r="U21" s="489"/>
      <c r="V21" s="489"/>
      <c r="W21" s="489"/>
      <c r="X21" s="9"/>
    </row>
    <row r="22" spans="1:24">
      <c r="B22" s="9"/>
      <c r="C22" s="279" t="str">
        <f>'Mkt share'!B19</f>
        <v>Reference scenario:</v>
      </c>
      <c r="D22" s="318">
        <f ca="1">IF($E$18&gt;0,Calculations3!C25,0)</f>
        <v>130017977.89381656</v>
      </c>
      <c r="E22" s="318">
        <f ca="1">IF($E$18&gt;0,Calculations3!D25,0)</f>
        <v>131084385.40998092</v>
      </c>
      <c r="F22" s="318">
        <f ca="1">IF($E$18&gt;0,Calculations3!E25,0)</f>
        <v>132106108.89383878</v>
      </c>
      <c r="G22" s="318">
        <f ca="1">IF($E$18&gt;0,Calculations3!F25,0)</f>
        <v>133130260.27336565</v>
      </c>
      <c r="H22" s="318">
        <f ca="1">IF($E$18&gt;0,Calculations3!G25,0)</f>
        <v>134160020.87457004</v>
      </c>
      <c r="I22" s="319"/>
      <c r="J22" s="319"/>
      <c r="K22" s="318">
        <f ca="1">AVERAGE(D22:H22)</f>
        <v>132099750.66911438</v>
      </c>
      <c r="L22" s="9"/>
      <c r="M22" s="9"/>
      <c r="N22" s="9"/>
      <c r="O22" s="9"/>
      <c r="P22" s="9"/>
      <c r="Q22" s="9"/>
      <c r="R22" s="9"/>
      <c r="S22" s="9"/>
      <c r="T22" s="9"/>
      <c r="U22" s="9"/>
      <c r="V22" s="9"/>
      <c r="W22" s="9"/>
      <c r="X22" s="9"/>
    </row>
    <row r="23" spans="1:24" ht="15" thickBot="1">
      <c r="B23" s="280"/>
      <c r="C23" s="281" t="str">
        <f>B17</f>
        <v>Alternative scenario 1:</v>
      </c>
      <c r="D23" s="320">
        <f ca="1">Calculations3!C44</f>
        <v>163299085.03097004</v>
      </c>
      <c r="E23" s="320">
        <f ca="1">Calculations3!D44</f>
        <v>198305833.35655677</v>
      </c>
      <c r="F23" s="320">
        <f ca="1">Calculations3!E44</f>
        <v>233781293.28925839</v>
      </c>
      <c r="G23" s="320">
        <f ca="1">Calculations3!F44</f>
        <v>269786506.86716211</v>
      </c>
      <c r="H23" s="320">
        <f ca="1">Calculations3!G44</f>
        <v>306330608.80690241</v>
      </c>
      <c r="I23" s="321"/>
      <c r="J23" s="319"/>
      <c r="K23" s="318">
        <f ca="1">AVERAGE(D23:H23)</f>
        <v>234300665.47016993</v>
      </c>
      <c r="L23" s="9"/>
      <c r="M23" s="9"/>
      <c r="N23" s="9"/>
      <c r="O23" s="9"/>
      <c r="P23" s="9"/>
      <c r="Q23" s="9"/>
      <c r="R23" s="9"/>
      <c r="S23" s="9"/>
      <c r="T23" s="9"/>
      <c r="U23" s="9"/>
      <c r="V23" s="9"/>
      <c r="W23" s="9"/>
      <c r="X23" s="9"/>
    </row>
    <row r="24" spans="1:24">
      <c r="B24" s="9"/>
      <c r="C24" s="282" t="s">
        <v>187</v>
      </c>
      <c r="D24" s="322">
        <f ca="1">D23-D22</f>
        <v>33281107.137153476</v>
      </c>
      <c r="E24" s="322">
        <f ca="1">E23-E22</f>
        <v>67221447.94657585</v>
      </c>
      <c r="F24" s="322">
        <f ca="1">F23-F22</f>
        <v>101675184.39541961</v>
      </c>
      <c r="G24" s="322">
        <f ca="1">G23-G22</f>
        <v>136656246.59379646</v>
      </c>
      <c r="H24" s="322">
        <f ca="1">H23-H22</f>
        <v>172170587.93233237</v>
      </c>
      <c r="I24" s="322">
        <f ca="1">SUM(D24:H24)</f>
        <v>511004574.00527775</v>
      </c>
      <c r="J24" s="319"/>
      <c r="K24" s="318">
        <f ca="1">AVERAGE(D24:H24)</f>
        <v>102200914.80105555</v>
      </c>
      <c r="L24" s="9"/>
      <c r="M24" s="9"/>
      <c r="N24" s="9"/>
      <c r="O24" s="9"/>
      <c r="P24" s="9"/>
      <c r="Q24" s="9"/>
      <c r="R24" s="9"/>
      <c r="S24" s="9"/>
      <c r="T24" s="9"/>
      <c r="U24" s="9"/>
      <c r="V24" s="9"/>
      <c r="W24" s="9"/>
      <c r="X24" s="9"/>
    </row>
    <row r="25" spans="1:24">
      <c r="B25" s="9"/>
      <c r="C25" s="361" t="s">
        <v>326</v>
      </c>
      <c r="D25" s="322">
        <f>PSA!Q7</f>
        <v>33267474.975947615</v>
      </c>
      <c r="E25" s="322">
        <f>PSA!R7</f>
        <v>67193639.699084938</v>
      </c>
      <c r="F25" s="322">
        <f>PSA!S7</f>
        <v>101632985.50165229</v>
      </c>
      <c r="G25" s="322">
        <f>PSA!T7</f>
        <v>136599436.77267721</v>
      </c>
      <c r="H25" s="322">
        <f>PSA!U7</f>
        <v>172098944.42242894</v>
      </c>
      <c r="I25" s="322">
        <f>PSA!V7</f>
        <v>510792481.37179095</v>
      </c>
      <c r="J25" s="319"/>
      <c r="K25" s="390"/>
      <c r="L25" s="9"/>
      <c r="M25" s="9"/>
      <c r="N25" s="9"/>
      <c r="O25" s="9"/>
      <c r="P25" s="9"/>
      <c r="Q25" s="9"/>
      <c r="R25" s="9"/>
      <c r="S25" s="9"/>
      <c r="T25" s="9"/>
      <c r="U25" s="9"/>
      <c r="V25" s="9"/>
      <c r="W25" s="9"/>
      <c r="X25" s="9"/>
    </row>
    <row r="26" spans="1:24">
      <c r="C26" s="361" t="str">
        <f>PSA!P12</f>
        <v>95% CI (lower)</v>
      </c>
      <c r="D26" s="322">
        <f>PSA!Q12</f>
        <v>25088325.619723506</v>
      </c>
      <c r="E26" s="322">
        <f>PSA!R12</f>
        <v>50684346.209595889</v>
      </c>
      <c r="F26" s="322">
        <f>PSA!S12</f>
        <v>76667533.624181807</v>
      </c>
      <c r="G26" s="322">
        <f>PSA!T12</f>
        <v>103048399.77273999</v>
      </c>
      <c r="H26" s="322">
        <f>PSA!U12</f>
        <v>129831436.21240765</v>
      </c>
      <c r="I26" s="322">
        <f>PSA!V12</f>
        <v>385320067.3319242</v>
      </c>
    </row>
    <row r="27" spans="1:24">
      <c r="C27" s="361" t="str">
        <f>PSA!P13</f>
        <v>95% CI (upper)</v>
      </c>
      <c r="D27" s="322">
        <f>PSA!Q13</f>
        <v>41446624.332171723</v>
      </c>
      <c r="E27" s="322">
        <f>PSA!R13</f>
        <v>83702933.188573986</v>
      </c>
      <c r="F27" s="322">
        <f>PSA!S13</f>
        <v>126598437.37912276</v>
      </c>
      <c r="G27" s="322">
        <f>PSA!T13</f>
        <v>170150473.77261442</v>
      </c>
      <c r="H27" s="322">
        <f>PSA!U13</f>
        <v>214366452.63245022</v>
      </c>
      <c r="I27" s="322">
        <f>PSA!V13</f>
        <v>636264895.41165769</v>
      </c>
    </row>
    <row r="30" spans="1:24">
      <c r="B30" s="491" t="s">
        <v>192</v>
      </c>
      <c r="C30" s="492"/>
      <c r="D30" s="189">
        <f>ano_1</f>
        <v>2026</v>
      </c>
      <c r="E30" s="189">
        <f>D30+1</f>
        <v>2027</v>
      </c>
      <c r="F30" s="189">
        <f t="shared" ref="F30:H30" si="1">E30+1</f>
        <v>2028</v>
      </c>
      <c r="G30" s="189">
        <f t="shared" si="1"/>
        <v>2029</v>
      </c>
      <c r="H30" s="189">
        <f t="shared" si="1"/>
        <v>2030</v>
      </c>
      <c r="I30" s="189" t="s">
        <v>313</v>
      </c>
      <c r="J30" s="9"/>
      <c r="K30" s="189" t="s">
        <v>190</v>
      </c>
      <c r="L30" s="9"/>
      <c r="M30" s="9"/>
      <c r="N30" s="9"/>
      <c r="O30" s="9"/>
      <c r="P30" s="9"/>
      <c r="Q30" s="9"/>
      <c r="R30" s="9"/>
      <c r="S30" s="9"/>
      <c r="T30" s="9"/>
      <c r="U30" s="9"/>
      <c r="V30" s="9"/>
      <c r="W30" s="9"/>
      <c r="X30" s="9"/>
    </row>
    <row r="31" spans="1:24">
      <c r="B31" s="9"/>
      <c r="C31" s="279" t="str">
        <f>C22</f>
        <v>Reference scenario:</v>
      </c>
      <c r="D31" s="318">
        <f ca="1">IF($E$18&gt;0,Calculations3!K25,0)</f>
        <v>130017977.89381656</v>
      </c>
      <c r="E31" s="318">
        <f ca="1">IF($E$18&gt;0,Calculations3!L25,0)</f>
        <v>131084385.40998092</v>
      </c>
      <c r="F31" s="318">
        <f ca="1">IF($E$18&gt;0,Calculations3!M25,0)</f>
        <v>132106108.89383878</v>
      </c>
      <c r="G31" s="318">
        <f ca="1">IF($E$18&gt;0,Calculations3!N25,0)</f>
        <v>133130260.27336565</v>
      </c>
      <c r="H31" s="318">
        <f ca="1">IF($E$18&gt;0,Calculations3!O25,0)</f>
        <v>134160020.87457004</v>
      </c>
      <c r="I31" s="319"/>
      <c r="J31" s="319"/>
      <c r="K31" s="318">
        <f ca="1">AVERAGE(D31:H31)</f>
        <v>132099750.66911438</v>
      </c>
      <c r="L31" s="9"/>
      <c r="M31" s="9"/>
      <c r="N31" s="9"/>
      <c r="O31" s="9"/>
      <c r="P31" s="9"/>
      <c r="Q31" s="9"/>
      <c r="R31" s="9"/>
      <c r="S31" s="9"/>
      <c r="T31" s="9"/>
      <c r="U31" s="9"/>
      <c r="V31" s="9"/>
      <c r="W31" s="9"/>
      <c r="X31" s="9"/>
    </row>
    <row r="32" spans="1:24" ht="15" thickBot="1">
      <c r="B32" s="280"/>
      <c r="C32" s="281" t="str">
        <f>C23</f>
        <v>Alternative scenario 1:</v>
      </c>
      <c r="D32" s="320">
        <f ca="1">Calculations3!K44</f>
        <v>163299085.03097004</v>
      </c>
      <c r="E32" s="320">
        <f ca="1">Calculations3!L44</f>
        <v>198305833.35655677</v>
      </c>
      <c r="F32" s="320">
        <f ca="1">Calculations3!M44</f>
        <v>233781293.28925839</v>
      </c>
      <c r="G32" s="320">
        <f ca="1">Calculations3!N44</f>
        <v>269786506.86716211</v>
      </c>
      <c r="H32" s="320">
        <f ca="1">Calculations3!O44</f>
        <v>306330608.80690241</v>
      </c>
      <c r="I32" s="321"/>
      <c r="J32" s="319"/>
      <c r="K32" s="318">
        <f ca="1">AVERAGE(D32:H32)</f>
        <v>234300665.47016993</v>
      </c>
      <c r="L32" s="9"/>
      <c r="M32" s="9"/>
      <c r="N32" s="9"/>
      <c r="O32" s="9"/>
      <c r="P32" s="9"/>
      <c r="Q32" s="9"/>
      <c r="R32" s="9"/>
      <c r="S32" s="9"/>
      <c r="T32" s="9"/>
      <c r="U32" s="9"/>
      <c r="V32" s="9"/>
      <c r="W32" s="9"/>
      <c r="X32" s="9"/>
    </row>
    <row r="33" spans="2:24">
      <c r="B33" s="9"/>
      <c r="C33" s="282" t="str">
        <f>C24</f>
        <v>Incremental budget impact</v>
      </c>
      <c r="D33" s="322">
        <f ca="1">D32-D31</f>
        <v>33281107.137153476</v>
      </c>
      <c r="E33" s="322">
        <f t="shared" ref="E33:H33" ca="1" si="2">E32-E31</f>
        <v>67221447.94657585</v>
      </c>
      <c r="F33" s="322">
        <f t="shared" ca="1" si="2"/>
        <v>101675184.39541961</v>
      </c>
      <c r="G33" s="322">
        <f t="shared" ca="1" si="2"/>
        <v>136656246.59379646</v>
      </c>
      <c r="H33" s="322">
        <f t="shared" ca="1" si="2"/>
        <v>172170587.93233237</v>
      </c>
      <c r="I33" s="322">
        <f ca="1">SUM(D33:H33)</f>
        <v>511004574.00527775</v>
      </c>
      <c r="J33" s="319"/>
      <c r="K33" s="318">
        <f ca="1">AVERAGE(D33:H33)</f>
        <v>102200914.80105555</v>
      </c>
      <c r="L33" s="9"/>
      <c r="M33" s="9"/>
      <c r="N33" s="9"/>
      <c r="O33" s="9"/>
      <c r="P33" s="9"/>
      <c r="Q33" s="9"/>
      <c r="R33" s="9"/>
      <c r="S33" s="9"/>
      <c r="T33" s="9"/>
      <c r="U33" s="9"/>
      <c r="V33" s="9"/>
      <c r="W33" s="9"/>
      <c r="X33" s="9"/>
    </row>
    <row r="34" spans="2:24">
      <c r="B34" s="9"/>
      <c r="C34" s="361" t="s">
        <v>326</v>
      </c>
      <c r="D34" s="322">
        <f>PSA!AT7</f>
        <v>33325580.89354999</v>
      </c>
      <c r="E34" s="322">
        <f>PSA!AU7</f>
        <v>67311484.079341277</v>
      </c>
      <c r="F34" s="322">
        <f>PSA!AV7</f>
        <v>101811472.19593953</v>
      </c>
      <c r="G34" s="322">
        <f>PSA!AW7</f>
        <v>136839493.97989151</v>
      </c>
      <c r="H34" s="322">
        <f>PSA!AX7</f>
        <v>172401510.80907801</v>
      </c>
      <c r="I34" s="322">
        <f>PSA!AY7</f>
        <v>511689541.95780104</v>
      </c>
      <c r="J34" s="319"/>
      <c r="K34" s="390"/>
      <c r="L34" s="9"/>
      <c r="M34" s="9"/>
      <c r="N34" s="9"/>
      <c r="O34" s="9"/>
      <c r="P34" s="9"/>
      <c r="Q34" s="9"/>
      <c r="R34" s="9"/>
      <c r="S34" s="9"/>
      <c r="T34" s="9"/>
      <c r="U34" s="9"/>
      <c r="V34" s="9"/>
      <c r="W34" s="9"/>
      <c r="X34" s="9"/>
    </row>
    <row r="35" spans="2:24">
      <c r="C35" s="361" t="str">
        <f>PSA!AS12</f>
        <v>95% CI (lower)</v>
      </c>
      <c r="D35" s="322">
        <f>PSA!AT12</f>
        <v>25471847.181710072</v>
      </c>
      <c r="E35" s="322">
        <f>PSA!AU12</f>
        <v>51459582.654367492</v>
      </c>
      <c r="F35" s="322">
        <f>PSA!AV12</f>
        <v>77840410.416427195</v>
      </c>
      <c r="G35" s="322">
        <f>PSA!AW12</f>
        <v>104625002.97504324</v>
      </c>
      <c r="H35" s="322">
        <f>PSA!AX12</f>
        <v>131817920.59126097</v>
      </c>
      <c r="I35" s="322">
        <f>PSA!AY12</f>
        <v>391214789.80893189</v>
      </c>
    </row>
    <row r="36" spans="2:24">
      <c r="C36" s="361" t="str">
        <f>PSA!AS13</f>
        <v>95% CI (upper)</v>
      </c>
      <c r="D36" s="322">
        <f>PSA!AT13</f>
        <v>41179314.605389908</v>
      </c>
      <c r="E36" s="322">
        <f>PSA!AU13</f>
        <v>83163385.504315063</v>
      </c>
      <c r="F36" s="322">
        <f>PSA!AV13</f>
        <v>125782533.97545186</v>
      </c>
      <c r="G36" s="322">
        <f>PSA!AW13</f>
        <v>169053984.98473978</v>
      </c>
      <c r="H36" s="322">
        <f>PSA!AX13</f>
        <v>212985101.02689505</v>
      </c>
      <c r="I36" s="322">
        <f>PSA!AY13</f>
        <v>632164294.10667026</v>
      </c>
    </row>
    <row r="40" spans="2:24">
      <c r="B40" s="9"/>
      <c r="C40" s="9"/>
      <c r="D40" s="43"/>
      <c r="E40" s="9"/>
      <c r="F40" s="9"/>
      <c r="G40" s="9"/>
      <c r="H40" s="9"/>
      <c r="I40" s="9"/>
      <c r="J40" s="9"/>
      <c r="K40" s="9"/>
      <c r="L40" s="9"/>
      <c r="M40" s="9"/>
      <c r="N40" s="9"/>
      <c r="O40" s="9"/>
      <c r="P40" s="9"/>
      <c r="Q40" s="9"/>
      <c r="R40" s="9"/>
      <c r="S40" s="9"/>
      <c r="T40" s="9"/>
      <c r="U40" s="9"/>
      <c r="V40" s="9"/>
      <c r="W40" s="9"/>
      <c r="X40" s="9"/>
    </row>
    <row r="41" spans="2:24">
      <c r="B41" s="269"/>
      <c r="C41" s="269"/>
      <c r="D41" s="270"/>
      <c r="E41" s="269"/>
      <c r="F41" s="269"/>
      <c r="G41" s="269"/>
      <c r="H41" s="269"/>
      <c r="I41" s="269"/>
      <c r="J41" s="269"/>
      <c r="K41" s="269"/>
      <c r="L41" s="269"/>
      <c r="M41" s="269"/>
      <c r="N41" s="269"/>
      <c r="O41" s="269"/>
      <c r="P41" s="269"/>
      <c r="Q41" s="269"/>
      <c r="R41" s="269"/>
      <c r="S41" s="269"/>
      <c r="T41" s="269"/>
      <c r="U41" s="269"/>
      <c r="V41" s="269"/>
      <c r="W41" s="269"/>
      <c r="X41" s="9"/>
    </row>
    <row r="42" spans="2:24">
      <c r="B42" s="9"/>
      <c r="C42" s="9"/>
      <c r="D42" s="43"/>
      <c r="E42" s="9"/>
      <c r="F42" s="9"/>
      <c r="G42" s="9"/>
      <c r="H42" s="9"/>
      <c r="I42" s="9"/>
      <c r="J42" s="9"/>
      <c r="K42" s="9"/>
      <c r="L42" s="9"/>
      <c r="M42" s="9"/>
      <c r="N42" s="9"/>
      <c r="O42" s="9"/>
      <c r="P42" s="9"/>
      <c r="Q42" s="9"/>
      <c r="R42" s="9"/>
      <c r="S42" s="9"/>
      <c r="T42" s="9"/>
      <c r="U42" s="9"/>
      <c r="V42" s="9"/>
      <c r="W42" s="9"/>
      <c r="X42" s="9"/>
    </row>
    <row r="43" spans="2:24" ht="18">
      <c r="B43" s="271" t="str">
        <f>'Mkt share'!B59</f>
        <v>Alternative scenario 2:</v>
      </c>
      <c r="C43" s="140" t="str">
        <f>cen_prop2</f>
        <v>high intensity only</v>
      </c>
      <c r="D43" s="140"/>
      <c r="E43" s="140"/>
      <c r="F43" s="140"/>
      <c r="G43" s="140"/>
      <c r="H43" s="140"/>
      <c r="I43" s="140"/>
      <c r="J43" s="9"/>
      <c r="K43" s="9"/>
      <c r="L43" s="9"/>
      <c r="M43" s="9"/>
      <c r="N43" s="9"/>
      <c r="O43" s="9"/>
      <c r="P43" s="9"/>
      <c r="Q43" s="9"/>
      <c r="R43" s="9"/>
      <c r="S43" s="9"/>
      <c r="T43" s="9"/>
      <c r="U43" s="9"/>
      <c r="V43" s="9"/>
      <c r="W43" s="9"/>
      <c r="X43" s="9"/>
    </row>
    <row r="44" spans="2:24" ht="15.6">
      <c r="B44" s="275" t="s">
        <v>188</v>
      </c>
      <c r="C44" s="277">
        <f>SUM('Mkt share'!C62:C65)</f>
        <v>0.10000000000000002</v>
      </c>
      <c r="D44" s="278" t="s">
        <v>186</v>
      </c>
      <c r="E44" s="277">
        <f>SUM('Mkt share'!G62:G65)</f>
        <v>0.5</v>
      </c>
      <c r="F44" s="9"/>
      <c r="G44" s="9"/>
      <c r="H44" s="9"/>
      <c r="I44" s="9"/>
      <c r="J44" s="9"/>
      <c r="K44" s="9"/>
      <c r="L44" s="9"/>
      <c r="M44" s="9"/>
      <c r="N44" s="9"/>
      <c r="O44" s="9"/>
      <c r="P44" s="9"/>
      <c r="Q44" s="9"/>
      <c r="R44" s="9"/>
      <c r="S44" s="9"/>
      <c r="T44" s="9"/>
      <c r="U44" s="9"/>
      <c r="V44" s="9"/>
      <c r="W44" s="9"/>
      <c r="X44" s="9"/>
    </row>
    <row r="45" spans="2:24" ht="14.55" customHeight="1">
      <c r="B45" s="9"/>
      <c r="C45" s="9"/>
      <c r="D45" s="9"/>
      <c r="E45" s="9"/>
      <c r="F45" s="9"/>
      <c r="G45" s="9"/>
      <c r="H45" s="9"/>
      <c r="I45" s="9"/>
      <c r="J45" s="9"/>
      <c r="K45" s="9"/>
      <c r="L45" s="9"/>
      <c r="M45" s="9"/>
      <c r="N45" s="9"/>
      <c r="O45" s="9"/>
      <c r="P45" s="9"/>
      <c r="Q45" s="9"/>
      <c r="R45" s="9"/>
      <c r="S45" s="9"/>
      <c r="T45" s="9"/>
      <c r="U45" s="9"/>
      <c r="V45" s="9"/>
      <c r="W45" s="9"/>
      <c r="X45" s="9"/>
    </row>
    <row r="47" spans="2:24">
      <c r="B47" s="491" t="s">
        <v>191</v>
      </c>
      <c r="C47" s="492"/>
      <c r="D47" s="189">
        <f>ano_1</f>
        <v>2026</v>
      </c>
      <c r="E47" s="189">
        <f>D47+1</f>
        <v>2027</v>
      </c>
      <c r="F47" s="189">
        <f t="shared" ref="F47:H47" si="3">E47+1</f>
        <v>2028</v>
      </c>
      <c r="G47" s="189">
        <f t="shared" si="3"/>
        <v>2029</v>
      </c>
      <c r="H47" s="189">
        <f t="shared" si="3"/>
        <v>2030</v>
      </c>
      <c r="I47" s="189" t="s">
        <v>313</v>
      </c>
      <c r="J47" s="9"/>
      <c r="K47" s="189" t="s">
        <v>190</v>
      </c>
      <c r="L47" s="9"/>
      <c r="M47" s="9"/>
      <c r="N47" s="9"/>
      <c r="O47" s="9"/>
      <c r="P47" s="9"/>
      <c r="Q47" s="9"/>
      <c r="R47" s="9"/>
      <c r="S47" s="9"/>
      <c r="T47" s="9"/>
      <c r="U47" s="9"/>
      <c r="V47" s="9"/>
      <c r="W47" s="9"/>
      <c r="X47" s="9"/>
    </row>
    <row r="48" spans="2:24">
      <c r="B48" s="9"/>
      <c r="C48" s="279" t="str">
        <f>'Mkt share'!B44</f>
        <v>Rosuvastatin 20mg</v>
      </c>
      <c r="D48" s="318">
        <f ca="1">IF($E$44&gt;0,Calculations3!C25,0)</f>
        <v>130017977.89381656</v>
      </c>
      <c r="E48" s="318">
        <f ca="1">IF($E$44&gt;0,Calculations3!D25,0)</f>
        <v>131084385.40998092</v>
      </c>
      <c r="F48" s="318">
        <f ca="1">IF($E$44&gt;0,Calculations3!E25,0)</f>
        <v>132106108.89383878</v>
      </c>
      <c r="G48" s="318">
        <f ca="1">IF($E$44&gt;0,Calculations3!F25,0)</f>
        <v>133130260.27336565</v>
      </c>
      <c r="H48" s="318">
        <f ca="1">IF($E$44&gt;0,Calculations3!G25,0)</f>
        <v>134160020.87457004</v>
      </c>
      <c r="I48" s="319"/>
      <c r="J48" s="319"/>
      <c r="K48" s="318">
        <f ca="1">AVERAGE(D48:H48)</f>
        <v>132099750.66911438</v>
      </c>
      <c r="L48" s="9"/>
      <c r="M48" s="9"/>
      <c r="N48" s="9"/>
      <c r="O48" s="9"/>
      <c r="P48" s="9"/>
      <c r="Q48" s="9"/>
      <c r="R48" s="9"/>
      <c r="S48" s="9"/>
      <c r="T48" s="9"/>
      <c r="U48" s="9"/>
      <c r="V48" s="9"/>
      <c r="W48" s="9"/>
      <c r="X48" s="9"/>
    </row>
    <row r="49" spans="2:24" ht="15" thickBot="1">
      <c r="B49" s="280"/>
      <c r="C49" s="281" t="str">
        <f>B43</f>
        <v>Alternative scenario 2:</v>
      </c>
      <c r="D49" s="320">
        <f ca="1">Calculations3!C63</f>
        <v>179810170.11415708</v>
      </c>
      <c r="E49" s="320">
        <f ca="1">Calculations3!D63</f>
        <v>231598851.37825006</v>
      </c>
      <c r="F49" s="320">
        <f ca="1">Calculations3!E63</f>
        <v>284110068.7237519</v>
      </c>
      <c r="G49" s="320">
        <f ca="1">Calculations3!F63</f>
        <v>337411771.93059969</v>
      </c>
      <c r="H49" s="320">
        <f ca="1">Calculations3!G63</f>
        <v>391516040.67199552</v>
      </c>
      <c r="I49" s="321"/>
      <c r="J49" s="319"/>
      <c r="K49" s="318">
        <f ca="1">AVERAGE(D49:H49)</f>
        <v>284889380.56375086</v>
      </c>
      <c r="L49" s="9"/>
      <c r="M49" s="9"/>
      <c r="N49" s="9"/>
      <c r="O49" s="9"/>
      <c r="P49" s="9"/>
      <c r="Q49" s="9"/>
      <c r="R49" s="9"/>
      <c r="S49" s="9"/>
      <c r="T49" s="9"/>
      <c r="U49" s="9"/>
      <c r="V49" s="9"/>
      <c r="W49" s="9"/>
      <c r="X49" s="9"/>
    </row>
    <row r="50" spans="2:24">
      <c r="B50" s="9"/>
      <c r="C50" s="282" t="s">
        <v>187</v>
      </c>
      <c r="D50" s="322">
        <f ca="1">D49-D48</f>
        <v>49792192.22034052</v>
      </c>
      <c r="E50" s="322">
        <f t="shared" ref="E50:H50" ca="1" si="4">E49-E48</f>
        <v>100514465.96826914</v>
      </c>
      <c r="F50" s="322">
        <f t="shared" ca="1" si="4"/>
        <v>152003959.82991314</v>
      </c>
      <c r="G50" s="322">
        <f t="shared" ca="1" si="4"/>
        <v>204281511.65723404</v>
      </c>
      <c r="H50" s="322">
        <f t="shared" ca="1" si="4"/>
        <v>257356019.79742548</v>
      </c>
      <c r="I50" s="322">
        <f ca="1">SUM(D50:H50)</f>
        <v>763948149.47318232</v>
      </c>
      <c r="J50" s="319"/>
      <c r="K50" s="318">
        <f ca="1">AVERAGE(D50:H50)</f>
        <v>152789629.89463645</v>
      </c>
      <c r="L50" s="9"/>
      <c r="M50" s="9"/>
      <c r="N50" s="9"/>
      <c r="O50" s="9"/>
      <c r="P50" s="9"/>
      <c r="Q50" s="9"/>
      <c r="R50" s="9"/>
      <c r="S50" s="9"/>
      <c r="T50" s="9"/>
      <c r="U50" s="9"/>
      <c r="V50" s="9"/>
      <c r="W50" s="9"/>
      <c r="X50" s="9"/>
    </row>
    <row r="56" spans="2:24">
      <c r="B56" s="491" t="s">
        <v>192</v>
      </c>
      <c r="C56" s="492"/>
      <c r="D56" s="189">
        <f>ano_1</f>
        <v>2026</v>
      </c>
      <c r="E56" s="189">
        <f>D56+1</f>
        <v>2027</v>
      </c>
      <c r="F56" s="189">
        <f t="shared" ref="F56:H56" si="5">E56+1</f>
        <v>2028</v>
      </c>
      <c r="G56" s="189">
        <f t="shared" si="5"/>
        <v>2029</v>
      </c>
      <c r="H56" s="189">
        <f t="shared" si="5"/>
        <v>2030</v>
      </c>
      <c r="I56" s="189" t="s">
        <v>313</v>
      </c>
      <c r="J56" s="9"/>
      <c r="K56" s="189" t="s">
        <v>190</v>
      </c>
      <c r="L56" s="9"/>
      <c r="M56" s="9"/>
      <c r="N56" s="9"/>
      <c r="O56" s="9"/>
      <c r="P56" s="9"/>
      <c r="Q56" s="9"/>
      <c r="R56" s="9"/>
      <c r="S56" s="9"/>
      <c r="T56" s="9"/>
      <c r="U56" s="9"/>
      <c r="V56" s="9"/>
      <c r="W56" s="9"/>
      <c r="X56" s="9"/>
    </row>
    <row r="57" spans="2:24">
      <c r="B57" s="9"/>
      <c r="C57" s="279" t="str">
        <f>C48</f>
        <v>Rosuvastatin 20mg</v>
      </c>
      <c r="D57" s="318">
        <f ca="1">IF($E$44&gt;0,Calculations3!K25,0)</f>
        <v>130017977.89381656</v>
      </c>
      <c r="E57" s="318">
        <f ca="1">IF($E$44&gt;0,Calculations3!L25,0)</f>
        <v>131084385.40998092</v>
      </c>
      <c r="F57" s="318">
        <f ca="1">IF($E$44&gt;0,Calculations3!M25,0)</f>
        <v>132106108.89383878</v>
      </c>
      <c r="G57" s="318">
        <f ca="1">IF($E$44&gt;0,Calculations3!N25,0)</f>
        <v>133130260.27336565</v>
      </c>
      <c r="H57" s="318">
        <f ca="1">IF($E$44&gt;0,Calculations3!O25,0)</f>
        <v>134160020.87457004</v>
      </c>
      <c r="I57" s="319"/>
      <c r="J57" s="319"/>
      <c r="K57" s="318">
        <f ca="1">AVERAGE(D57:H57)</f>
        <v>132099750.66911438</v>
      </c>
      <c r="L57" s="9"/>
      <c r="M57" s="9"/>
      <c r="N57" s="9"/>
      <c r="O57" s="9"/>
      <c r="P57" s="9"/>
      <c r="Q57" s="9"/>
      <c r="R57" s="9"/>
      <c r="S57" s="9"/>
      <c r="T57" s="9"/>
      <c r="U57" s="9"/>
      <c r="V57" s="9"/>
      <c r="W57" s="9"/>
      <c r="X57" s="9"/>
    </row>
    <row r="58" spans="2:24" ht="15" thickBot="1">
      <c r="B58" s="280"/>
      <c r="C58" s="281" t="str">
        <f>C49</f>
        <v>Alternative scenario 2:</v>
      </c>
      <c r="D58" s="320">
        <f ca="1">Calculations3!K63</f>
        <v>179810170.11415708</v>
      </c>
      <c r="E58" s="320">
        <f ca="1">Calculations3!L63</f>
        <v>231598851.37825006</v>
      </c>
      <c r="F58" s="320">
        <f ca="1">Calculations3!M63</f>
        <v>284110068.7237519</v>
      </c>
      <c r="G58" s="320">
        <f ca="1">Calculations3!N63</f>
        <v>337411771.93059969</v>
      </c>
      <c r="H58" s="320">
        <f ca="1">Calculations3!O63</f>
        <v>391516040.67199552</v>
      </c>
      <c r="I58" s="321"/>
      <c r="J58" s="319"/>
      <c r="K58" s="318">
        <f ca="1">AVERAGE(D58:H58)</f>
        <v>284889380.56375086</v>
      </c>
      <c r="L58" s="9"/>
      <c r="M58" s="9"/>
      <c r="N58" s="9"/>
      <c r="O58" s="9"/>
      <c r="P58" s="9"/>
      <c r="Q58" s="9"/>
      <c r="R58" s="9"/>
      <c r="S58" s="9"/>
      <c r="T58" s="9"/>
      <c r="U58" s="9"/>
      <c r="V58" s="9"/>
      <c r="W58" s="9"/>
      <c r="X58" s="9"/>
    </row>
    <row r="59" spans="2:24">
      <c r="B59" s="9"/>
      <c r="C59" s="282" t="str">
        <f>C50</f>
        <v>Incremental budget impact</v>
      </c>
      <c r="D59" s="322">
        <f ca="1">D58-D57</f>
        <v>49792192.22034052</v>
      </c>
      <c r="E59" s="322">
        <f t="shared" ref="E59:H59" ca="1" si="6">E58-E57</f>
        <v>100514465.96826914</v>
      </c>
      <c r="F59" s="322">
        <f t="shared" ca="1" si="6"/>
        <v>152003959.82991314</v>
      </c>
      <c r="G59" s="322">
        <f t="shared" ca="1" si="6"/>
        <v>204281511.65723404</v>
      </c>
      <c r="H59" s="322">
        <f t="shared" ca="1" si="6"/>
        <v>257356019.79742548</v>
      </c>
      <c r="I59" s="322">
        <f ca="1">SUM(D59:H59)</f>
        <v>763948149.47318232</v>
      </c>
      <c r="J59" s="319"/>
      <c r="K59" s="318">
        <f ca="1">AVERAGE(D59:H59)</f>
        <v>152789629.89463645</v>
      </c>
      <c r="L59" s="9"/>
      <c r="M59" s="9"/>
      <c r="N59" s="9"/>
      <c r="O59" s="9"/>
      <c r="P59" s="9"/>
      <c r="Q59" s="9"/>
      <c r="R59" s="9"/>
      <c r="S59" s="9"/>
      <c r="T59" s="9"/>
      <c r="U59" s="9"/>
      <c r="V59" s="9"/>
      <c r="W59" s="9"/>
      <c r="X59" s="9"/>
    </row>
    <row r="65" spans="2:24">
      <c r="B65" s="9"/>
      <c r="C65" s="9"/>
      <c r="D65" s="43"/>
      <c r="E65" s="9"/>
      <c r="F65" s="9"/>
      <c r="G65" s="9"/>
      <c r="H65" s="9"/>
      <c r="I65" s="9"/>
      <c r="J65" s="9"/>
      <c r="K65" s="9"/>
      <c r="L65" s="9"/>
      <c r="M65" s="9"/>
      <c r="N65" s="9"/>
      <c r="O65" s="9"/>
      <c r="P65" s="9"/>
      <c r="Q65" s="9"/>
      <c r="R65" s="9"/>
      <c r="S65" s="9"/>
      <c r="T65" s="9"/>
      <c r="U65" s="9"/>
      <c r="V65" s="9"/>
      <c r="W65" s="9"/>
      <c r="X65" s="9"/>
    </row>
    <row r="66" spans="2:24">
      <c r="B66" s="269"/>
      <c r="C66" s="269"/>
      <c r="D66" s="270"/>
      <c r="E66" s="269"/>
      <c r="F66" s="269"/>
      <c r="G66" s="269"/>
      <c r="H66" s="269"/>
      <c r="I66" s="269"/>
      <c r="J66" s="269"/>
      <c r="K66" s="269"/>
      <c r="L66" s="269"/>
      <c r="M66" s="269"/>
      <c r="N66" s="269"/>
      <c r="O66" s="269"/>
      <c r="P66" s="269"/>
      <c r="Q66" s="269"/>
      <c r="R66" s="269"/>
      <c r="S66" s="269"/>
      <c r="T66" s="269"/>
      <c r="U66" s="269"/>
      <c r="V66" s="269"/>
      <c r="W66" s="269"/>
      <c r="X66" s="9"/>
    </row>
    <row r="67" spans="2:24">
      <c r="B67" s="9"/>
      <c r="C67" s="9"/>
      <c r="D67" s="43"/>
      <c r="E67" s="9"/>
      <c r="F67" s="9"/>
      <c r="G67" s="9"/>
      <c r="H67" s="9"/>
      <c r="I67" s="9"/>
      <c r="J67" s="9"/>
      <c r="K67" s="9"/>
      <c r="L67" s="9"/>
      <c r="M67" s="9"/>
      <c r="N67" s="9"/>
      <c r="O67" s="9"/>
      <c r="P67" s="9"/>
      <c r="Q67" s="9"/>
      <c r="R67" s="9"/>
      <c r="S67" s="9"/>
      <c r="T67" s="9"/>
      <c r="U67" s="9"/>
      <c r="V67" s="9"/>
      <c r="W67" s="9"/>
      <c r="X67" s="9"/>
    </row>
    <row r="68" spans="2:24" ht="18">
      <c r="B68" s="271" t="str">
        <f>'Mkt share'!B79</f>
        <v>Alternative scenario 3:</v>
      </c>
      <c r="C68" s="140" t="str">
        <f>cen_prop3</f>
        <v>moderate intensity only</v>
      </c>
      <c r="D68" s="140"/>
      <c r="E68" s="140"/>
      <c r="F68" s="140"/>
      <c r="G68" s="140"/>
      <c r="H68" s="140"/>
      <c r="I68" s="140"/>
      <c r="J68" s="9"/>
      <c r="K68" s="9"/>
      <c r="L68" s="9"/>
      <c r="M68" s="9"/>
      <c r="N68" s="9"/>
      <c r="O68" s="9"/>
      <c r="P68" s="9"/>
      <c r="Q68" s="9"/>
      <c r="R68" s="9"/>
      <c r="S68" s="9"/>
      <c r="T68" s="9"/>
      <c r="U68" s="9"/>
      <c r="V68" s="9"/>
      <c r="W68" s="9"/>
      <c r="X68" s="9"/>
    </row>
    <row r="69" spans="2:24" ht="15.6">
      <c r="B69" s="275" t="s">
        <v>188</v>
      </c>
      <c r="C69" s="277">
        <f>SUM('Mkt share'!C82:C85)</f>
        <v>0.1</v>
      </c>
      <c r="D69" s="278" t="s">
        <v>186</v>
      </c>
      <c r="E69" s="277">
        <f>SUM('Mkt share'!G82:G85)</f>
        <v>0.5</v>
      </c>
      <c r="F69" s="9"/>
      <c r="G69" s="9"/>
      <c r="H69" s="9"/>
      <c r="I69" s="9"/>
      <c r="J69" s="9"/>
      <c r="K69" s="9"/>
      <c r="L69" s="9"/>
      <c r="M69" s="9"/>
      <c r="N69" s="9"/>
      <c r="O69" s="9"/>
      <c r="P69" s="9"/>
      <c r="Q69" s="9"/>
      <c r="R69" s="9"/>
      <c r="S69" s="9"/>
      <c r="T69" s="9"/>
      <c r="U69" s="9"/>
      <c r="V69" s="9"/>
      <c r="W69" s="9"/>
      <c r="X69" s="9"/>
    </row>
    <row r="70" spans="2:24" ht="14.55" customHeight="1">
      <c r="B70" s="9"/>
      <c r="C70" s="9"/>
      <c r="D70" s="9"/>
      <c r="E70" s="9"/>
      <c r="F70" s="9"/>
      <c r="G70" s="9"/>
      <c r="H70" s="9"/>
      <c r="I70" s="9"/>
      <c r="J70" s="9"/>
      <c r="K70" s="9"/>
      <c r="L70" s="9"/>
      <c r="M70" s="9"/>
      <c r="N70" s="9"/>
      <c r="O70" s="9"/>
      <c r="P70" s="9"/>
      <c r="Q70" s="9"/>
      <c r="R70" s="9"/>
      <c r="S70" s="9"/>
      <c r="T70" s="9"/>
      <c r="U70" s="9"/>
      <c r="V70" s="9"/>
      <c r="W70" s="9"/>
      <c r="X70" s="9"/>
    </row>
    <row r="72" spans="2:24">
      <c r="B72" s="491" t="s">
        <v>191</v>
      </c>
      <c r="C72" s="492"/>
      <c r="D72" s="189">
        <f>ano_1</f>
        <v>2026</v>
      </c>
      <c r="E72" s="189">
        <f>D72+1</f>
        <v>2027</v>
      </c>
      <c r="F72" s="189">
        <f t="shared" ref="F72:H72" si="7">E72+1</f>
        <v>2028</v>
      </c>
      <c r="G72" s="189">
        <f t="shared" si="7"/>
        <v>2029</v>
      </c>
      <c r="H72" s="189">
        <f t="shared" si="7"/>
        <v>2030</v>
      </c>
      <c r="I72" s="189" t="s">
        <v>313</v>
      </c>
      <c r="J72" s="9"/>
      <c r="K72" s="189" t="s">
        <v>190</v>
      </c>
      <c r="L72" s="9"/>
      <c r="M72" s="9"/>
      <c r="N72" s="9"/>
      <c r="O72" s="9"/>
      <c r="P72" s="9"/>
      <c r="Q72" s="9"/>
      <c r="R72" s="9"/>
      <c r="S72" s="9"/>
      <c r="T72" s="9"/>
      <c r="U72" s="9"/>
      <c r="V72" s="9"/>
      <c r="W72" s="9"/>
      <c r="X72" s="9"/>
    </row>
    <row r="73" spans="2:24">
      <c r="B73" s="9"/>
      <c r="C73" s="279" t="str">
        <f>'Mkt share'!B69</f>
        <v>Atorvastatin 80mg</v>
      </c>
      <c r="D73" s="318">
        <f ca="1">IF($E$69&gt;0,Calculations3!C25,0)</f>
        <v>130017977.89381656</v>
      </c>
      <c r="E73" s="318">
        <f ca="1">IF($E$69&gt;0,Calculations3!D25,0)</f>
        <v>131084385.40998092</v>
      </c>
      <c r="F73" s="318">
        <f ca="1">IF($E$69&gt;0,Calculations3!E25,0)</f>
        <v>132106108.89383878</v>
      </c>
      <c r="G73" s="318">
        <f ca="1">IF($E$69&gt;0,Calculations3!F25,0)</f>
        <v>133130260.27336565</v>
      </c>
      <c r="H73" s="318">
        <f ca="1">IF($E$69&gt;0,Calculations3!G25,0)</f>
        <v>134160020.87457004</v>
      </c>
      <c r="I73" s="319"/>
      <c r="J73" s="319"/>
      <c r="K73" s="318">
        <f ca="1">AVERAGE(D73:H73)</f>
        <v>132099750.66911438</v>
      </c>
      <c r="L73" s="9"/>
      <c r="M73" s="9"/>
      <c r="N73" s="9"/>
      <c r="O73" s="9"/>
      <c r="P73" s="9"/>
      <c r="Q73" s="9"/>
      <c r="R73" s="9"/>
      <c r="S73" s="9"/>
      <c r="T73" s="9"/>
      <c r="U73" s="9"/>
      <c r="V73" s="9"/>
      <c r="W73" s="9"/>
      <c r="X73" s="9"/>
    </row>
    <row r="74" spans="2:24" ht="15" thickBot="1">
      <c r="B74" s="280"/>
      <c r="C74" s="281" t="str">
        <f>B68</f>
        <v>Alternative scenario 3:</v>
      </c>
      <c r="D74" s="320">
        <f ca="1">Calculations3!C82</f>
        <v>156355805.36921442</v>
      </c>
      <c r="E74" s="320">
        <f ca="1">Calculations3!D82</f>
        <v>184305376.4669078</v>
      </c>
      <c r="F74" s="320">
        <f ca="1">Calculations3!E82</f>
        <v>212616920.31711382</v>
      </c>
      <c r="G74" s="320">
        <f ca="1">Calculations3!F82</f>
        <v>241348574.09835076</v>
      </c>
      <c r="H74" s="320">
        <f ca="1">Calculations3!G82</f>
        <v>270508234.10731053</v>
      </c>
      <c r="I74" s="321"/>
      <c r="J74" s="319"/>
      <c r="K74" s="318">
        <f ca="1">AVERAGE(D74:H74)</f>
        <v>213026982.07177946</v>
      </c>
      <c r="L74" s="9"/>
      <c r="M74" s="9"/>
      <c r="N74" s="9"/>
      <c r="O74" s="9"/>
      <c r="P74" s="9"/>
      <c r="Q74" s="9"/>
      <c r="R74" s="9"/>
      <c r="S74" s="9"/>
      <c r="T74" s="9"/>
      <c r="U74" s="9"/>
      <c r="V74" s="9"/>
      <c r="W74" s="9"/>
      <c r="X74" s="9"/>
    </row>
    <row r="75" spans="2:24">
      <c r="B75" s="9"/>
      <c r="C75" s="282" t="s">
        <v>187</v>
      </c>
      <c r="D75" s="322">
        <f ca="1">D74-D73</f>
        <v>26337827.475397855</v>
      </c>
      <c r="E75" s="322">
        <f t="shared" ref="E75:H75" ca="1" si="8">E74-E73</f>
        <v>53220991.056926876</v>
      </c>
      <c r="F75" s="322">
        <f t="shared" ca="1" si="8"/>
        <v>80510811.423275039</v>
      </c>
      <c r="G75" s="322">
        <f t="shared" ca="1" si="8"/>
        <v>108218313.82498512</v>
      </c>
      <c r="H75" s="322">
        <f t="shared" ca="1" si="8"/>
        <v>136348213.23274049</v>
      </c>
      <c r="I75" s="322">
        <f ca="1">SUM(D75:H75)</f>
        <v>404636157.01332539</v>
      </c>
      <c r="J75" s="319"/>
      <c r="K75" s="318">
        <f ca="1">AVERAGE(D75:H75)</f>
        <v>80927231.402665079</v>
      </c>
      <c r="L75" s="9"/>
      <c r="M75" s="9"/>
      <c r="N75" s="9"/>
      <c r="O75" s="9"/>
      <c r="P75" s="9"/>
      <c r="Q75" s="9"/>
      <c r="R75" s="9"/>
      <c r="S75" s="9"/>
      <c r="T75" s="9"/>
      <c r="U75" s="9"/>
      <c r="V75" s="9"/>
      <c r="W75" s="9"/>
      <c r="X75" s="9"/>
    </row>
    <row r="76" spans="2:24">
      <c r="D76" s="323"/>
      <c r="E76" s="323"/>
      <c r="F76" s="323"/>
      <c r="G76" s="323"/>
      <c r="H76" s="323"/>
      <c r="I76" s="323"/>
      <c r="J76" s="323"/>
      <c r="K76" s="323"/>
    </row>
    <row r="81" spans="2:24">
      <c r="B81" s="491" t="s">
        <v>192</v>
      </c>
      <c r="C81" s="492"/>
      <c r="D81" s="189">
        <f>ano_1</f>
        <v>2026</v>
      </c>
      <c r="E81" s="189">
        <f>D81+1</f>
        <v>2027</v>
      </c>
      <c r="F81" s="189">
        <f t="shared" ref="F81:H81" si="9">E81+1</f>
        <v>2028</v>
      </c>
      <c r="G81" s="189">
        <f t="shared" si="9"/>
        <v>2029</v>
      </c>
      <c r="H81" s="189">
        <f t="shared" si="9"/>
        <v>2030</v>
      </c>
      <c r="I81" s="189" t="s">
        <v>313</v>
      </c>
      <c r="J81" s="9"/>
      <c r="K81" s="189" t="s">
        <v>190</v>
      </c>
      <c r="L81" s="9"/>
      <c r="M81" s="9"/>
      <c r="N81" s="9"/>
      <c r="O81" s="9"/>
      <c r="P81" s="9"/>
      <c r="Q81" s="9"/>
      <c r="R81" s="9"/>
      <c r="S81" s="9"/>
      <c r="T81" s="9"/>
      <c r="U81" s="9"/>
      <c r="V81" s="9"/>
      <c r="W81" s="9"/>
      <c r="X81" s="9"/>
    </row>
    <row r="82" spans="2:24">
      <c r="B82" s="9"/>
      <c r="C82" s="279" t="str">
        <f>C73</f>
        <v>Atorvastatin 80mg</v>
      </c>
      <c r="D82" s="318">
        <f ca="1">IF($E$69&gt;0,Calculations3!K25,0)</f>
        <v>130017977.89381656</v>
      </c>
      <c r="E82" s="318">
        <f ca="1">IF($E$69&gt;0,Calculations3!L25,0)</f>
        <v>131084385.40998092</v>
      </c>
      <c r="F82" s="318">
        <f ca="1">IF($E$69&gt;0,Calculations3!M25,0)</f>
        <v>132106108.89383878</v>
      </c>
      <c r="G82" s="318">
        <f ca="1">IF($E$69&gt;0,Calculations3!N25,0)</f>
        <v>133130260.27336565</v>
      </c>
      <c r="H82" s="318">
        <f ca="1">IF($E$69&gt;0,Calculations3!O25,0)</f>
        <v>134160020.87457004</v>
      </c>
      <c r="I82" s="319"/>
      <c r="J82" s="319"/>
      <c r="K82" s="318">
        <f ca="1">AVERAGE(D82:H82)</f>
        <v>132099750.66911438</v>
      </c>
      <c r="L82" s="9"/>
      <c r="M82" s="9"/>
      <c r="N82" s="9"/>
      <c r="O82" s="9"/>
      <c r="P82" s="9"/>
      <c r="Q82" s="9"/>
      <c r="R82" s="9"/>
      <c r="S82" s="9"/>
      <c r="T82" s="9"/>
      <c r="U82" s="9"/>
      <c r="V82" s="9"/>
      <c r="W82" s="9"/>
      <c r="X82" s="9"/>
    </row>
    <row r="83" spans="2:24" ht="15" thickBot="1">
      <c r="B83" s="280"/>
      <c r="C83" s="281" t="str">
        <f>C74</f>
        <v>Alternative scenario 3:</v>
      </c>
      <c r="D83" s="320">
        <f ca="1">Calculations3!K82</f>
        <v>156355805.36921442</v>
      </c>
      <c r="E83" s="320">
        <f ca="1">Calculations3!L82</f>
        <v>184305376.4669078</v>
      </c>
      <c r="F83" s="320">
        <f ca="1">Calculations3!M82</f>
        <v>212616920.31711382</v>
      </c>
      <c r="G83" s="320">
        <f ca="1">Calculations3!N82</f>
        <v>241348574.09835076</v>
      </c>
      <c r="H83" s="320">
        <f ca="1">Calculations3!O82</f>
        <v>270508234.10731053</v>
      </c>
      <c r="I83" s="321"/>
      <c r="J83" s="319"/>
      <c r="K83" s="318">
        <f ca="1">AVERAGE(D83:H83)</f>
        <v>213026982.07177946</v>
      </c>
      <c r="L83" s="9"/>
      <c r="M83" s="9"/>
      <c r="N83" s="9"/>
      <c r="O83" s="9"/>
      <c r="P83" s="9"/>
      <c r="Q83" s="9"/>
      <c r="R83" s="9"/>
      <c r="S83" s="9"/>
      <c r="T83" s="9"/>
      <c r="U83" s="9"/>
      <c r="V83" s="9"/>
      <c r="W83" s="9"/>
      <c r="X83" s="9"/>
    </row>
    <row r="84" spans="2:24">
      <c r="B84" s="9"/>
      <c r="C84" s="282" t="str">
        <f>C75</f>
        <v>Incremental budget impact</v>
      </c>
      <c r="D84" s="322">
        <f ca="1">D83-D82</f>
        <v>26337827.475397855</v>
      </c>
      <c r="E84" s="322">
        <f t="shared" ref="E84:H84" ca="1" si="10">E83-E82</f>
        <v>53220991.056926876</v>
      </c>
      <c r="F84" s="322">
        <f t="shared" ca="1" si="10"/>
        <v>80510811.423275039</v>
      </c>
      <c r="G84" s="322">
        <f t="shared" ca="1" si="10"/>
        <v>108218313.82498512</v>
      </c>
      <c r="H84" s="322">
        <f t="shared" ca="1" si="10"/>
        <v>136348213.23274049</v>
      </c>
      <c r="I84" s="322">
        <f ca="1">SUM(D84:H84)</f>
        <v>404636157.01332539</v>
      </c>
      <c r="J84" s="319"/>
      <c r="K84" s="318">
        <f ca="1">AVERAGE(D84:H84)</f>
        <v>80927231.402665079</v>
      </c>
      <c r="L84" s="9"/>
      <c r="M84" s="9"/>
      <c r="N84" s="9"/>
      <c r="O84" s="9"/>
      <c r="P84" s="9"/>
      <c r="Q84" s="9"/>
      <c r="R84" s="9"/>
      <c r="S84" s="9"/>
      <c r="T84" s="9"/>
      <c r="U84" s="9"/>
      <c r="V84" s="9"/>
      <c r="W84" s="9"/>
      <c r="X84" s="9"/>
    </row>
    <row r="92" spans="2:24" ht="64.95" customHeight="1">
      <c r="B92" s="490"/>
      <c r="C92" s="490"/>
      <c r="D92" s="490"/>
      <c r="E92" s="490"/>
      <c r="F92" s="490"/>
      <c r="G92" s="490"/>
      <c r="H92" s="490"/>
      <c r="I92" s="490"/>
      <c r="J92" s="9"/>
      <c r="K92" s="9"/>
      <c r="L92" s="9"/>
      <c r="M92" s="9"/>
      <c r="N92" s="9"/>
      <c r="O92" s="9"/>
      <c r="P92" s="9"/>
      <c r="Q92" s="9"/>
      <c r="R92" s="9"/>
      <c r="S92" s="9"/>
      <c r="T92" s="9"/>
      <c r="U92" s="9"/>
      <c r="V92" s="9"/>
      <c r="W92" s="9"/>
      <c r="X92" s="9"/>
    </row>
    <row r="94" spans="2:24" ht="13.95" customHeight="1">
      <c r="B94" s="7"/>
      <c r="C94" s="7"/>
      <c r="D94" s="7"/>
      <c r="E94" s="7"/>
      <c r="F94" s="7"/>
      <c r="G94" s="7"/>
      <c r="H94" s="7"/>
      <c r="I94" s="7"/>
      <c r="J94" s="7"/>
      <c r="K94" s="7"/>
      <c r="L94" s="142"/>
      <c r="M94" s="142"/>
      <c r="N94" s="9"/>
      <c r="O94" s="9"/>
      <c r="P94" s="9"/>
      <c r="Q94" s="9"/>
      <c r="R94" s="9"/>
      <c r="S94" s="9"/>
      <c r="T94" s="9"/>
      <c r="U94" s="9"/>
      <c r="V94" s="9"/>
      <c r="W94" s="9"/>
      <c r="X94" s="9"/>
    </row>
    <row r="95" spans="2:24">
      <c r="B95" s="65"/>
      <c r="C95" s="65"/>
      <c r="D95" s="65"/>
      <c r="E95" s="65"/>
      <c r="F95" s="65"/>
      <c r="G95" s="65"/>
      <c r="H95" s="65"/>
      <c r="I95" s="65"/>
      <c r="J95" s="65"/>
      <c r="K95" s="65"/>
      <c r="L95" s="65"/>
      <c r="M95" s="65"/>
    </row>
    <row r="96" spans="2:24">
      <c r="B96" s="406" t="s">
        <v>77</v>
      </c>
      <c r="C96" s="406"/>
      <c r="D96" s="406"/>
      <c r="E96" s="406"/>
      <c r="F96" s="406"/>
      <c r="G96" s="406"/>
      <c r="H96" s="406"/>
      <c r="I96" s="406"/>
      <c r="J96" s="406"/>
      <c r="K96" s="406"/>
      <c r="L96" s="406"/>
      <c r="M96" s="406"/>
    </row>
    <row r="97" spans="2:13">
      <c r="B97" s="406"/>
      <c r="C97" s="406"/>
      <c r="D97" s="406"/>
      <c r="E97" s="406"/>
      <c r="F97" s="406"/>
      <c r="G97" s="406"/>
      <c r="H97" s="406"/>
      <c r="I97" s="406"/>
      <c r="J97" s="406"/>
      <c r="K97" s="406"/>
      <c r="L97" s="406"/>
      <c r="M97" s="406"/>
    </row>
    <row r="98" spans="2:13" s="1" customFormat="1" ht="85.95" customHeight="1">
      <c r="B98" s="405" t="e" vm="1">
        <v>#VALUE!</v>
      </c>
      <c r="C98" s="405"/>
      <c r="D98" s="405"/>
      <c r="E98" s="405"/>
      <c r="F98" s="405"/>
      <c r="G98" s="405"/>
      <c r="H98" s="405"/>
      <c r="I98" s="405"/>
      <c r="J98" s="405"/>
      <c r="K98" s="405"/>
      <c r="L98" s="405"/>
      <c r="M98" s="405"/>
    </row>
  </sheetData>
  <sheetProtection formatColumns="0" formatRows="0" autoFilter="0" pivotTables="0"/>
  <mergeCells count="11">
    <mergeCell ref="B12:C13"/>
    <mergeCell ref="B96:M97"/>
    <mergeCell ref="B98:M98"/>
    <mergeCell ref="T19:W21"/>
    <mergeCell ref="B92:I92"/>
    <mergeCell ref="B21:C21"/>
    <mergeCell ref="B30:C30"/>
    <mergeCell ref="B47:C47"/>
    <mergeCell ref="B56:C56"/>
    <mergeCell ref="B72:C72"/>
    <mergeCell ref="B81:C81"/>
  </mergeCells>
  <conditionalFormatting sqref="D13">
    <cfRule type="expression" dxfId="0" priority="1">
      <formula>IF($H$45=2,TRUE,FALSE)</formula>
    </cfRule>
  </conditionalFormatting>
  <dataValidations count="1">
    <dataValidation type="list" allowBlank="1" showInputMessage="1" showErrorMessage="1" sqref="D13" xr:uid="{B564552F-24C9-0649-8D40-7D35E97FF8B9}">
      <formula1>"Yes,No"</formula1>
    </dataValidation>
  </dataValidation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7514B-B031-49EE-B417-12410A586E2E}">
  <sheetPr codeName="Planilha3">
    <tabColor rgb="FF726C5A"/>
  </sheetPr>
  <dimension ref="A1:ED1029"/>
  <sheetViews>
    <sheetView showGridLines="0" showRowColHeaders="0" topLeftCell="B1" zoomScaleNormal="100" workbookViewId="0">
      <selection activeCell="AF1015" sqref="AF1015:AR1015"/>
    </sheetView>
  </sheetViews>
  <sheetFormatPr defaultColWidth="0" defaultRowHeight="14.4" zeroHeight="1"/>
  <cols>
    <col min="1" max="1" width="10.33203125" style="327" customWidth="1"/>
    <col min="2" max="2" width="6.6640625" customWidth="1"/>
    <col min="3" max="3" width="22.109375" style="325" customWidth="1"/>
    <col min="4" max="4" width="20.44140625" style="325" customWidth="1"/>
    <col min="5" max="5" width="18.6640625" style="325" customWidth="1"/>
    <col min="6" max="7" width="19.109375" style="325" customWidth="1"/>
    <col min="8" max="8" width="19.6640625" style="325" customWidth="1"/>
    <col min="9" max="9" width="5.109375" customWidth="1"/>
    <col min="10" max="10" width="20" style="325" customWidth="1"/>
    <col min="11" max="12" width="19.109375" style="325" customWidth="1"/>
    <col min="13" max="14" width="18.77734375" style="325" customWidth="1"/>
    <col min="15" max="15" width="18.109375" style="325" customWidth="1"/>
    <col min="16" max="16" width="5.6640625" customWidth="1"/>
    <col min="17" max="17" width="18.109375" customWidth="1"/>
    <col min="18" max="21" width="18.44140625" customWidth="1"/>
    <col min="22" max="22" width="18.6640625" customWidth="1"/>
    <col min="23" max="29" width="5.44140625" style="328" customWidth="1"/>
    <col min="30" max="30" width="4.44140625" style="328" customWidth="1"/>
    <col min="31" max="31" width="6.77734375" customWidth="1"/>
    <col min="32" max="32" width="24" customWidth="1"/>
    <col min="33" max="33" width="18.44140625" customWidth="1"/>
    <col min="34" max="34" width="25.44140625" customWidth="1"/>
    <col min="35" max="35" width="19" customWidth="1"/>
    <col min="36" max="36" width="22.109375" customWidth="1"/>
    <col min="37" max="37" width="19.6640625" customWidth="1"/>
    <col min="38" max="38" width="5.44140625" customWidth="1"/>
    <col min="39" max="40" width="23.109375" customWidth="1"/>
    <col min="41" max="41" width="18.109375" customWidth="1"/>
    <col min="42" max="42" width="24" customWidth="1"/>
    <col min="43" max="43" width="13.109375" customWidth="1"/>
    <col min="44" max="44" width="21.109375" customWidth="1"/>
    <col min="45" max="45" width="6.109375" customWidth="1"/>
    <col min="46" max="48" width="27.77734375" customWidth="1"/>
    <col min="49" max="49" width="27.77734375" style="324" customWidth="1"/>
    <col min="50" max="51" width="27.77734375" customWidth="1"/>
    <col min="52" max="52" width="8.77734375" customWidth="1"/>
    <col min="53" max="53" width="6.77734375" customWidth="1"/>
    <col min="54" max="57" width="7.109375" customWidth="1"/>
    <col min="58" max="58" width="6.6640625" customWidth="1"/>
    <col min="59" max="59" width="8.77734375" customWidth="1"/>
    <col min="60" max="134" width="0" hidden="1" customWidth="1"/>
    <col min="135" max="16384" width="8.77734375" hidden="1"/>
  </cols>
  <sheetData>
    <row r="1" spans="1:134" s="328" customFormat="1" ht="33.6">
      <c r="A1" s="333"/>
      <c r="B1" s="334" t="str">
        <f>Introduction!$B$1</f>
        <v>Budget impact analysis of treatments for Patients at high and very high cardiovascular risk</v>
      </c>
      <c r="C1" s="334"/>
      <c r="D1" s="335"/>
      <c r="E1" s="336"/>
      <c r="F1" s="336"/>
      <c r="G1" s="336"/>
      <c r="H1" s="336"/>
      <c r="I1" s="336"/>
      <c r="J1" s="336"/>
      <c r="K1" s="336"/>
      <c r="L1" s="336"/>
      <c r="M1" s="336"/>
      <c r="N1" s="336"/>
      <c r="O1" s="336"/>
      <c r="P1" s="336"/>
      <c r="Q1" s="336"/>
      <c r="R1" s="336"/>
      <c r="S1" s="336"/>
      <c r="T1" s="337"/>
      <c r="U1" s="337"/>
      <c r="V1" s="337"/>
      <c r="W1" s="337"/>
      <c r="X1" s="337"/>
      <c r="Y1" s="337"/>
      <c r="Z1" s="337"/>
      <c r="AA1" s="337"/>
      <c r="AB1" s="337"/>
      <c r="AC1" s="337"/>
      <c r="AD1" s="337"/>
      <c r="AE1" s="337"/>
      <c r="AF1" s="337"/>
      <c r="AG1" s="337"/>
      <c r="AH1" s="337"/>
      <c r="AI1" s="337"/>
      <c r="AJ1" s="337"/>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8"/>
      <c r="BK1" s="338"/>
      <c r="BL1" s="338"/>
      <c r="BM1" s="338"/>
      <c r="BN1" s="338"/>
      <c r="BO1" s="338"/>
      <c r="BP1" s="338"/>
      <c r="BQ1" s="338"/>
      <c r="BR1" s="338"/>
      <c r="BS1" s="338"/>
      <c r="BT1" s="338"/>
      <c r="BU1" s="338"/>
      <c r="BV1" s="338"/>
      <c r="BW1" s="338"/>
      <c r="BX1" s="338"/>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c r="DA1" s="338"/>
      <c r="DB1" s="338"/>
      <c r="DC1" s="338"/>
      <c r="DD1" s="338"/>
      <c r="DE1" s="338"/>
      <c r="DF1" s="338"/>
      <c r="DG1" s="338"/>
      <c r="DH1" s="338"/>
      <c r="DI1" s="338"/>
      <c r="DJ1" s="338"/>
      <c r="DK1" s="338"/>
      <c r="DL1" s="338"/>
      <c r="DM1" s="338"/>
      <c r="DN1" s="338"/>
      <c r="DO1" s="338"/>
      <c r="DP1" s="338"/>
      <c r="DQ1" s="338"/>
      <c r="DR1" s="338"/>
      <c r="DS1" s="338"/>
      <c r="DT1" s="338"/>
      <c r="DU1" s="338"/>
      <c r="DV1" s="338"/>
      <c r="DW1" s="338"/>
      <c r="DX1" s="338"/>
      <c r="DY1" s="338"/>
      <c r="DZ1" s="338"/>
      <c r="EA1" s="338"/>
      <c r="EB1" s="338"/>
      <c r="EC1" s="338"/>
      <c r="ED1" s="338"/>
    </row>
    <row r="2" spans="1:134" s="328" customFormat="1" ht="18.600000000000001" thickBot="1">
      <c r="A2" s="339"/>
      <c r="B2" s="37"/>
      <c r="C2" s="37"/>
      <c r="D2" s="38"/>
      <c r="E2" s="39"/>
      <c r="F2" s="39"/>
      <c r="G2" s="39"/>
      <c r="H2" s="39"/>
      <c r="I2" s="39"/>
      <c r="J2" s="39"/>
      <c r="K2" s="133"/>
      <c r="L2" s="133"/>
      <c r="M2" s="133"/>
      <c r="N2" s="133"/>
      <c r="O2" s="133"/>
      <c r="P2" s="133"/>
      <c r="Q2" s="133"/>
      <c r="R2" s="133"/>
      <c r="S2" s="39"/>
      <c r="T2" s="33"/>
      <c r="U2" s="33"/>
      <c r="V2" s="33"/>
      <c r="W2" s="33"/>
      <c r="X2" s="33"/>
      <c r="Y2" s="33"/>
      <c r="Z2" s="33"/>
      <c r="AA2" s="33"/>
      <c r="AB2" s="33"/>
      <c r="AC2" s="33"/>
      <c r="AD2" s="340"/>
      <c r="AE2" s="340"/>
      <c r="AF2" s="340"/>
      <c r="AG2" s="340"/>
      <c r="AH2" s="340"/>
      <c r="AI2" s="340"/>
      <c r="AJ2" s="340"/>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c r="BJ2" s="341"/>
      <c r="BK2" s="341"/>
      <c r="BL2" s="341"/>
      <c r="BM2" s="341"/>
      <c r="BN2" s="341"/>
      <c r="BO2" s="341"/>
      <c r="BP2" s="341"/>
      <c r="BQ2" s="341"/>
      <c r="BR2" s="341"/>
      <c r="BS2" s="341"/>
      <c r="BT2" s="341"/>
      <c r="BU2" s="341"/>
      <c r="BV2" s="341"/>
      <c r="BW2" s="341"/>
      <c r="BX2" s="341"/>
      <c r="BY2" s="34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c r="DA2" s="341"/>
      <c r="DB2" s="341"/>
      <c r="DC2" s="341"/>
      <c r="DD2" s="341"/>
      <c r="DE2" s="341"/>
      <c r="DF2" s="341"/>
      <c r="DG2" s="341"/>
      <c r="DH2" s="341"/>
      <c r="DI2" s="341"/>
      <c r="DJ2" s="341"/>
      <c r="DK2" s="341"/>
      <c r="DL2" s="341"/>
      <c r="DM2" s="341"/>
      <c r="DN2" s="341"/>
      <c r="DO2" s="341"/>
      <c r="DP2" s="341"/>
      <c r="DQ2" s="341"/>
      <c r="DR2" s="341"/>
      <c r="DS2" s="341"/>
      <c r="DT2" s="341"/>
      <c r="DU2" s="341"/>
      <c r="DV2" s="341"/>
      <c r="DW2" s="341"/>
      <c r="DX2" s="341"/>
      <c r="DY2" s="341"/>
      <c r="DZ2" s="341"/>
      <c r="EA2" s="341"/>
      <c r="EB2" s="341"/>
      <c r="EC2" s="341"/>
      <c r="ED2" s="341"/>
    </row>
    <row r="3" spans="1:134" ht="18">
      <c r="A3" s="326"/>
      <c r="B3" s="342"/>
      <c r="C3" s="496" t="s">
        <v>324</v>
      </c>
      <c r="D3" s="496"/>
      <c r="E3" s="496"/>
      <c r="F3" s="496"/>
      <c r="G3" s="496"/>
      <c r="H3" s="496"/>
      <c r="I3" s="343"/>
      <c r="J3" s="496" t="s">
        <v>325</v>
      </c>
      <c r="K3" s="496"/>
      <c r="L3" s="496"/>
      <c r="M3" s="496"/>
      <c r="N3" s="496"/>
      <c r="O3" s="496"/>
      <c r="P3" s="343"/>
      <c r="Q3" s="497" t="s">
        <v>327</v>
      </c>
      <c r="R3" s="497"/>
      <c r="S3" s="497"/>
      <c r="T3" s="497"/>
      <c r="U3" s="497"/>
      <c r="V3" s="497"/>
      <c r="W3" s="343"/>
      <c r="X3" s="343"/>
      <c r="Y3" s="343"/>
      <c r="Z3" s="343"/>
      <c r="AA3" s="343"/>
      <c r="AB3" s="343"/>
      <c r="AC3" s="358"/>
      <c r="AD3" s="360"/>
      <c r="AE3" s="342"/>
      <c r="AF3" s="496" t="s">
        <v>324</v>
      </c>
      <c r="AG3" s="496"/>
      <c r="AH3" s="496"/>
      <c r="AI3" s="496"/>
      <c r="AJ3" s="496"/>
      <c r="AK3" s="496"/>
      <c r="AL3" s="343"/>
      <c r="AM3" s="496" t="s">
        <v>325</v>
      </c>
      <c r="AN3" s="496"/>
      <c r="AO3" s="496"/>
      <c r="AP3" s="496"/>
      <c r="AQ3" s="496"/>
      <c r="AR3" s="496"/>
      <c r="AS3" s="343"/>
      <c r="AT3" s="497" t="s">
        <v>327</v>
      </c>
      <c r="AU3" s="497"/>
      <c r="AV3" s="497"/>
      <c r="AW3" s="497"/>
      <c r="AX3" s="497"/>
      <c r="AY3" s="497"/>
      <c r="AZ3" s="343"/>
      <c r="BA3" s="343"/>
      <c r="BB3" s="343"/>
      <c r="BC3" s="343"/>
      <c r="BD3" s="343"/>
      <c r="BE3" s="343"/>
      <c r="BF3" s="358"/>
      <c r="BG3" s="360"/>
    </row>
    <row r="4" spans="1:134" ht="18">
      <c r="A4" s="326"/>
      <c r="B4" s="344"/>
      <c r="C4" s="345">
        <f>ano_1</f>
        <v>2026</v>
      </c>
      <c r="D4" s="345">
        <f>C4+1</f>
        <v>2027</v>
      </c>
      <c r="E4" s="345">
        <f t="shared" ref="E4:G4" si="0">D4+1</f>
        <v>2028</v>
      </c>
      <c r="F4" s="345">
        <f t="shared" si="0"/>
        <v>2029</v>
      </c>
      <c r="G4" s="345">
        <f t="shared" si="0"/>
        <v>2030</v>
      </c>
      <c r="H4" s="345" t="s">
        <v>313</v>
      </c>
      <c r="I4" s="346"/>
      <c r="J4" s="345">
        <f>ano_1</f>
        <v>2026</v>
      </c>
      <c r="K4" s="345">
        <f>J4+1</f>
        <v>2027</v>
      </c>
      <c r="L4" s="345">
        <f t="shared" ref="L4:N4" si="1">K4+1</f>
        <v>2028</v>
      </c>
      <c r="M4" s="345">
        <f t="shared" si="1"/>
        <v>2029</v>
      </c>
      <c r="N4" s="345">
        <f t="shared" si="1"/>
        <v>2030</v>
      </c>
      <c r="O4" s="347" t="s">
        <v>313</v>
      </c>
      <c r="P4" s="365"/>
      <c r="Q4" s="345">
        <f>ano_1</f>
        <v>2026</v>
      </c>
      <c r="R4" s="345">
        <f>Q4+1</f>
        <v>2027</v>
      </c>
      <c r="S4" s="345">
        <f t="shared" ref="S4:U4" si="2">R4+1</f>
        <v>2028</v>
      </c>
      <c r="T4" s="345">
        <f t="shared" si="2"/>
        <v>2029</v>
      </c>
      <c r="U4" s="345">
        <f t="shared" si="2"/>
        <v>2030</v>
      </c>
      <c r="V4" s="347" t="s">
        <v>313</v>
      </c>
      <c r="W4" s="365"/>
      <c r="X4" s="365"/>
      <c r="Y4" s="365"/>
      <c r="Z4" s="365"/>
      <c r="AA4" s="365"/>
      <c r="AB4" s="365"/>
      <c r="AC4" s="366"/>
      <c r="AD4" s="367"/>
      <c r="AE4" s="344"/>
      <c r="AF4" s="345">
        <f>ano_1</f>
        <v>2026</v>
      </c>
      <c r="AG4" s="345">
        <f>AF4+1</f>
        <v>2027</v>
      </c>
      <c r="AH4" s="345">
        <f t="shared" ref="AH4:AJ4" si="3">AG4+1</f>
        <v>2028</v>
      </c>
      <c r="AI4" s="345">
        <f t="shared" si="3"/>
        <v>2029</v>
      </c>
      <c r="AJ4" s="345">
        <f t="shared" si="3"/>
        <v>2030</v>
      </c>
      <c r="AK4" s="345" t="s">
        <v>313</v>
      </c>
      <c r="AL4" s="346"/>
      <c r="AM4" s="345">
        <f>ano_1</f>
        <v>2026</v>
      </c>
      <c r="AN4" s="345">
        <f>AM4+1</f>
        <v>2027</v>
      </c>
      <c r="AO4" s="345">
        <f t="shared" ref="AO4:AQ4" si="4">AN4+1</f>
        <v>2028</v>
      </c>
      <c r="AP4" s="345">
        <f t="shared" si="4"/>
        <v>2029</v>
      </c>
      <c r="AQ4" s="345">
        <f t="shared" si="4"/>
        <v>2030</v>
      </c>
      <c r="AR4" s="347" t="s">
        <v>313</v>
      </c>
      <c r="AS4" s="365"/>
      <c r="AT4" s="345">
        <f>ano_1</f>
        <v>2026</v>
      </c>
      <c r="AU4" s="345">
        <f>AT4+1</f>
        <v>2027</v>
      </c>
      <c r="AV4" s="345">
        <f t="shared" ref="AV4:AX4" si="5">AU4+1</f>
        <v>2028</v>
      </c>
      <c r="AW4" s="345">
        <f t="shared" si="5"/>
        <v>2029</v>
      </c>
      <c r="AX4" s="345">
        <f t="shared" si="5"/>
        <v>2030</v>
      </c>
      <c r="AY4" s="347" t="s">
        <v>313</v>
      </c>
      <c r="AZ4" s="365"/>
      <c r="BA4" s="365"/>
      <c r="BB4" s="365"/>
      <c r="BC4" s="365"/>
      <c r="BD4" s="365"/>
      <c r="BE4" s="365"/>
      <c r="BF4" s="366"/>
      <c r="BG4" s="359"/>
    </row>
    <row r="5" spans="1:134" ht="18">
      <c r="A5" s="326"/>
      <c r="B5" s="344"/>
      <c r="C5" s="348">
        <f ca="1">Results!D22</f>
        <v>130017977.89381656</v>
      </c>
      <c r="D5" s="348">
        <f ca="1">Results!E22</f>
        <v>131084385.40998092</v>
      </c>
      <c r="E5" s="348">
        <f ca="1">Results!F22</f>
        <v>132106108.89383878</v>
      </c>
      <c r="F5" s="348">
        <f ca="1">Results!G22</f>
        <v>133130260.27336565</v>
      </c>
      <c r="G5" s="348">
        <f ca="1">Results!H22</f>
        <v>134160020.87457004</v>
      </c>
      <c r="H5" s="348">
        <f ca="1">SUM(C5:G5)</f>
        <v>660498753.34557188</v>
      </c>
      <c r="I5" s="349"/>
      <c r="J5" s="350">
        <f ca="1">Results!D23</f>
        <v>163299085.03097004</v>
      </c>
      <c r="K5" s="350">
        <f ca="1">Results!E23</f>
        <v>198305833.35655677</v>
      </c>
      <c r="L5" s="350">
        <f ca="1">Results!F23</f>
        <v>233781293.28925839</v>
      </c>
      <c r="M5" s="350">
        <f ca="1">Results!G23</f>
        <v>269786506.86716211</v>
      </c>
      <c r="N5" s="350">
        <f ca="1">Results!H23</f>
        <v>306330608.80690241</v>
      </c>
      <c r="O5" s="348">
        <f ca="1">SUM(J5:N5)</f>
        <v>1171503327.3508496</v>
      </c>
      <c r="P5" s="368"/>
      <c r="Q5" s="350">
        <f ca="1">J5-C5</f>
        <v>33281107.137153476</v>
      </c>
      <c r="R5" s="350">
        <f t="shared" ref="R5:U5" ca="1" si="6">K5-D5</f>
        <v>67221447.94657585</v>
      </c>
      <c r="S5" s="350">
        <f t="shared" ca="1" si="6"/>
        <v>101675184.39541961</v>
      </c>
      <c r="T5" s="350">
        <f t="shared" ca="1" si="6"/>
        <v>136656246.59379646</v>
      </c>
      <c r="U5" s="350">
        <f t="shared" ca="1" si="6"/>
        <v>172170587.93233237</v>
      </c>
      <c r="V5" s="350">
        <f ca="1">O5-H5</f>
        <v>511004574.00527775</v>
      </c>
      <c r="W5" s="365"/>
      <c r="X5" s="365"/>
      <c r="Y5" s="365"/>
      <c r="Z5" s="365"/>
      <c r="AA5" s="365"/>
      <c r="AB5" s="365"/>
      <c r="AC5" s="366"/>
      <c r="AD5" s="367"/>
      <c r="AE5" s="344"/>
      <c r="AF5" s="348">
        <f ca="1">Results!D31</f>
        <v>130017977.89381656</v>
      </c>
      <c r="AG5" s="348">
        <f ca="1">Results!E31</f>
        <v>131084385.40998092</v>
      </c>
      <c r="AH5" s="348">
        <f ca="1">Results!F31</f>
        <v>132106108.89383878</v>
      </c>
      <c r="AI5" s="348">
        <f ca="1">Results!G31</f>
        <v>133130260.27336565</v>
      </c>
      <c r="AJ5" s="348">
        <f ca="1">Results!H31</f>
        <v>134160020.87457004</v>
      </c>
      <c r="AK5" s="348">
        <f ca="1">SUM(AF5:AJ5)</f>
        <v>660498753.34557188</v>
      </c>
      <c r="AL5" s="349"/>
      <c r="AM5" s="350">
        <f ca="1">Results!D32</f>
        <v>163299085.03097004</v>
      </c>
      <c r="AN5" s="350">
        <f ca="1">Results!E32</f>
        <v>198305833.35655677</v>
      </c>
      <c r="AO5" s="350">
        <f ca="1">Results!F32</f>
        <v>233781293.28925839</v>
      </c>
      <c r="AP5" s="350">
        <f ca="1">Results!G32</f>
        <v>269786506.86716211</v>
      </c>
      <c r="AQ5" s="350">
        <f ca="1">Results!H32</f>
        <v>306330608.80690241</v>
      </c>
      <c r="AR5" s="348">
        <f ca="1">SUM(AM5:AQ5)</f>
        <v>1171503327.3508496</v>
      </c>
      <c r="AS5" s="368"/>
      <c r="AT5" s="350">
        <f ca="1">AM5-AF5</f>
        <v>33281107.137153476</v>
      </c>
      <c r="AU5" s="350">
        <f t="shared" ref="AU5" ca="1" si="7">AN5-AG5</f>
        <v>67221447.94657585</v>
      </c>
      <c r="AV5" s="350">
        <f t="shared" ref="AV5" ca="1" si="8">AO5-AH5</f>
        <v>101675184.39541961</v>
      </c>
      <c r="AW5" s="350">
        <f t="shared" ref="AW5" ca="1" si="9">AP5-AI5</f>
        <v>136656246.59379646</v>
      </c>
      <c r="AX5" s="350">
        <f t="shared" ref="AX5" ca="1" si="10">AQ5-AJ5</f>
        <v>172170587.93233237</v>
      </c>
      <c r="AY5" s="350">
        <f t="shared" ref="AY5" ca="1" si="11">AR5-AK5</f>
        <v>511004574.00527775</v>
      </c>
      <c r="AZ5" s="365"/>
      <c r="BA5" s="365"/>
      <c r="BB5" s="365"/>
      <c r="BC5" s="365"/>
      <c r="BD5" s="365"/>
      <c r="BE5" s="365"/>
      <c r="BF5" s="366"/>
      <c r="BG5" s="359"/>
    </row>
    <row r="6" spans="1:134" ht="18">
      <c r="A6" s="326"/>
      <c r="B6" s="344"/>
      <c r="C6" s="369"/>
      <c r="D6" s="369"/>
      <c r="E6" s="369"/>
      <c r="F6" s="369"/>
      <c r="G6" s="369"/>
      <c r="H6" s="369"/>
      <c r="I6" s="369"/>
      <c r="J6" s="369"/>
      <c r="K6" s="369"/>
      <c r="L6" s="369"/>
      <c r="M6" s="369"/>
      <c r="N6" s="369"/>
      <c r="O6" s="369"/>
      <c r="P6" s="369"/>
      <c r="Q6" s="369"/>
      <c r="R6" s="369"/>
      <c r="S6" s="369"/>
      <c r="T6" s="369"/>
      <c r="U6" s="369"/>
      <c r="V6" s="369"/>
      <c r="W6" s="365"/>
      <c r="X6" s="365"/>
      <c r="Y6" s="365"/>
      <c r="Z6" s="365"/>
      <c r="AA6" s="365"/>
      <c r="AB6" s="365"/>
      <c r="AC6" s="366"/>
      <c r="AD6" s="367"/>
      <c r="AE6" s="344"/>
      <c r="AF6" s="369"/>
      <c r="AG6" s="369"/>
      <c r="AH6" s="369"/>
      <c r="AI6" s="369"/>
      <c r="AJ6" s="369"/>
      <c r="AK6" s="369"/>
      <c r="AL6" s="369"/>
      <c r="AM6" s="369"/>
      <c r="AN6" s="369"/>
      <c r="AO6" s="369"/>
      <c r="AP6" s="369"/>
      <c r="AQ6" s="369"/>
      <c r="AR6" s="369"/>
      <c r="AS6" s="369"/>
      <c r="AT6" s="369"/>
      <c r="AU6" s="369"/>
      <c r="AV6" s="369"/>
      <c r="AW6" s="369"/>
      <c r="AX6" s="369"/>
      <c r="AY6" s="369"/>
      <c r="AZ6" s="365"/>
      <c r="BA6" s="365"/>
      <c r="BB6" s="365"/>
      <c r="BC6" s="365"/>
      <c r="BD6" s="365"/>
      <c r="BE6" s="365"/>
      <c r="BF6" s="366"/>
      <c r="BG6" s="359"/>
    </row>
    <row r="7" spans="1:134" ht="18">
      <c r="A7" s="326"/>
      <c r="B7" s="351" t="s">
        <v>326</v>
      </c>
      <c r="C7" s="350">
        <f>AVERAGEIF(C16:C1015,"&gt;0")</f>
        <v>129794193.52160063</v>
      </c>
      <c r="D7" s="350">
        <f t="shared" ref="D7:O7" si="12">AVERAGEIF(D16:D1015,"&gt;0")</f>
        <v>130858765.55823848</v>
      </c>
      <c r="E7" s="350">
        <f t="shared" si="12"/>
        <v>131878730.4718422</v>
      </c>
      <c r="F7" s="350">
        <f t="shared" si="12"/>
        <v>132901119.1022689</v>
      </c>
      <c r="G7" s="350">
        <f t="shared" si="12"/>
        <v>133929107.29989198</v>
      </c>
      <c r="H7" s="350">
        <f t="shared" si="12"/>
        <v>659361915.95384169</v>
      </c>
      <c r="I7" s="369"/>
      <c r="J7" s="350">
        <f>AVERAGEIF(J16:J1015,"&gt;0")</f>
        <v>163061668.49754834</v>
      </c>
      <c r="K7" s="350">
        <f t="shared" si="12"/>
        <v>198052405.25732341</v>
      </c>
      <c r="L7" s="350">
        <f t="shared" si="12"/>
        <v>233511715.97349435</v>
      </c>
      <c r="M7" s="350">
        <f t="shared" si="12"/>
        <v>269500555.87494618</v>
      </c>
      <c r="N7" s="350">
        <f t="shared" si="12"/>
        <v>306028051.72232085</v>
      </c>
      <c r="O7" s="350">
        <f t="shared" si="12"/>
        <v>1170154397.3256342</v>
      </c>
      <c r="P7" s="368"/>
      <c r="Q7" s="370">
        <f t="shared" ref="Q7:V7" si="13">AVERAGE(Q16:Q1015)</f>
        <v>33267474.975947615</v>
      </c>
      <c r="R7" s="370">
        <f t="shared" si="13"/>
        <v>67193639.699084938</v>
      </c>
      <c r="S7" s="370">
        <f t="shared" si="13"/>
        <v>101632985.50165229</v>
      </c>
      <c r="T7" s="370">
        <f t="shared" si="13"/>
        <v>136599436.77267721</v>
      </c>
      <c r="U7" s="370">
        <f t="shared" si="13"/>
        <v>172098944.42242894</v>
      </c>
      <c r="V7" s="370">
        <f t="shared" si="13"/>
        <v>510792481.37179095</v>
      </c>
      <c r="W7" s="365"/>
      <c r="X7" s="365"/>
      <c r="Y7" s="365"/>
      <c r="Z7" s="365"/>
      <c r="AA7" s="365"/>
      <c r="AB7" s="365"/>
      <c r="AC7" s="366"/>
      <c r="AD7" s="367"/>
      <c r="AE7" s="351" t="s">
        <v>326</v>
      </c>
      <c r="AF7" s="350">
        <f>AVERAGEIF(AF16:AF1015,"&gt;0")</f>
        <v>130105071.12834467</v>
      </c>
      <c r="AG7" s="350">
        <f t="shared" ref="AG7:AK7" si="14">AVERAGEIF(AG16:AG1015,"&gt;0")</f>
        <v>131172192.98325956</v>
      </c>
      <c r="AH7" s="350">
        <f t="shared" si="14"/>
        <v>132194600.87403139</v>
      </c>
      <c r="AI7" s="350">
        <f t="shared" si="14"/>
        <v>133219438.28681102</v>
      </c>
      <c r="AJ7" s="350">
        <f t="shared" si="14"/>
        <v>134249888.67863509</v>
      </c>
      <c r="AK7" s="350">
        <f t="shared" si="14"/>
        <v>660941191.95108199</v>
      </c>
      <c r="AL7" s="369"/>
      <c r="AM7" s="350">
        <f>AVERAGEIF(AM16:AM1015,"&gt;0")</f>
        <v>163430652.02189478</v>
      </c>
      <c r="AN7" s="350">
        <f t="shared" ref="AN7:AR7" si="15">AVERAGEIF(AN16:AN1015,"&gt;0")</f>
        <v>198483677.06260085</v>
      </c>
      <c r="AO7" s="350">
        <f t="shared" si="15"/>
        <v>234006073.06997085</v>
      </c>
      <c r="AP7" s="350">
        <f t="shared" si="15"/>
        <v>270058932.26670277</v>
      </c>
      <c r="AQ7" s="350">
        <f t="shared" si="15"/>
        <v>306651399.48771369</v>
      </c>
      <c r="AR7" s="350">
        <f t="shared" si="15"/>
        <v>1172630733.9088807</v>
      </c>
      <c r="AS7" s="368"/>
      <c r="AT7" s="370">
        <f t="shared" ref="AT7:AY7" si="16">AVERAGE(AT16:AT1015)</f>
        <v>33325580.89354999</v>
      </c>
      <c r="AU7" s="370">
        <f t="shared" si="16"/>
        <v>67311484.079341277</v>
      </c>
      <c r="AV7" s="370">
        <f t="shared" si="16"/>
        <v>101811472.19593953</v>
      </c>
      <c r="AW7" s="370">
        <f t="shared" si="16"/>
        <v>136839493.97989151</v>
      </c>
      <c r="AX7" s="370">
        <f t="shared" si="16"/>
        <v>172401510.80907801</v>
      </c>
      <c r="AY7" s="370">
        <f t="shared" si="16"/>
        <v>511689541.95780104</v>
      </c>
      <c r="AZ7" s="365"/>
      <c r="BA7" s="365"/>
      <c r="BB7" s="365"/>
      <c r="BC7" s="365"/>
      <c r="BD7" s="365"/>
      <c r="BE7" s="365"/>
      <c r="BF7" s="366"/>
      <c r="BG7" s="359"/>
    </row>
    <row r="8" spans="1:134" ht="18">
      <c r="A8" s="326"/>
      <c r="B8" s="344"/>
      <c r="C8" s="371"/>
      <c r="D8" s="371"/>
      <c r="E8" s="371"/>
      <c r="F8" s="371"/>
      <c r="G8" s="371"/>
      <c r="H8" s="371"/>
      <c r="I8" s="365"/>
      <c r="J8" s="371"/>
      <c r="K8" s="371"/>
      <c r="L8" s="371"/>
      <c r="M8" s="371"/>
      <c r="N8" s="371"/>
      <c r="O8" s="371"/>
      <c r="P8" s="365"/>
      <c r="Q8" s="372">
        <v>0</v>
      </c>
      <c r="R8" s="372">
        <v>0</v>
      </c>
      <c r="S8" s="372">
        <v>0</v>
      </c>
      <c r="T8" s="372">
        <v>0</v>
      </c>
      <c r="U8" s="372">
        <v>0</v>
      </c>
      <c r="V8" s="372">
        <v>0</v>
      </c>
      <c r="W8" s="365"/>
      <c r="X8" s="365"/>
      <c r="Y8" s="365"/>
      <c r="Z8" s="365"/>
      <c r="AA8" s="365"/>
      <c r="AB8" s="365"/>
      <c r="AC8" s="366"/>
      <c r="AD8" s="367"/>
      <c r="AE8" s="344"/>
      <c r="AF8" s="371"/>
      <c r="AG8" s="371"/>
      <c r="AH8" s="371"/>
      <c r="AI8" s="371"/>
      <c r="AJ8" s="371"/>
      <c r="AK8" s="371"/>
      <c r="AL8" s="365"/>
      <c r="AM8" s="371"/>
      <c r="AN8" s="371"/>
      <c r="AO8" s="371"/>
      <c r="AP8" s="371"/>
      <c r="AQ8" s="371"/>
      <c r="AR8" s="371"/>
      <c r="AS8" s="365"/>
      <c r="AT8" s="372">
        <v>0</v>
      </c>
      <c r="AU8" s="372">
        <v>0</v>
      </c>
      <c r="AV8" s="372">
        <v>0</v>
      </c>
      <c r="AW8" s="372">
        <v>0</v>
      </c>
      <c r="AX8" s="372">
        <v>0</v>
      </c>
      <c r="AY8" s="372">
        <v>0</v>
      </c>
      <c r="AZ8" s="365"/>
      <c r="BA8" s="365"/>
      <c r="BB8" s="365"/>
      <c r="BC8" s="365"/>
      <c r="BD8" s="365"/>
      <c r="BE8" s="365"/>
      <c r="BF8" s="366"/>
      <c r="BG8" s="359"/>
    </row>
    <row r="9" spans="1:134" ht="18">
      <c r="A9" s="326"/>
      <c r="B9" s="344"/>
      <c r="C9" s="371"/>
      <c r="D9" s="371"/>
      <c r="E9" s="371"/>
      <c r="F9" s="371"/>
      <c r="G9" s="371"/>
      <c r="H9" s="371"/>
      <c r="I9" s="365"/>
      <c r="J9" s="371"/>
      <c r="K9" s="371"/>
      <c r="L9" s="371"/>
      <c r="M9" s="371"/>
      <c r="N9" s="371"/>
      <c r="O9" s="371"/>
      <c r="P9" s="365"/>
      <c r="Q9" s="370">
        <f t="shared" ref="Q9:V9" si="17">MIN(Q16:Q1015)</f>
        <v>23376086.938630342</v>
      </c>
      <c r="R9" s="370">
        <f t="shared" si="17"/>
        <v>47242211.030771434</v>
      </c>
      <c r="S9" s="370">
        <f t="shared" si="17"/>
        <v>71469356.476956755</v>
      </c>
      <c r="T9" s="370">
        <f t="shared" si="17"/>
        <v>96067309.051393762</v>
      </c>
      <c r="U9" s="370">
        <f t="shared" si="17"/>
        <v>121040254.43672636</v>
      </c>
      <c r="V9" s="370">
        <f t="shared" si="17"/>
        <v>359195217.93447852</v>
      </c>
      <c r="W9" s="365"/>
      <c r="X9" s="365"/>
      <c r="Y9" s="365"/>
      <c r="Z9" s="365"/>
      <c r="AA9" s="365"/>
      <c r="AB9" s="365"/>
      <c r="AC9" s="366"/>
      <c r="AD9" s="367"/>
      <c r="AE9" s="344"/>
      <c r="AF9" s="371"/>
      <c r="AG9" s="371"/>
      <c r="AH9" s="371"/>
      <c r="AI9" s="371"/>
      <c r="AJ9" s="371"/>
      <c r="AK9" s="371"/>
      <c r="AL9" s="365"/>
      <c r="AM9" s="371"/>
      <c r="AN9" s="371"/>
      <c r="AO9" s="371"/>
      <c r="AP9" s="371"/>
      <c r="AQ9" s="371"/>
      <c r="AR9" s="371"/>
      <c r="AS9" s="365"/>
      <c r="AT9" s="370">
        <f t="shared" ref="AT9:AY9" si="18">MIN(AT16:AT1015)</f>
        <v>21727337.287415937</v>
      </c>
      <c r="AU9" s="370">
        <f t="shared" si="18"/>
        <v>43890852.886450559</v>
      </c>
      <c r="AV9" s="370">
        <f t="shared" si="18"/>
        <v>66389625.676400125</v>
      </c>
      <c r="AW9" s="370">
        <f t="shared" si="18"/>
        <v>89232750.154314965</v>
      </c>
      <c r="AX9" s="370">
        <f t="shared" si="18"/>
        <v>112424113.83515991</v>
      </c>
      <c r="AY9" s="370">
        <f t="shared" si="18"/>
        <v>333664679.83974135</v>
      </c>
      <c r="AZ9" s="365"/>
      <c r="BA9" s="365"/>
      <c r="BB9" s="365"/>
      <c r="BC9" s="365"/>
      <c r="BD9" s="365"/>
      <c r="BE9" s="365"/>
      <c r="BF9" s="366"/>
      <c r="BG9" s="359"/>
    </row>
    <row r="10" spans="1:134" ht="18">
      <c r="A10" s="326"/>
      <c r="B10" s="344"/>
      <c r="C10" s="371"/>
      <c r="D10" s="371"/>
      <c r="E10" s="371"/>
      <c r="F10" s="371"/>
      <c r="G10" s="371"/>
      <c r="H10" s="371"/>
      <c r="I10" s="365"/>
      <c r="J10" s="371"/>
      <c r="K10" s="371"/>
      <c r="L10" s="371"/>
      <c r="M10" s="371"/>
      <c r="N10" s="371"/>
      <c r="O10" s="371"/>
      <c r="P10" s="365"/>
      <c r="Q10" s="370">
        <f t="shared" ref="Q10:V10" si="19">MAX(Q16:Q1015)</f>
        <v>47495760.778985202</v>
      </c>
      <c r="R10" s="370">
        <f t="shared" si="19"/>
        <v>95900184.877771318</v>
      </c>
      <c r="S10" s="370">
        <f t="shared" si="19"/>
        <v>145036779.46658251</v>
      </c>
      <c r="T10" s="370">
        <f t="shared" si="19"/>
        <v>194925422.54253733</v>
      </c>
      <c r="U10" s="370">
        <f t="shared" si="19"/>
        <v>245574605.33664161</v>
      </c>
      <c r="V10" s="370">
        <f t="shared" si="19"/>
        <v>728932753.00251794</v>
      </c>
      <c r="W10" s="365"/>
      <c r="X10" s="365"/>
      <c r="Y10" s="365"/>
      <c r="Z10" s="365"/>
      <c r="AA10" s="365"/>
      <c r="AB10" s="365"/>
      <c r="AC10" s="366"/>
      <c r="AD10" s="367"/>
      <c r="AE10" s="344"/>
      <c r="AF10" s="371"/>
      <c r="AG10" s="371"/>
      <c r="AH10" s="371"/>
      <c r="AI10" s="371"/>
      <c r="AJ10" s="371"/>
      <c r="AK10" s="371"/>
      <c r="AL10" s="365"/>
      <c r="AM10" s="371"/>
      <c r="AN10" s="371"/>
      <c r="AO10" s="371"/>
      <c r="AP10" s="371"/>
      <c r="AQ10" s="371"/>
      <c r="AR10" s="371"/>
      <c r="AS10" s="365"/>
      <c r="AT10" s="370">
        <f t="shared" ref="AT10:AY10" si="20">MAX(AT16:AT1015)</f>
        <v>48080401.780305117</v>
      </c>
      <c r="AU10" s="370">
        <f t="shared" si="20"/>
        <v>97107048.22744748</v>
      </c>
      <c r="AV10" s="370">
        <f t="shared" si="20"/>
        <v>146875289.17945978</v>
      </c>
      <c r="AW10" s="370">
        <f t="shared" si="20"/>
        <v>197405248.7849977</v>
      </c>
      <c r="AX10" s="370">
        <f t="shared" si="20"/>
        <v>248705526.82562038</v>
      </c>
      <c r="AY10" s="370">
        <f t="shared" si="20"/>
        <v>738173514.7978307</v>
      </c>
      <c r="AZ10" s="365"/>
      <c r="BA10" s="365"/>
      <c r="BB10" s="365"/>
      <c r="BC10" s="365"/>
      <c r="BD10" s="365"/>
      <c r="BE10" s="365"/>
      <c r="BF10" s="366"/>
      <c r="BG10" s="359"/>
    </row>
    <row r="11" spans="1:134" ht="18">
      <c r="A11" s="326"/>
      <c r="B11" s="344"/>
      <c r="C11" s="371"/>
      <c r="D11" s="371"/>
      <c r="E11" s="371"/>
      <c r="F11" s="371"/>
      <c r="G11" s="371"/>
      <c r="H11" s="371"/>
      <c r="I11" s="365"/>
      <c r="J11" s="371"/>
      <c r="K11" s="371"/>
      <c r="L11" s="371"/>
      <c r="M11" s="371"/>
      <c r="N11" s="371"/>
      <c r="O11" s="371"/>
      <c r="P11" s="362" t="s">
        <v>323</v>
      </c>
      <c r="Q11" s="357">
        <f t="shared" ref="Q11:V11" si="21">SUM(X16:X1015)/1000</f>
        <v>0</v>
      </c>
      <c r="R11" s="357">
        <f t="shared" si="21"/>
        <v>0</v>
      </c>
      <c r="S11" s="357">
        <f t="shared" si="21"/>
        <v>0</v>
      </c>
      <c r="T11" s="357">
        <f t="shared" si="21"/>
        <v>0</v>
      </c>
      <c r="U11" s="357">
        <f t="shared" si="21"/>
        <v>0</v>
      </c>
      <c r="V11" s="357">
        <f t="shared" si="21"/>
        <v>0</v>
      </c>
      <c r="W11" s="365"/>
      <c r="X11" s="365"/>
      <c r="Y11" s="365"/>
      <c r="Z11" s="365"/>
      <c r="AA11" s="365"/>
      <c r="AB11" s="365"/>
      <c r="AC11" s="366"/>
      <c r="AD11" s="367"/>
      <c r="AE11" s="344"/>
      <c r="AF11" s="371"/>
      <c r="AG11" s="371"/>
      <c r="AH11" s="371"/>
      <c r="AI11" s="371"/>
      <c r="AJ11" s="371"/>
      <c r="AK11" s="371"/>
      <c r="AL11" s="365"/>
      <c r="AM11" s="371"/>
      <c r="AN11" s="371"/>
      <c r="AO11" s="371"/>
      <c r="AP11" s="371"/>
      <c r="AQ11" s="371"/>
      <c r="AR11" s="371"/>
      <c r="AS11" s="362" t="s">
        <v>323</v>
      </c>
      <c r="AT11" s="357">
        <f t="shared" ref="AT11:AY11" si="22">SUM(BA16:BA1015)/1000</f>
        <v>0</v>
      </c>
      <c r="AU11" s="357">
        <f t="shared" si="22"/>
        <v>0</v>
      </c>
      <c r="AV11" s="357">
        <f t="shared" si="22"/>
        <v>0</v>
      </c>
      <c r="AW11" s="357">
        <f t="shared" si="22"/>
        <v>0</v>
      </c>
      <c r="AX11" s="357">
        <f t="shared" si="22"/>
        <v>0</v>
      </c>
      <c r="AY11" s="357">
        <f t="shared" si="22"/>
        <v>0</v>
      </c>
      <c r="AZ11" s="365"/>
      <c r="BA11" s="365"/>
      <c r="BB11" s="365"/>
      <c r="BC11" s="365"/>
      <c r="BD11" s="365"/>
      <c r="BE11" s="365"/>
      <c r="BF11" s="366"/>
      <c r="BG11" s="359"/>
    </row>
    <row r="12" spans="1:134" ht="18">
      <c r="A12" s="326"/>
      <c r="B12" s="344"/>
      <c r="C12" s="371"/>
      <c r="D12" s="371"/>
      <c r="E12" s="371"/>
      <c r="F12" s="371"/>
      <c r="G12" s="371"/>
      <c r="H12" s="371"/>
      <c r="I12" s="365"/>
      <c r="J12" s="371"/>
      <c r="K12" s="371"/>
      <c r="L12" s="371"/>
      <c r="M12" s="371"/>
      <c r="N12" s="371"/>
      <c r="O12" s="371"/>
      <c r="P12" s="362" t="s">
        <v>328</v>
      </c>
      <c r="Q12" s="370">
        <f>_xlfn.STDEV.P(Q16:Q1015)*(-1.96)+Q7</f>
        <v>25088325.619723506</v>
      </c>
      <c r="R12" s="370">
        <f t="shared" ref="R12:V12" si="23">_xlfn.STDEV.P(R16:R1015)*(-1.96)+R7</f>
        <v>50684346.209595889</v>
      </c>
      <c r="S12" s="370">
        <f t="shared" si="23"/>
        <v>76667533.624181807</v>
      </c>
      <c r="T12" s="370">
        <f t="shared" si="23"/>
        <v>103048399.77273999</v>
      </c>
      <c r="U12" s="370">
        <f t="shared" si="23"/>
        <v>129831436.21240765</v>
      </c>
      <c r="V12" s="370">
        <f t="shared" si="23"/>
        <v>385320067.3319242</v>
      </c>
      <c r="W12" s="365"/>
      <c r="X12" s="365"/>
      <c r="Y12" s="365"/>
      <c r="Z12" s="365"/>
      <c r="AA12" s="365"/>
      <c r="AB12" s="365"/>
      <c r="AC12" s="366"/>
      <c r="AD12" s="367"/>
      <c r="AE12" s="344"/>
      <c r="AF12" s="371"/>
      <c r="AG12" s="371"/>
      <c r="AH12" s="371"/>
      <c r="AI12" s="371"/>
      <c r="AJ12" s="371"/>
      <c r="AK12" s="371"/>
      <c r="AL12" s="365"/>
      <c r="AM12" s="371"/>
      <c r="AN12" s="371"/>
      <c r="AO12" s="371"/>
      <c r="AP12" s="371"/>
      <c r="AQ12" s="371"/>
      <c r="AR12" s="371"/>
      <c r="AS12" s="362" t="s">
        <v>328</v>
      </c>
      <c r="AT12" s="370">
        <f t="shared" ref="AT12:AY12" si="24">_xlfn.STDEV.P(AT16:AT1015)*(-1.96)+AT7</f>
        <v>25471847.181710072</v>
      </c>
      <c r="AU12" s="370">
        <f t="shared" si="24"/>
        <v>51459582.654367492</v>
      </c>
      <c r="AV12" s="370">
        <f t="shared" si="24"/>
        <v>77840410.416427195</v>
      </c>
      <c r="AW12" s="370">
        <f t="shared" si="24"/>
        <v>104625002.97504324</v>
      </c>
      <c r="AX12" s="370">
        <f t="shared" si="24"/>
        <v>131817920.59126097</v>
      </c>
      <c r="AY12" s="370">
        <f t="shared" si="24"/>
        <v>391214789.80893189</v>
      </c>
      <c r="AZ12" s="365"/>
      <c r="BA12" s="365"/>
      <c r="BB12" s="365"/>
      <c r="BC12" s="365"/>
      <c r="BD12" s="365"/>
      <c r="BE12" s="365"/>
      <c r="BF12" s="366"/>
      <c r="BG12" s="359"/>
    </row>
    <row r="13" spans="1:134" ht="18">
      <c r="A13" s="326"/>
      <c r="B13" s="344"/>
      <c r="C13" s="371"/>
      <c r="D13" s="371"/>
      <c r="E13" s="371"/>
      <c r="F13" s="371"/>
      <c r="G13" s="371"/>
      <c r="H13" s="371"/>
      <c r="I13" s="365"/>
      <c r="J13" s="371"/>
      <c r="K13" s="349"/>
      <c r="L13" s="349"/>
      <c r="M13" s="349"/>
      <c r="N13" s="349"/>
      <c r="O13" s="349"/>
      <c r="P13" s="362" t="s">
        <v>329</v>
      </c>
      <c r="Q13" s="370">
        <f t="shared" ref="Q13:V13" si="25">(_xlfn.STDEV.P(Q16:Q1015)*(1.96)+Q7)</f>
        <v>41446624.332171723</v>
      </c>
      <c r="R13" s="370">
        <f t="shared" si="25"/>
        <v>83702933.188573986</v>
      </c>
      <c r="S13" s="370">
        <f t="shared" si="25"/>
        <v>126598437.37912276</v>
      </c>
      <c r="T13" s="370">
        <f t="shared" si="25"/>
        <v>170150473.77261442</v>
      </c>
      <c r="U13" s="370">
        <f t="shared" si="25"/>
        <v>214366452.63245022</v>
      </c>
      <c r="V13" s="370">
        <f t="shared" si="25"/>
        <v>636264895.41165769</v>
      </c>
      <c r="W13" s="349"/>
      <c r="X13" s="365"/>
      <c r="Y13" s="365"/>
      <c r="Z13" s="365"/>
      <c r="AA13" s="365"/>
      <c r="AB13" s="365"/>
      <c r="AC13" s="366"/>
      <c r="AD13" s="367"/>
      <c r="AE13" s="344"/>
      <c r="AF13" s="371"/>
      <c r="AG13" s="371"/>
      <c r="AH13" s="371"/>
      <c r="AI13" s="371"/>
      <c r="AJ13" s="371"/>
      <c r="AK13" s="371"/>
      <c r="AL13" s="365"/>
      <c r="AM13" s="371"/>
      <c r="AN13" s="371"/>
      <c r="AO13" s="371"/>
      <c r="AP13" s="371"/>
      <c r="AQ13" s="371"/>
      <c r="AR13" s="371"/>
      <c r="AS13" s="362" t="s">
        <v>329</v>
      </c>
      <c r="AT13" s="370">
        <f t="shared" ref="AT13:AY13" si="26">(_xlfn.STDEV.P(AT16:AT1015)*(1.96)+AT7)</f>
        <v>41179314.605389908</v>
      </c>
      <c r="AU13" s="370">
        <f t="shared" si="26"/>
        <v>83163385.504315063</v>
      </c>
      <c r="AV13" s="370">
        <f t="shared" si="26"/>
        <v>125782533.97545186</v>
      </c>
      <c r="AW13" s="370">
        <f t="shared" si="26"/>
        <v>169053984.98473978</v>
      </c>
      <c r="AX13" s="370">
        <f t="shared" si="26"/>
        <v>212985101.02689505</v>
      </c>
      <c r="AY13" s="370">
        <f t="shared" si="26"/>
        <v>632164294.10667026</v>
      </c>
      <c r="AZ13" s="365"/>
      <c r="BA13" s="365"/>
      <c r="BB13" s="365"/>
      <c r="BC13" s="365"/>
      <c r="BD13" s="365"/>
      <c r="BE13" s="365"/>
      <c r="BF13" s="366"/>
      <c r="BG13" s="359"/>
    </row>
    <row r="14" spans="1:134" ht="18.600000000000001" thickBot="1">
      <c r="A14" s="326"/>
      <c r="B14" s="352"/>
      <c r="C14" s="373"/>
      <c r="D14" s="373"/>
      <c r="E14" s="373"/>
      <c r="F14" s="373"/>
      <c r="G14" s="373"/>
      <c r="H14" s="373"/>
      <c r="I14" s="374"/>
      <c r="J14" s="373"/>
      <c r="K14" s="373"/>
      <c r="L14" s="373"/>
      <c r="M14" s="373"/>
      <c r="N14" s="373"/>
      <c r="O14" s="373"/>
      <c r="P14" s="374"/>
      <c r="Q14" s="374"/>
      <c r="R14" s="374"/>
      <c r="S14" s="374"/>
      <c r="T14" s="374"/>
      <c r="U14" s="374"/>
      <c r="V14" s="374"/>
      <c r="W14" s="374"/>
      <c r="X14" s="374"/>
      <c r="Y14" s="374"/>
      <c r="Z14" s="374"/>
      <c r="AA14" s="374"/>
      <c r="AB14" s="374"/>
      <c r="AC14" s="375"/>
      <c r="AD14" s="376"/>
      <c r="AE14" s="352"/>
      <c r="AF14" s="373"/>
      <c r="AG14" s="373"/>
      <c r="AH14" s="373"/>
      <c r="AI14" s="373"/>
      <c r="AJ14" s="373"/>
      <c r="AK14" s="373"/>
      <c r="AL14" s="374"/>
      <c r="AM14" s="373"/>
      <c r="AN14" s="373"/>
      <c r="AO14" s="373"/>
      <c r="AP14" s="373"/>
      <c r="AQ14" s="373"/>
      <c r="AR14" s="373"/>
      <c r="AS14" s="374"/>
      <c r="AT14" s="374"/>
      <c r="AU14" s="374"/>
      <c r="AV14" s="374"/>
      <c r="AW14" s="374"/>
      <c r="AX14" s="374"/>
      <c r="AY14" s="374"/>
      <c r="AZ14" s="374"/>
      <c r="BA14" s="374"/>
      <c r="BB14" s="374"/>
      <c r="BC14" s="374"/>
      <c r="BD14" s="374"/>
      <c r="BE14" s="374"/>
      <c r="BF14" s="375"/>
      <c r="BG14" s="328"/>
    </row>
    <row r="15" spans="1:134" ht="18">
      <c r="A15" s="326"/>
      <c r="B15" s="332"/>
      <c r="C15" s="371"/>
      <c r="D15" s="371"/>
      <c r="E15" s="371"/>
      <c r="F15" s="371"/>
      <c r="G15" s="371"/>
      <c r="H15" s="371"/>
      <c r="I15" s="365"/>
      <c r="J15" s="371"/>
      <c r="K15" s="371"/>
      <c r="L15" s="371"/>
      <c r="M15" s="371"/>
      <c r="N15" s="371"/>
      <c r="O15" s="371"/>
      <c r="P15" s="365"/>
      <c r="Q15" s="365"/>
      <c r="R15" s="365"/>
      <c r="S15" s="365"/>
      <c r="T15" s="365"/>
      <c r="U15" s="365"/>
      <c r="V15" s="365"/>
      <c r="W15" s="365"/>
      <c r="X15" s="365"/>
      <c r="Y15" s="365"/>
      <c r="Z15" s="365"/>
      <c r="AA15" s="365"/>
      <c r="AB15" s="365"/>
      <c r="AC15" s="365"/>
      <c r="AD15" s="376"/>
      <c r="AE15" s="332"/>
      <c r="AF15" s="371"/>
      <c r="AG15" s="371"/>
      <c r="AH15" s="371"/>
      <c r="AI15" s="371"/>
      <c r="AJ15" s="371"/>
      <c r="AK15" s="371"/>
      <c r="AL15" s="365"/>
      <c r="AM15" s="371"/>
      <c r="AN15" s="371"/>
      <c r="AO15" s="371"/>
      <c r="AP15" s="371"/>
      <c r="AQ15" s="371"/>
      <c r="AR15" s="371"/>
      <c r="AS15" s="365"/>
      <c r="AT15" s="365"/>
      <c r="AU15" s="365"/>
      <c r="AV15" s="365"/>
      <c r="AW15" s="365"/>
      <c r="AX15" s="365"/>
      <c r="AY15" s="365"/>
      <c r="AZ15" s="365"/>
      <c r="BA15" s="365"/>
      <c r="BB15" s="365"/>
      <c r="BC15" s="365"/>
      <c r="BD15" s="365"/>
      <c r="BE15" s="365"/>
      <c r="BF15" s="365"/>
      <c r="BG15" s="328"/>
    </row>
    <row r="16" spans="1:134" ht="18">
      <c r="A16" s="326"/>
      <c r="B16" s="332">
        <v>1</v>
      </c>
      <c r="C16" s="348">
        <v>140563393.29210043</v>
      </c>
      <c r="D16" s="348">
        <v>141716294.31034794</v>
      </c>
      <c r="E16" s="348">
        <v>142820887.0922367</v>
      </c>
      <c r="F16" s="348">
        <v>143928104.69001111</v>
      </c>
      <c r="G16" s="348">
        <v>145041386.45864481</v>
      </c>
      <c r="H16" s="348">
        <v>714070065.84334087</v>
      </c>
      <c r="I16" s="349"/>
      <c r="J16" s="350">
        <v>179155302.19590843</v>
      </c>
      <c r="K16" s="350">
        <v>219676817.0903998</v>
      </c>
      <c r="L16" s="350">
        <v>260745535.36808363</v>
      </c>
      <c r="M16" s="350">
        <v>302428543.7577439</v>
      </c>
      <c r="N16" s="350">
        <v>344736186.88539654</v>
      </c>
      <c r="O16" s="348">
        <v>1306742385.2975323</v>
      </c>
      <c r="P16" s="369"/>
      <c r="Q16" s="350">
        <f>J16-C16</f>
        <v>38591908.903807998</v>
      </c>
      <c r="R16" s="350">
        <f t="shared" ref="R16:V16" si="27">K16-D16</f>
        <v>77960522.780051857</v>
      </c>
      <c r="S16" s="350">
        <f t="shared" si="27"/>
        <v>117924648.27584693</v>
      </c>
      <c r="T16" s="350">
        <f t="shared" si="27"/>
        <v>158500439.06773278</v>
      </c>
      <c r="U16" s="350">
        <f t="shared" si="27"/>
        <v>199694800.42675173</v>
      </c>
      <c r="V16" s="350">
        <f t="shared" si="27"/>
        <v>592672319.45419145</v>
      </c>
      <c r="W16" s="365"/>
      <c r="X16" s="377">
        <f t="shared" ref="X16:X79" si="28">IF(Q16&lt;Q$8,1,0)</f>
        <v>0</v>
      </c>
      <c r="Y16" s="377">
        <f t="shared" ref="Y16:Y79" si="29">IF(R16&lt;R$8,1,0)</f>
        <v>0</v>
      </c>
      <c r="Z16" s="377">
        <f t="shared" ref="Z16:Z79" si="30">IF(S16&lt;S$8,1,0)</f>
        <v>0</v>
      </c>
      <c r="AA16" s="377">
        <f t="shared" ref="AA16:AA79" si="31">IF(T16&lt;T$8,1,0)</f>
        <v>0</v>
      </c>
      <c r="AB16" s="377">
        <f t="shared" ref="AB16:AB79" si="32">IF(U16&lt;U$8,1,0)</f>
        <v>0</v>
      </c>
      <c r="AC16" s="377">
        <f t="shared" ref="AC16:AC79" si="33">IF(V16&lt;V$8,1,0)</f>
        <v>0</v>
      </c>
      <c r="AD16" s="376"/>
      <c r="AE16" s="332">
        <v>1</v>
      </c>
      <c r="AF16" s="348">
        <v>156819911.31357726</v>
      </c>
      <c r="AG16" s="348">
        <v>158106148.30032384</v>
      </c>
      <c r="AH16" s="348">
        <v>159338490.07890803</v>
      </c>
      <c r="AI16" s="348">
        <v>160573760.24008715</v>
      </c>
      <c r="AJ16" s="348">
        <v>161815795.90908498</v>
      </c>
      <c r="AK16" s="348">
        <v>796654105.84198141</v>
      </c>
      <c r="AL16" s="349"/>
      <c r="AM16" s="350">
        <v>193795505.72011936</v>
      </c>
      <c r="AN16" s="350">
        <v>232802664.90144068</v>
      </c>
      <c r="AO16" s="350">
        <v>272326517.12335497</v>
      </c>
      <c r="AP16" s="350">
        <v>312439363.16552186</v>
      </c>
      <c r="AQ16" s="350">
        <v>353151656.39217061</v>
      </c>
      <c r="AR16" s="348">
        <v>1364515707.3026075</v>
      </c>
      <c r="AS16" s="369"/>
      <c r="AT16" s="350">
        <f>AM16-AF16</f>
        <v>36975594.406542093</v>
      </c>
      <c r="AU16" s="350">
        <f t="shared" ref="AU16:AU79" si="34">AN16-AG16</f>
        <v>74696516.601116836</v>
      </c>
      <c r="AV16" s="350">
        <f t="shared" ref="AV16:AV79" si="35">AO16-AH16</f>
        <v>112988027.04444695</v>
      </c>
      <c r="AW16" s="350">
        <f t="shared" ref="AW16:AW79" si="36">AP16-AI16</f>
        <v>151865602.92543471</v>
      </c>
      <c r="AX16" s="350">
        <f t="shared" ref="AX16:AX79" si="37">AQ16-AJ16</f>
        <v>191335860.48308563</v>
      </c>
      <c r="AY16" s="350">
        <f t="shared" ref="AY16:AY79" si="38">AR16-AK16</f>
        <v>567861601.46062613</v>
      </c>
      <c r="AZ16" s="365"/>
      <c r="BA16" s="377">
        <f>IF(AT16&lt;AT$8,1,0)</f>
        <v>0</v>
      </c>
      <c r="BB16" s="377">
        <f t="shared" ref="BB16:BB79" si="39">IF(AU16&lt;AU$8,1,0)</f>
        <v>0</v>
      </c>
      <c r="BC16" s="377">
        <f t="shared" ref="BC16:BC79" si="40">IF(AV16&lt;AV$8,1,0)</f>
        <v>0</v>
      </c>
      <c r="BD16" s="377">
        <f t="shared" ref="BD16:BD79" si="41">IF(AW16&lt;AW$8,1,0)</f>
        <v>0</v>
      </c>
      <c r="BE16" s="377">
        <f t="shared" ref="BE16:BE79" si="42">IF(AX16&lt;AX$8,1,0)</f>
        <v>0</v>
      </c>
      <c r="BF16" s="377">
        <f t="shared" ref="BF16:BF79" si="43">IF(AY16&lt;AY$8,1,0)</f>
        <v>0</v>
      </c>
      <c r="BG16" s="328"/>
    </row>
    <row r="17" spans="2:59">
      <c r="B17" s="332">
        <v>2</v>
      </c>
      <c r="C17" s="350">
        <v>131571665.58661212</v>
      </c>
      <c r="D17" s="350">
        <v>132650816.44996744</v>
      </c>
      <c r="E17" s="350">
        <v>133684749.31615859</v>
      </c>
      <c r="F17" s="350">
        <v>134721139.09086514</v>
      </c>
      <c r="G17" s="350">
        <v>135763205.11627734</v>
      </c>
      <c r="H17" s="348">
        <v>668391575.55988061</v>
      </c>
      <c r="I17" s="369"/>
      <c r="J17" s="350">
        <v>162999482.61876276</v>
      </c>
      <c r="K17" s="350">
        <v>196125770.41956022</v>
      </c>
      <c r="L17" s="350">
        <v>229691596.9961285</v>
      </c>
      <c r="M17" s="350">
        <v>263757791.47481415</v>
      </c>
      <c r="N17" s="350">
        <v>298333194.5791927</v>
      </c>
      <c r="O17" s="348">
        <v>1150907836.0884583</v>
      </c>
      <c r="P17" s="369"/>
      <c r="Q17" s="350">
        <f t="shared" ref="Q17:Q80" si="44">J17-C17</f>
        <v>31427817.032150641</v>
      </c>
      <c r="R17" s="350">
        <f t="shared" ref="R17:R80" si="45">K17-D17</f>
        <v>63474953.96959278</v>
      </c>
      <c r="S17" s="350">
        <f t="shared" ref="S17:S80" si="46">L17-E17</f>
        <v>96006847.679969907</v>
      </c>
      <c r="T17" s="350">
        <f t="shared" ref="T17:T80" si="47">M17-F17</f>
        <v>129036652.38394901</v>
      </c>
      <c r="U17" s="350">
        <f t="shared" ref="U17:U80" si="48">N17-G17</f>
        <v>162569989.46291536</v>
      </c>
      <c r="V17" s="350">
        <f t="shared" ref="V17:V80" si="49">O17-H17</f>
        <v>482516260.52857769</v>
      </c>
      <c r="W17" s="365"/>
      <c r="X17" s="377">
        <f t="shared" si="28"/>
        <v>0</v>
      </c>
      <c r="Y17" s="377">
        <f t="shared" si="29"/>
        <v>0</v>
      </c>
      <c r="Z17" s="377">
        <f t="shared" si="30"/>
        <v>0</v>
      </c>
      <c r="AA17" s="377">
        <f t="shared" si="31"/>
        <v>0</v>
      </c>
      <c r="AB17" s="377">
        <f t="shared" si="32"/>
        <v>0</v>
      </c>
      <c r="AC17" s="377">
        <f t="shared" si="33"/>
        <v>0</v>
      </c>
      <c r="AD17" s="376"/>
      <c r="AE17" s="332">
        <v>2</v>
      </c>
      <c r="AF17" s="350">
        <v>137674654.19834685</v>
      </c>
      <c r="AG17" s="350">
        <v>138803861.77718145</v>
      </c>
      <c r="AH17" s="350">
        <v>139885753.90937054</v>
      </c>
      <c r="AI17" s="350">
        <v>140970216.91446567</v>
      </c>
      <c r="AJ17" s="350">
        <v>142060619.46474749</v>
      </c>
      <c r="AK17" s="348">
        <v>699395106.264112</v>
      </c>
      <c r="AL17" s="369"/>
      <c r="AM17" s="350">
        <v>177905899.03392643</v>
      </c>
      <c r="AN17" s="350">
        <v>220055375.80833974</v>
      </c>
      <c r="AO17" s="350">
        <v>262778023.05935678</v>
      </c>
      <c r="AP17" s="350">
        <v>306140565.82225436</v>
      </c>
      <c r="AQ17" s="350">
        <v>350153568.2118845</v>
      </c>
      <c r="AR17" s="348">
        <v>1317033431.9357619</v>
      </c>
      <c r="AS17" s="369"/>
      <c r="AT17" s="350">
        <f t="shared" ref="AT17:AT80" si="50">AM17-AF17</f>
        <v>40231244.835579574</v>
      </c>
      <c r="AU17" s="350">
        <f t="shared" si="34"/>
        <v>81251514.031158298</v>
      </c>
      <c r="AV17" s="350">
        <f t="shared" si="35"/>
        <v>122892269.14998624</v>
      </c>
      <c r="AW17" s="350">
        <f t="shared" si="36"/>
        <v>165170348.90778869</v>
      </c>
      <c r="AX17" s="350">
        <f t="shared" si="37"/>
        <v>208092948.74713701</v>
      </c>
      <c r="AY17" s="350">
        <f t="shared" si="38"/>
        <v>617638325.67164993</v>
      </c>
      <c r="AZ17" s="365"/>
      <c r="BA17" s="377">
        <f t="shared" ref="BA17:BA79" si="51">IF(AT17&lt;AT$8,1,0)</f>
        <v>0</v>
      </c>
      <c r="BB17" s="377">
        <f t="shared" si="39"/>
        <v>0</v>
      </c>
      <c r="BC17" s="377">
        <f t="shared" si="40"/>
        <v>0</v>
      </c>
      <c r="BD17" s="377">
        <f t="shared" si="41"/>
        <v>0</v>
      </c>
      <c r="BE17" s="377">
        <f t="shared" si="42"/>
        <v>0</v>
      </c>
      <c r="BF17" s="377">
        <f t="shared" si="43"/>
        <v>0</v>
      </c>
      <c r="BG17" s="328"/>
    </row>
    <row r="18" spans="2:59">
      <c r="B18" s="332">
        <v>3</v>
      </c>
      <c r="C18" s="350">
        <v>133249657.31277438</v>
      </c>
      <c r="D18" s="350">
        <v>134342571.06506112</v>
      </c>
      <c r="E18" s="350">
        <v>135389690.1350382</v>
      </c>
      <c r="F18" s="350">
        <v>136439297.44757313</v>
      </c>
      <c r="G18" s="350">
        <v>137494653.40255302</v>
      </c>
      <c r="H18" s="348">
        <v>676915869.36299992</v>
      </c>
      <c r="I18" s="369"/>
      <c r="J18" s="350">
        <v>168529976.49353164</v>
      </c>
      <c r="K18" s="350">
        <v>205604855.4282161</v>
      </c>
      <c r="L18" s="350">
        <v>243178219.07522291</v>
      </c>
      <c r="M18" s="350">
        <v>281313117.41415662</v>
      </c>
      <c r="N18" s="350">
        <v>320019122.28776211</v>
      </c>
      <c r="O18" s="348">
        <v>1218645290.6988895</v>
      </c>
      <c r="P18" s="369"/>
      <c r="Q18" s="350">
        <f t="shared" si="44"/>
        <v>35280319.180757269</v>
      </c>
      <c r="R18" s="350">
        <f t="shared" si="45"/>
        <v>71262284.363154978</v>
      </c>
      <c r="S18" s="350">
        <f t="shared" si="46"/>
        <v>107788528.94018471</v>
      </c>
      <c r="T18" s="350">
        <f t="shared" si="47"/>
        <v>144873819.96658349</v>
      </c>
      <c r="U18" s="350">
        <f t="shared" si="48"/>
        <v>182524468.88520908</v>
      </c>
      <c r="V18" s="350">
        <f t="shared" si="49"/>
        <v>541729421.33588958</v>
      </c>
      <c r="W18" s="365"/>
      <c r="X18" s="377">
        <f t="shared" si="28"/>
        <v>0</v>
      </c>
      <c r="Y18" s="377">
        <f t="shared" si="29"/>
        <v>0</v>
      </c>
      <c r="Z18" s="377">
        <f t="shared" si="30"/>
        <v>0</v>
      </c>
      <c r="AA18" s="377">
        <f t="shared" si="31"/>
        <v>0</v>
      </c>
      <c r="AB18" s="377">
        <f t="shared" si="32"/>
        <v>0</v>
      </c>
      <c r="AC18" s="377">
        <f t="shared" si="33"/>
        <v>0</v>
      </c>
      <c r="AD18" s="376"/>
      <c r="AE18" s="332">
        <v>3</v>
      </c>
      <c r="AF18" s="350">
        <v>138729790.22159764</v>
      </c>
      <c r="AG18" s="350">
        <v>139867652.02659383</v>
      </c>
      <c r="AH18" s="350">
        <v>140957835.7602298</v>
      </c>
      <c r="AI18" s="350">
        <v>142050610.06989455</v>
      </c>
      <c r="AJ18" s="350">
        <v>143149369.44531125</v>
      </c>
      <c r="AK18" s="348">
        <v>704755257.52362704</v>
      </c>
      <c r="AL18" s="369"/>
      <c r="AM18" s="350">
        <v>173023811.66158283</v>
      </c>
      <c r="AN18" s="350">
        <v>209150265.16346264</v>
      </c>
      <c r="AO18" s="350">
        <v>245758299.57183751</v>
      </c>
      <c r="AP18" s="350">
        <v>282912538.45733029</v>
      </c>
      <c r="AQ18" s="350">
        <v>320622513.22367632</v>
      </c>
      <c r="AR18" s="348">
        <v>1231467428.0778894</v>
      </c>
      <c r="AS18" s="369"/>
      <c r="AT18" s="350">
        <f t="shared" si="50"/>
        <v>34294021.439985186</v>
      </c>
      <c r="AU18" s="350">
        <f t="shared" si="34"/>
        <v>69282613.136868805</v>
      </c>
      <c r="AV18" s="350">
        <f t="shared" si="35"/>
        <v>104800463.81160772</v>
      </c>
      <c r="AW18" s="350">
        <f t="shared" si="36"/>
        <v>140861928.38743573</v>
      </c>
      <c r="AX18" s="350">
        <f t="shared" si="37"/>
        <v>177473143.77836508</v>
      </c>
      <c r="AY18" s="350">
        <f t="shared" si="38"/>
        <v>526712170.5542624</v>
      </c>
      <c r="AZ18" s="365"/>
      <c r="BA18" s="377">
        <f t="shared" si="51"/>
        <v>0</v>
      </c>
      <c r="BB18" s="377">
        <f t="shared" si="39"/>
        <v>0</v>
      </c>
      <c r="BC18" s="377">
        <f t="shared" si="40"/>
        <v>0</v>
      </c>
      <c r="BD18" s="377">
        <f t="shared" si="41"/>
        <v>0</v>
      </c>
      <c r="BE18" s="377">
        <f t="shared" si="42"/>
        <v>0</v>
      </c>
      <c r="BF18" s="377">
        <f t="shared" si="43"/>
        <v>0</v>
      </c>
      <c r="BG18" s="328"/>
    </row>
    <row r="19" spans="2:59">
      <c r="B19" s="332">
        <v>4</v>
      </c>
      <c r="C19" s="350">
        <v>138620750.21259797</v>
      </c>
      <c r="D19" s="350">
        <v>139757717.6713888</v>
      </c>
      <c r="E19" s="350">
        <v>140847044.53323147</v>
      </c>
      <c r="F19" s="350">
        <v>141938959.93494016</v>
      </c>
      <c r="G19" s="350">
        <v>143036855.69820845</v>
      </c>
      <c r="H19" s="348">
        <v>704201328.05036676</v>
      </c>
      <c r="I19" s="369"/>
      <c r="J19" s="350">
        <v>170542642.06543559</v>
      </c>
      <c r="K19" s="350">
        <v>204245618.8020964</v>
      </c>
      <c r="L19" s="350">
        <v>238393567.33313933</v>
      </c>
      <c r="M19" s="350">
        <v>273050078.64963257</v>
      </c>
      <c r="N19" s="350">
        <v>308224256.62703055</v>
      </c>
      <c r="O19" s="348">
        <v>1194456163.4773345</v>
      </c>
      <c r="P19" s="369"/>
      <c r="Q19" s="350">
        <f t="shared" si="44"/>
        <v>31921891.852837622</v>
      </c>
      <c r="R19" s="350">
        <f t="shared" si="45"/>
        <v>64487901.130707592</v>
      </c>
      <c r="S19" s="350">
        <f t="shared" si="46"/>
        <v>97546522.799907863</v>
      </c>
      <c r="T19" s="350">
        <f t="shared" si="47"/>
        <v>131111118.71469241</v>
      </c>
      <c r="U19" s="350">
        <f t="shared" si="48"/>
        <v>165187400.9288221</v>
      </c>
      <c r="V19" s="350">
        <f t="shared" si="49"/>
        <v>490254835.42696774</v>
      </c>
      <c r="W19" s="365"/>
      <c r="X19" s="377">
        <f t="shared" si="28"/>
        <v>0</v>
      </c>
      <c r="Y19" s="377">
        <f t="shared" si="29"/>
        <v>0</v>
      </c>
      <c r="Z19" s="377">
        <f t="shared" si="30"/>
        <v>0</v>
      </c>
      <c r="AA19" s="377">
        <f t="shared" si="31"/>
        <v>0</v>
      </c>
      <c r="AB19" s="377">
        <f t="shared" si="32"/>
        <v>0</v>
      </c>
      <c r="AC19" s="377">
        <f t="shared" si="33"/>
        <v>0</v>
      </c>
      <c r="AD19" s="376"/>
      <c r="AE19" s="332">
        <v>4</v>
      </c>
      <c r="AF19" s="350">
        <v>155610105.64950648</v>
      </c>
      <c r="AG19" s="350">
        <v>156886419.80962431</v>
      </c>
      <c r="AH19" s="350">
        <v>158109254.54250672</v>
      </c>
      <c r="AI19" s="350">
        <v>159334995.06663191</v>
      </c>
      <c r="AJ19" s="350">
        <v>160567448.90526941</v>
      </c>
      <c r="AK19" s="348">
        <v>790508223.97353876</v>
      </c>
      <c r="AL19" s="369"/>
      <c r="AM19" s="350">
        <v>193867794.51283965</v>
      </c>
      <c r="AN19" s="350">
        <v>234176758.51569614</v>
      </c>
      <c r="AO19" s="350">
        <v>275022675.03454137</v>
      </c>
      <c r="AP19" s="350">
        <v>316477943.3445031</v>
      </c>
      <c r="AQ19" s="350">
        <v>358553217.19826883</v>
      </c>
      <c r="AR19" s="348">
        <v>1378098388.6058493</v>
      </c>
      <c r="AS19" s="369"/>
      <c r="AT19" s="350">
        <f t="shared" si="50"/>
        <v>38257688.863333166</v>
      </c>
      <c r="AU19" s="350">
        <f t="shared" si="34"/>
        <v>77290338.706071824</v>
      </c>
      <c r="AV19" s="350">
        <f t="shared" si="35"/>
        <v>116913420.49203464</v>
      </c>
      <c r="AW19" s="350">
        <f t="shared" si="36"/>
        <v>157142948.27787119</v>
      </c>
      <c r="AX19" s="350">
        <f t="shared" si="37"/>
        <v>197985768.29299942</v>
      </c>
      <c r="AY19" s="350">
        <f t="shared" si="38"/>
        <v>587590164.63231051</v>
      </c>
      <c r="AZ19" s="365"/>
      <c r="BA19" s="377">
        <f t="shared" si="51"/>
        <v>0</v>
      </c>
      <c r="BB19" s="377">
        <f t="shared" si="39"/>
        <v>0</v>
      </c>
      <c r="BC19" s="377">
        <f t="shared" si="40"/>
        <v>0</v>
      </c>
      <c r="BD19" s="377">
        <f t="shared" si="41"/>
        <v>0</v>
      </c>
      <c r="BE19" s="377">
        <f t="shared" si="42"/>
        <v>0</v>
      </c>
      <c r="BF19" s="377">
        <f t="shared" si="43"/>
        <v>0</v>
      </c>
      <c r="BG19" s="328"/>
    </row>
    <row r="20" spans="2:59">
      <c r="B20" s="332">
        <v>5</v>
      </c>
      <c r="C20" s="350">
        <v>140881559.16874409</v>
      </c>
      <c r="D20" s="350">
        <v>142037069.78366226</v>
      </c>
      <c r="E20" s="350">
        <v>143144162.81631023</v>
      </c>
      <c r="F20" s="350">
        <v>144253886.60612637</v>
      </c>
      <c r="G20" s="350">
        <v>145369688.29307997</v>
      </c>
      <c r="H20" s="348">
        <v>715686366.66792285</v>
      </c>
      <c r="I20" s="369"/>
      <c r="J20" s="350">
        <v>172629897.55426538</v>
      </c>
      <c r="K20" s="350">
        <v>206156409.42360172</v>
      </c>
      <c r="L20" s="350">
        <v>240124157.99940041</v>
      </c>
      <c r="M20" s="350">
        <v>274597479.83187002</v>
      </c>
      <c r="N20" s="350">
        <v>309585500.31902999</v>
      </c>
      <c r="O20" s="348">
        <v>1203093445.1281676</v>
      </c>
      <c r="P20" s="369"/>
      <c r="Q20" s="350">
        <f t="shared" si="44"/>
        <v>31748338.385521293</v>
      </c>
      <c r="R20" s="350">
        <f t="shared" si="45"/>
        <v>64119339.639939457</v>
      </c>
      <c r="S20" s="350">
        <f t="shared" si="46"/>
        <v>96979995.18309018</v>
      </c>
      <c r="T20" s="350">
        <f t="shared" si="47"/>
        <v>130343593.22574365</v>
      </c>
      <c r="U20" s="350">
        <f t="shared" si="48"/>
        <v>164215812.02595001</v>
      </c>
      <c r="V20" s="350">
        <f t="shared" si="49"/>
        <v>487407078.46024477</v>
      </c>
      <c r="W20" s="365"/>
      <c r="X20" s="377">
        <f t="shared" si="28"/>
        <v>0</v>
      </c>
      <c r="Y20" s="377">
        <f t="shared" si="29"/>
        <v>0</v>
      </c>
      <c r="Z20" s="377">
        <f t="shared" si="30"/>
        <v>0</v>
      </c>
      <c r="AA20" s="377">
        <f t="shared" si="31"/>
        <v>0</v>
      </c>
      <c r="AB20" s="377">
        <f t="shared" si="32"/>
        <v>0</v>
      </c>
      <c r="AC20" s="377">
        <f t="shared" si="33"/>
        <v>0</v>
      </c>
      <c r="AD20" s="376"/>
      <c r="AE20" s="332">
        <v>5</v>
      </c>
      <c r="AF20" s="350">
        <v>124054553.90453312</v>
      </c>
      <c r="AG20" s="350">
        <v>125072049.41431761</v>
      </c>
      <c r="AH20" s="350">
        <v>126046910.37629381</v>
      </c>
      <c r="AI20" s="350">
        <v>127024087.87571372</v>
      </c>
      <c r="AJ20" s="350">
        <v>128006617.32341217</v>
      </c>
      <c r="AK20" s="348">
        <v>630204218.89427042</v>
      </c>
      <c r="AL20" s="369"/>
      <c r="AM20" s="350">
        <v>159186654.75677276</v>
      </c>
      <c r="AN20" s="350">
        <v>196033512.90608707</v>
      </c>
      <c r="AO20" s="350">
        <v>233379706.90335652</v>
      </c>
      <c r="AP20" s="350">
        <v>271284892.76996583</v>
      </c>
      <c r="AQ20" s="350">
        <v>309758390.62494719</v>
      </c>
      <c r="AR20" s="348">
        <v>1169643157.9611292</v>
      </c>
      <c r="AS20" s="369"/>
      <c r="AT20" s="350">
        <f t="shared" si="50"/>
        <v>35132100.852239639</v>
      </c>
      <c r="AU20" s="350">
        <f t="shared" si="34"/>
        <v>70961463.491769463</v>
      </c>
      <c r="AV20" s="350">
        <f t="shared" si="35"/>
        <v>107332796.52706271</v>
      </c>
      <c r="AW20" s="350">
        <f t="shared" si="36"/>
        <v>144260804.89425212</v>
      </c>
      <c r="AX20" s="350">
        <f t="shared" si="37"/>
        <v>181751773.30153501</v>
      </c>
      <c r="AY20" s="350">
        <f t="shared" si="38"/>
        <v>539438939.06685877</v>
      </c>
      <c r="AZ20" s="365"/>
      <c r="BA20" s="377">
        <f t="shared" si="51"/>
        <v>0</v>
      </c>
      <c r="BB20" s="377">
        <f t="shared" si="39"/>
        <v>0</v>
      </c>
      <c r="BC20" s="377">
        <f t="shared" si="40"/>
        <v>0</v>
      </c>
      <c r="BD20" s="377">
        <f t="shared" si="41"/>
        <v>0</v>
      </c>
      <c r="BE20" s="377">
        <f t="shared" si="42"/>
        <v>0</v>
      </c>
      <c r="BF20" s="377">
        <f t="shared" si="43"/>
        <v>0</v>
      </c>
      <c r="BG20" s="328"/>
    </row>
    <row r="21" spans="2:59">
      <c r="B21" s="332">
        <v>6</v>
      </c>
      <c r="C21" s="350">
        <v>126797223.08792809</v>
      </c>
      <c r="D21" s="350">
        <v>127837213.97165164</v>
      </c>
      <c r="E21" s="350">
        <v>128833627.71854672</v>
      </c>
      <c r="F21" s="350">
        <v>129832409.21822304</v>
      </c>
      <c r="G21" s="350">
        <v>130836660.99011809</v>
      </c>
      <c r="H21" s="348">
        <v>644137134.9864676</v>
      </c>
      <c r="I21" s="369"/>
      <c r="J21" s="350">
        <v>158843880.58195403</v>
      </c>
      <c r="K21" s="350">
        <v>192561360.9735263</v>
      </c>
      <c r="L21" s="350">
        <v>226729555.6301299</v>
      </c>
      <c r="M21" s="350">
        <v>261407822.64189953</v>
      </c>
      <c r="N21" s="350">
        <v>296604996.49521273</v>
      </c>
      <c r="O21" s="348">
        <v>1136147616.3227227</v>
      </c>
      <c r="P21" s="369"/>
      <c r="Q21" s="350">
        <f t="shared" si="44"/>
        <v>32046657.494025946</v>
      </c>
      <c r="R21" s="350">
        <f t="shared" si="45"/>
        <v>64724147.001874655</v>
      </c>
      <c r="S21" s="350">
        <f t="shared" si="46"/>
        <v>97895927.911583185</v>
      </c>
      <c r="T21" s="350">
        <f t="shared" si="47"/>
        <v>131575413.42367649</v>
      </c>
      <c r="U21" s="350">
        <f t="shared" si="48"/>
        <v>165768335.50509465</v>
      </c>
      <c r="V21" s="350">
        <f t="shared" si="49"/>
        <v>492010481.33625507</v>
      </c>
      <c r="W21" s="365"/>
      <c r="X21" s="377">
        <f t="shared" si="28"/>
        <v>0</v>
      </c>
      <c r="Y21" s="377">
        <f t="shared" si="29"/>
        <v>0</v>
      </c>
      <c r="Z21" s="377">
        <f t="shared" si="30"/>
        <v>0</v>
      </c>
      <c r="AA21" s="377">
        <f t="shared" si="31"/>
        <v>0</v>
      </c>
      <c r="AB21" s="377">
        <f t="shared" si="32"/>
        <v>0</v>
      </c>
      <c r="AC21" s="377">
        <f t="shared" si="33"/>
        <v>0</v>
      </c>
      <c r="AD21" s="376"/>
      <c r="AE21" s="332">
        <v>6</v>
      </c>
      <c r="AF21" s="350">
        <v>108344589.09439832</v>
      </c>
      <c r="AG21" s="350">
        <v>109233231.46538153</v>
      </c>
      <c r="AH21" s="350">
        <v>110084638.42324916</v>
      </c>
      <c r="AI21" s="350">
        <v>110938068.55793346</v>
      </c>
      <c r="AJ21" s="350">
        <v>111796172.88327688</v>
      </c>
      <c r="AK21" s="348">
        <v>550396700.4242394</v>
      </c>
      <c r="AL21" s="369"/>
      <c r="AM21" s="350">
        <v>142576031.02213877</v>
      </c>
      <c r="AN21" s="350">
        <v>178363223.50030708</v>
      </c>
      <c r="AO21" s="350">
        <v>214641065.41220856</v>
      </c>
      <c r="AP21" s="350">
        <v>251463142.62073526</v>
      </c>
      <c r="AQ21" s="350">
        <v>288838227.85673767</v>
      </c>
      <c r="AR21" s="348">
        <v>1075881690.4121273</v>
      </c>
      <c r="AS21" s="369"/>
      <c r="AT21" s="350">
        <f t="shared" si="50"/>
        <v>34231441.927740455</v>
      </c>
      <c r="AU21" s="350">
        <f t="shared" si="34"/>
        <v>69129992.03492555</v>
      </c>
      <c r="AV21" s="350">
        <f t="shared" si="35"/>
        <v>104556426.9889594</v>
      </c>
      <c r="AW21" s="350">
        <f t="shared" si="36"/>
        <v>140525074.06280178</v>
      </c>
      <c r="AX21" s="350">
        <f t="shared" si="37"/>
        <v>177042054.97346079</v>
      </c>
      <c r="AY21" s="350">
        <f t="shared" si="38"/>
        <v>525484989.98788786</v>
      </c>
      <c r="AZ21" s="365"/>
      <c r="BA21" s="377">
        <f t="shared" si="51"/>
        <v>0</v>
      </c>
      <c r="BB21" s="377">
        <f t="shared" si="39"/>
        <v>0</v>
      </c>
      <c r="BC21" s="377">
        <f t="shared" si="40"/>
        <v>0</v>
      </c>
      <c r="BD21" s="377">
        <f t="shared" si="41"/>
        <v>0</v>
      </c>
      <c r="BE21" s="377">
        <f t="shared" si="42"/>
        <v>0</v>
      </c>
      <c r="BF21" s="377">
        <f t="shared" si="43"/>
        <v>0</v>
      </c>
      <c r="BG21" s="328"/>
    </row>
    <row r="22" spans="2:59">
      <c r="B22" s="332">
        <v>7</v>
      </c>
      <c r="C22" s="350">
        <v>132651057.13595682</v>
      </c>
      <c r="D22" s="350">
        <v>133739061.16931027</v>
      </c>
      <c r="E22" s="350">
        <v>134781476.24474746</v>
      </c>
      <c r="F22" s="350">
        <v>135826368.38475934</v>
      </c>
      <c r="G22" s="350">
        <v>136876983.34247142</v>
      </c>
      <c r="H22" s="348">
        <v>673874946.27724528</v>
      </c>
      <c r="I22" s="369"/>
      <c r="J22" s="350">
        <v>169198713.22770485</v>
      </c>
      <c r="K22" s="350">
        <v>207530584.83904168</v>
      </c>
      <c r="L22" s="350">
        <v>246380220.82485974</v>
      </c>
      <c r="M22" s="350">
        <v>285810983.02093929</v>
      </c>
      <c r="N22" s="350">
        <v>325832650.66563034</v>
      </c>
      <c r="O22" s="348">
        <v>1234753152.578176</v>
      </c>
      <c r="P22" s="369"/>
      <c r="Q22" s="350">
        <f t="shared" si="44"/>
        <v>36547656.091748029</v>
      </c>
      <c r="R22" s="350">
        <f t="shared" si="45"/>
        <v>73791523.669731408</v>
      </c>
      <c r="S22" s="350">
        <f t="shared" si="46"/>
        <v>111598744.58011228</v>
      </c>
      <c r="T22" s="350">
        <f t="shared" si="47"/>
        <v>149984614.63617995</v>
      </c>
      <c r="U22" s="350">
        <f t="shared" si="48"/>
        <v>188955667.32315892</v>
      </c>
      <c r="V22" s="350">
        <f t="shared" si="49"/>
        <v>560878206.30093074</v>
      </c>
      <c r="W22" s="365"/>
      <c r="X22" s="377">
        <f t="shared" si="28"/>
        <v>0</v>
      </c>
      <c r="Y22" s="377">
        <f t="shared" si="29"/>
        <v>0</v>
      </c>
      <c r="Z22" s="377">
        <f t="shared" si="30"/>
        <v>0</v>
      </c>
      <c r="AA22" s="377">
        <f t="shared" si="31"/>
        <v>0</v>
      </c>
      <c r="AB22" s="377">
        <f t="shared" si="32"/>
        <v>0</v>
      </c>
      <c r="AC22" s="377">
        <f t="shared" si="33"/>
        <v>0</v>
      </c>
      <c r="AD22" s="376"/>
      <c r="AE22" s="332">
        <v>7</v>
      </c>
      <c r="AF22" s="350">
        <v>152487400.4690634</v>
      </c>
      <c r="AG22" s="350">
        <v>153738102.19981462</v>
      </c>
      <c r="AH22" s="350">
        <v>154936397.70152527</v>
      </c>
      <c r="AI22" s="350">
        <v>156137540.68252441</v>
      </c>
      <c r="AJ22" s="350">
        <v>157345262.25862333</v>
      </c>
      <c r="AK22" s="348">
        <v>774644703.31155109</v>
      </c>
      <c r="AL22" s="369"/>
      <c r="AM22" s="350">
        <v>193210054.93151912</v>
      </c>
      <c r="AN22" s="350">
        <v>235982263.38565198</v>
      </c>
      <c r="AO22" s="350">
        <v>279330133.50372905</v>
      </c>
      <c r="AP22" s="350">
        <v>323325963.3989988</v>
      </c>
      <c r="AQ22" s="350">
        <v>367980767.54852909</v>
      </c>
      <c r="AR22" s="348">
        <v>1399829182.7684281</v>
      </c>
      <c r="AS22" s="369"/>
      <c r="AT22" s="350">
        <f t="shared" si="50"/>
        <v>40722654.46245572</v>
      </c>
      <c r="AU22" s="350">
        <f t="shared" si="34"/>
        <v>82244161.185837358</v>
      </c>
      <c r="AV22" s="350">
        <f t="shared" si="35"/>
        <v>124393735.80220377</v>
      </c>
      <c r="AW22" s="350">
        <f t="shared" si="36"/>
        <v>167188422.71647438</v>
      </c>
      <c r="AX22" s="350">
        <f t="shared" si="37"/>
        <v>210635505.28990576</v>
      </c>
      <c r="AY22" s="350">
        <f t="shared" si="38"/>
        <v>625184479.45687699</v>
      </c>
      <c r="AZ22" s="365"/>
      <c r="BA22" s="377">
        <f t="shared" si="51"/>
        <v>0</v>
      </c>
      <c r="BB22" s="377">
        <f t="shared" si="39"/>
        <v>0</v>
      </c>
      <c r="BC22" s="377">
        <f t="shared" si="40"/>
        <v>0</v>
      </c>
      <c r="BD22" s="377">
        <f t="shared" si="41"/>
        <v>0</v>
      </c>
      <c r="BE22" s="377">
        <f t="shared" si="42"/>
        <v>0</v>
      </c>
      <c r="BF22" s="377">
        <f t="shared" si="43"/>
        <v>0</v>
      </c>
      <c r="BG22" s="328"/>
    </row>
    <row r="23" spans="2:59">
      <c r="B23" s="332">
        <v>8</v>
      </c>
      <c r="C23" s="350">
        <v>137048566.74200702</v>
      </c>
      <c r="D23" s="350">
        <v>138172639.15122867</v>
      </c>
      <c r="E23" s="350">
        <v>139249611.28491101</v>
      </c>
      <c r="F23" s="350">
        <v>140329142.60023135</v>
      </c>
      <c r="G23" s="350">
        <v>141414586.45014042</v>
      </c>
      <c r="H23" s="348">
        <v>696214546.22851849</v>
      </c>
      <c r="I23" s="369"/>
      <c r="J23" s="350">
        <v>166151450.76644444</v>
      </c>
      <c r="K23" s="350">
        <v>196976529.99125186</v>
      </c>
      <c r="L23" s="350">
        <v>228203788.67089993</v>
      </c>
      <c r="M23" s="350">
        <v>259895068.74245495</v>
      </c>
      <c r="N23" s="350">
        <v>292058932.84557194</v>
      </c>
      <c r="O23" s="348">
        <v>1143285771.0166233</v>
      </c>
      <c r="P23" s="369"/>
      <c r="Q23" s="350">
        <f t="shared" si="44"/>
        <v>29102884.024437428</v>
      </c>
      <c r="R23" s="350">
        <f t="shared" si="45"/>
        <v>58803890.84002319</v>
      </c>
      <c r="S23" s="350">
        <f t="shared" si="46"/>
        <v>88954177.385988921</v>
      </c>
      <c r="T23" s="350">
        <f t="shared" si="47"/>
        <v>119565926.1422236</v>
      </c>
      <c r="U23" s="350">
        <f t="shared" si="48"/>
        <v>150644346.39543152</v>
      </c>
      <c r="V23" s="350">
        <f t="shared" si="49"/>
        <v>447071224.78810477</v>
      </c>
      <c r="W23" s="365"/>
      <c r="X23" s="377">
        <f t="shared" si="28"/>
        <v>0</v>
      </c>
      <c r="Y23" s="377">
        <f t="shared" si="29"/>
        <v>0</v>
      </c>
      <c r="Z23" s="377">
        <f t="shared" si="30"/>
        <v>0</v>
      </c>
      <c r="AA23" s="377">
        <f t="shared" si="31"/>
        <v>0</v>
      </c>
      <c r="AB23" s="377">
        <f t="shared" si="32"/>
        <v>0</v>
      </c>
      <c r="AC23" s="377">
        <f t="shared" si="33"/>
        <v>0</v>
      </c>
      <c r="AD23" s="376"/>
      <c r="AE23" s="332">
        <v>8</v>
      </c>
      <c r="AF23" s="350">
        <v>124390552.85825822</v>
      </c>
      <c r="AG23" s="350">
        <v>125410804.23161998</v>
      </c>
      <c r="AH23" s="350">
        <v>126388305.58246499</v>
      </c>
      <c r="AI23" s="350">
        <v>127368129.74504298</v>
      </c>
      <c r="AJ23" s="350">
        <v>128353320.35153031</v>
      </c>
      <c r="AK23" s="348">
        <v>631911112.76891649</v>
      </c>
      <c r="AL23" s="369"/>
      <c r="AM23" s="350">
        <v>154006148.12942478</v>
      </c>
      <c r="AN23" s="350">
        <v>185249539.78935513</v>
      </c>
      <c r="AO23" s="350">
        <v>216907358.82489538</v>
      </c>
      <c r="AP23" s="350">
        <v>249037075.10937858</v>
      </c>
      <c r="AQ23" s="350">
        <v>281647033.16451722</v>
      </c>
      <c r="AR23" s="348">
        <v>1086847155.017571</v>
      </c>
      <c r="AS23" s="369"/>
      <c r="AT23" s="350">
        <f t="shared" si="50"/>
        <v>29615595.271166563</v>
      </c>
      <c r="AU23" s="350">
        <f t="shared" si="34"/>
        <v>59838735.557735145</v>
      </c>
      <c r="AV23" s="350">
        <f t="shared" si="35"/>
        <v>90519053.242430389</v>
      </c>
      <c r="AW23" s="350">
        <f t="shared" si="36"/>
        <v>121668945.3643356</v>
      </c>
      <c r="AX23" s="350">
        <f t="shared" si="37"/>
        <v>153293712.81298691</v>
      </c>
      <c r="AY23" s="350">
        <f t="shared" si="38"/>
        <v>454936042.24865448</v>
      </c>
      <c r="AZ23" s="365"/>
      <c r="BA23" s="377">
        <f t="shared" si="51"/>
        <v>0</v>
      </c>
      <c r="BB23" s="377">
        <f t="shared" si="39"/>
        <v>0</v>
      </c>
      <c r="BC23" s="377">
        <f t="shared" si="40"/>
        <v>0</v>
      </c>
      <c r="BD23" s="377">
        <f t="shared" si="41"/>
        <v>0</v>
      </c>
      <c r="BE23" s="377">
        <f t="shared" si="42"/>
        <v>0</v>
      </c>
      <c r="BF23" s="377">
        <f t="shared" si="43"/>
        <v>0</v>
      </c>
      <c r="BG23" s="328"/>
    </row>
    <row r="24" spans="2:59">
      <c r="B24" s="332">
        <v>9</v>
      </c>
      <c r="C24" s="350">
        <v>112097057.62991679</v>
      </c>
      <c r="D24" s="350">
        <v>113016477.74960269</v>
      </c>
      <c r="E24" s="350">
        <v>113897372.82355464</v>
      </c>
      <c r="F24" s="350">
        <v>114780361.14618751</v>
      </c>
      <c r="G24" s="350">
        <v>115668185.5480752</v>
      </c>
      <c r="H24" s="348">
        <v>569459454.89733684</v>
      </c>
      <c r="I24" s="369"/>
      <c r="J24" s="350">
        <v>145124754.81838048</v>
      </c>
      <c r="K24" s="350">
        <v>179717958.63536283</v>
      </c>
      <c r="L24" s="350">
        <v>214781997.2348415</v>
      </c>
      <c r="M24" s="350">
        <v>250371312.50269458</v>
      </c>
      <c r="N24" s="350">
        <v>286494554.08903164</v>
      </c>
      <c r="O24" s="348">
        <v>1076490577.2803111</v>
      </c>
      <c r="P24" s="369"/>
      <c r="Q24" s="350">
        <f t="shared" si="44"/>
        <v>33027697.188463688</v>
      </c>
      <c r="R24" s="350">
        <f t="shared" si="45"/>
        <v>66701480.885760143</v>
      </c>
      <c r="S24" s="350">
        <f t="shared" si="46"/>
        <v>100884624.41128686</v>
      </c>
      <c r="T24" s="350">
        <f t="shared" si="47"/>
        <v>135590951.35650706</v>
      </c>
      <c r="U24" s="350">
        <f t="shared" si="48"/>
        <v>170826368.54095644</v>
      </c>
      <c r="V24" s="350">
        <f t="shared" si="49"/>
        <v>507031122.38297427</v>
      </c>
      <c r="W24" s="365"/>
      <c r="X24" s="377">
        <f t="shared" si="28"/>
        <v>0</v>
      </c>
      <c r="Y24" s="377">
        <f t="shared" si="29"/>
        <v>0</v>
      </c>
      <c r="Z24" s="377">
        <f t="shared" si="30"/>
        <v>0</v>
      </c>
      <c r="AA24" s="377">
        <f t="shared" si="31"/>
        <v>0</v>
      </c>
      <c r="AB24" s="377">
        <f t="shared" si="32"/>
        <v>0</v>
      </c>
      <c r="AC24" s="377">
        <f t="shared" si="33"/>
        <v>0</v>
      </c>
      <c r="AD24" s="376"/>
      <c r="AE24" s="332">
        <v>9</v>
      </c>
      <c r="AF24" s="350">
        <v>133850911.79894224</v>
      </c>
      <c r="AG24" s="350">
        <v>134948757.04080886</v>
      </c>
      <c r="AH24" s="350">
        <v>136000600.96375042</v>
      </c>
      <c r="AI24" s="350">
        <v>137054944.35679847</v>
      </c>
      <c r="AJ24" s="350">
        <v>138115062.33154815</v>
      </c>
      <c r="AK24" s="348">
        <v>679970276.49184823</v>
      </c>
      <c r="AL24" s="369"/>
      <c r="AM24" s="350">
        <v>162212914.87160829</v>
      </c>
      <c r="AN24" s="350">
        <v>192268484.69744855</v>
      </c>
      <c r="AO24" s="350">
        <v>222716095.41540557</v>
      </c>
      <c r="AP24" s="350">
        <v>253616120.87394875</v>
      </c>
      <c r="AQ24" s="350">
        <v>284976914.81466728</v>
      </c>
      <c r="AR24" s="348">
        <v>1115790530.6730785</v>
      </c>
      <c r="AS24" s="369"/>
      <c r="AT24" s="350">
        <f t="shared" si="50"/>
        <v>28362003.072666049</v>
      </c>
      <c r="AU24" s="350">
        <f t="shared" si="34"/>
        <v>57319727.656639695</v>
      </c>
      <c r="AV24" s="350">
        <f t="shared" si="35"/>
        <v>86715494.451655149</v>
      </c>
      <c r="AW24" s="350">
        <f t="shared" si="36"/>
        <v>116561176.51715028</v>
      </c>
      <c r="AX24" s="350">
        <f t="shared" si="37"/>
        <v>146861852.48311913</v>
      </c>
      <c r="AY24" s="350">
        <f t="shared" si="38"/>
        <v>435820254.18123031</v>
      </c>
      <c r="AZ24" s="365"/>
      <c r="BA24" s="377">
        <f t="shared" si="51"/>
        <v>0</v>
      </c>
      <c r="BB24" s="377">
        <f t="shared" si="39"/>
        <v>0</v>
      </c>
      <c r="BC24" s="377">
        <f t="shared" si="40"/>
        <v>0</v>
      </c>
      <c r="BD24" s="377">
        <f t="shared" si="41"/>
        <v>0</v>
      </c>
      <c r="BE24" s="377">
        <f t="shared" si="42"/>
        <v>0</v>
      </c>
      <c r="BF24" s="377">
        <f t="shared" si="43"/>
        <v>0</v>
      </c>
      <c r="BG24" s="328"/>
    </row>
    <row r="25" spans="2:59">
      <c r="B25" s="332">
        <v>10</v>
      </c>
      <c r="C25" s="350">
        <v>127731096.76130298</v>
      </c>
      <c r="D25" s="350">
        <v>128778747.27733706</v>
      </c>
      <c r="E25" s="350">
        <v>129782499.70676279</v>
      </c>
      <c r="F25" s="350">
        <v>130788637.32769555</v>
      </c>
      <c r="G25" s="350">
        <v>131800285.50992486</v>
      </c>
      <c r="H25" s="348">
        <v>648881266.58302319</v>
      </c>
      <c r="I25" s="369"/>
      <c r="J25" s="350">
        <v>155771369.08000284</v>
      </c>
      <c r="K25" s="350">
        <v>185433218.93550402</v>
      </c>
      <c r="L25" s="350">
        <v>215484009.47984368</v>
      </c>
      <c r="M25" s="350">
        <v>245981761.53034061</v>
      </c>
      <c r="N25" s="350">
        <v>276934619.1809513</v>
      </c>
      <c r="O25" s="348">
        <v>1079604978.2066426</v>
      </c>
      <c r="P25" s="369"/>
      <c r="Q25" s="350">
        <f t="shared" si="44"/>
        <v>28040272.318699867</v>
      </c>
      <c r="R25" s="350">
        <f t="shared" si="45"/>
        <v>56654471.65816696</v>
      </c>
      <c r="S25" s="350">
        <f t="shared" si="46"/>
        <v>85701509.773080885</v>
      </c>
      <c r="T25" s="350">
        <f t="shared" si="47"/>
        <v>115193124.20264506</v>
      </c>
      <c r="U25" s="350">
        <f t="shared" si="48"/>
        <v>145134333.67102644</v>
      </c>
      <c r="V25" s="350">
        <f t="shared" si="49"/>
        <v>430723711.62361944</v>
      </c>
      <c r="W25" s="365"/>
      <c r="X25" s="377">
        <f t="shared" si="28"/>
        <v>0</v>
      </c>
      <c r="Y25" s="377">
        <f t="shared" si="29"/>
        <v>0</v>
      </c>
      <c r="Z25" s="377">
        <f t="shared" si="30"/>
        <v>0</v>
      </c>
      <c r="AA25" s="377">
        <f t="shared" si="31"/>
        <v>0</v>
      </c>
      <c r="AB25" s="377">
        <f t="shared" si="32"/>
        <v>0</v>
      </c>
      <c r="AC25" s="377">
        <f t="shared" si="33"/>
        <v>0</v>
      </c>
      <c r="AD25" s="376"/>
      <c r="AE25" s="332">
        <v>10</v>
      </c>
      <c r="AF25" s="350">
        <v>125540163.77029493</v>
      </c>
      <c r="AG25" s="350">
        <v>126569844.25290085</v>
      </c>
      <c r="AH25" s="350">
        <v>127556379.61954238</v>
      </c>
      <c r="AI25" s="350">
        <v>128545259.26522014</v>
      </c>
      <c r="AJ25" s="350">
        <v>129539554.95119809</v>
      </c>
      <c r="AK25" s="348">
        <v>637751201.85915637</v>
      </c>
      <c r="AL25" s="369"/>
      <c r="AM25" s="350">
        <v>156671193.00819898</v>
      </c>
      <c r="AN25" s="350">
        <v>189459011.45652628</v>
      </c>
      <c r="AO25" s="350">
        <v>222684076.36336973</v>
      </c>
      <c r="AP25" s="350">
        <v>256404907.88060513</v>
      </c>
      <c r="AQ25" s="350">
        <v>290630148.14714301</v>
      </c>
      <c r="AR25" s="348">
        <v>1115849336.8558431</v>
      </c>
      <c r="AS25" s="369"/>
      <c r="AT25" s="350">
        <f t="shared" si="50"/>
        <v>31131029.237904042</v>
      </c>
      <c r="AU25" s="350">
        <f t="shared" si="34"/>
        <v>62889167.203625426</v>
      </c>
      <c r="AV25" s="350">
        <f t="shared" si="35"/>
        <v>95127696.743827358</v>
      </c>
      <c r="AW25" s="350">
        <f t="shared" si="36"/>
        <v>127859648.615385</v>
      </c>
      <c r="AX25" s="350">
        <f t="shared" si="37"/>
        <v>161090593.19594491</v>
      </c>
      <c r="AY25" s="350">
        <f t="shared" si="38"/>
        <v>478098134.9966867</v>
      </c>
      <c r="AZ25" s="365"/>
      <c r="BA25" s="377">
        <f t="shared" si="51"/>
        <v>0</v>
      </c>
      <c r="BB25" s="377">
        <f t="shared" si="39"/>
        <v>0</v>
      </c>
      <c r="BC25" s="377">
        <f t="shared" si="40"/>
        <v>0</v>
      </c>
      <c r="BD25" s="377">
        <f t="shared" si="41"/>
        <v>0</v>
      </c>
      <c r="BE25" s="377">
        <f t="shared" si="42"/>
        <v>0</v>
      </c>
      <c r="BF25" s="377">
        <f t="shared" si="43"/>
        <v>0</v>
      </c>
      <c r="BG25" s="328"/>
    </row>
    <row r="26" spans="2:59">
      <c r="B26" s="332">
        <v>11</v>
      </c>
      <c r="C26" s="350">
        <v>108711233.8467527</v>
      </c>
      <c r="D26" s="350">
        <v>109602883.43816814</v>
      </c>
      <c r="E26" s="350">
        <v>110457171.60954008</v>
      </c>
      <c r="F26" s="350">
        <v>111313489.80428346</v>
      </c>
      <c r="G26" s="350">
        <v>112174498.00743465</v>
      </c>
      <c r="H26" s="348">
        <v>552259276.70617902</v>
      </c>
      <c r="I26" s="369"/>
      <c r="J26" s="350">
        <v>140123988.59532422</v>
      </c>
      <c r="K26" s="350">
        <v>173023217.19312838</v>
      </c>
      <c r="L26" s="350">
        <v>206369231.58593524</v>
      </c>
      <c r="M26" s="350">
        <v>240214569.78885174</v>
      </c>
      <c r="N26" s="350">
        <v>274567506.78040344</v>
      </c>
      <c r="O26" s="348">
        <v>1034298513.9436431</v>
      </c>
      <c r="P26" s="369"/>
      <c r="Q26" s="350">
        <f t="shared" si="44"/>
        <v>31412754.748571515</v>
      </c>
      <c r="R26" s="350">
        <f t="shared" si="45"/>
        <v>63420333.754960239</v>
      </c>
      <c r="S26" s="350">
        <f t="shared" si="46"/>
        <v>95912059.97639516</v>
      </c>
      <c r="T26" s="350">
        <f t="shared" si="47"/>
        <v>128901079.98456828</v>
      </c>
      <c r="U26" s="350">
        <f t="shared" si="48"/>
        <v>162393008.77296877</v>
      </c>
      <c r="V26" s="350">
        <f t="shared" si="49"/>
        <v>482039237.23746407</v>
      </c>
      <c r="W26" s="365"/>
      <c r="X26" s="377">
        <f t="shared" si="28"/>
        <v>0</v>
      </c>
      <c r="Y26" s="377">
        <f t="shared" si="29"/>
        <v>0</v>
      </c>
      <c r="Z26" s="377">
        <f t="shared" si="30"/>
        <v>0</v>
      </c>
      <c r="AA26" s="377">
        <f t="shared" si="31"/>
        <v>0</v>
      </c>
      <c r="AB26" s="377">
        <f t="shared" si="32"/>
        <v>0</v>
      </c>
      <c r="AC26" s="377">
        <f t="shared" si="33"/>
        <v>0</v>
      </c>
      <c r="AD26" s="376"/>
      <c r="AE26" s="332">
        <v>11</v>
      </c>
      <c r="AF26" s="350">
        <v>153115792.54086506</v>
      </c>
      <c r="AG26" s="350">
        <v>154371648.3436864</v>
      </c>
      <c r="AH26" s="350">
        <v>155574881.95432034</v>
      </c>
      <c r="AI26" s="350">
        <v>156780974.77854609</v>
      </c>
      <c r="AJ26" s="350">
        <v>157993673.30789515</v>
      </c>
      <c r="AK26" s="348">
        <v>777836970.92531312</v>
      </c>
      <c r="AL26" s="369"/>
      <c r="AM26" s="350">
        <v>182704142.96098849</v>
      </c>
      <c r="AN26" s="350">
        <v>214160276.37989455</v>
      </c>
      <c r="AO26" s="350">
        <v>246020621.45027137</v>
      </c>
      <c r="AP26" s="350">
        <v>278353045.48688304</v>
      </c>
      <c r="AQ26" s="350">
        <v>311166591.7484653</v>
      </c>
      <c r="AR26" s="348">
        <v>1232404678.0265026</v>
      </c>
      <c r="AS26" s="369"/>
      <c r="AT26" s="350">
        <f t="shared" si="50"/>
        <v>29588350.420123428</v>
      </c>
      <c r="AU26" s="350">
        <f t="shared" si="34"/>
        <v>59788628.036208153</v>
      </c>
      <c r="AV26" s="350">
        <f t="shared" si="35"/>
        <v>90445739.495951027</v>
      </c>
      <c r="AW26" s="350">
        <f t="shared" si="36"/>
        <v>121572070.70833695</v>
      </c>
      <c r="AX26" s="350">
        <f t="shared" si="37"/>
        <v>153172918.44057015</v>
      </c>
      <c r="AY26" s="350">
        <f t="shared" si="38"/>
        <v>454567707.10118949</v>
      </c>
      <c r="AZ26" s="365"/>
      <c r="BA26" s="377">
        <f t="shared" si="51"/>
        <v>0</v>
      </c>
      <c r="BB26" s="377">
        <f t="shared" si="39"/>
        <v>0</v>
      </c>
      <c r="BC26" s="377">
        <f t="shared" si="40"/>
        <v>0</v>
      </c>
      <c r="BD26" s="377">
        <f t="shared" si="41"/>
        <v>0</v>
      </c>
      <c r="BE26" s="377">
        <f t="shared" si="42"/>
        <v>0</v>
      </c>
      <c r="BF26" s="377">
        <f t="shared" si="43"/>
        <v>0</v>
      </c>
      <c r="BG26" s="328"/>
    </row>
    <row r="27" spans="2:59">
      <c r="B27" s="332">
        <v>12</v>
      </c>
      <c r="C27" s="350">
        <v>124378208.62528098</v>
      </c>
      <c r="D27" s="350">
        <v>125398358.75123803</v>
      </c>
      <c r="E27" s="350">
        <v>126375763.0970924</v>
      </c>
      <c r="F27" s="350">
        <v>127355490.02416933</v>
      </c>
      <c r="G27" s="350">
        <v>128340582.86260198</v>
      </c>
      <c r="H27" s="348">
        <v>631848403.36038268</v>
      </c>
      <c r="I27" s="369"/>
      <c r="J27" s="350">
        <v>157219214.34194344</v>
      </c>
      <c r="K27" s="350">
        <v>191728719.87057281</v>
      </c>
      <c r="L27" s="350">
        <v>226702052.46493348</v>
      </c>
      <c r="M27" s="350">
        <v>262198026.26763213</v>
      </c>
      <c r="N27" s="350">
        <v>298225558.94252115</v>
      </c>
      <c r="O27" s="348">
        <v>1136073571.887603</v>
      </c>
      <c r="P27" s="369"/>
      <c r="Q27" s="350">
        <f t="shared" si="44"/>
        <v>32841005.716662467</v>
      </c>
      <c r="R27" s="350">
        <f t="shared" si="45"/>
        <v>66330361.119334772</v>
      </c>
      <c r="S27" s="350">
        <f t="shared" si="46"/>
        <v>100326289.36784108</v>
      </c>
      <c r="T27" s="350">
        <f t="shared" si="47"/>
        <v>134842536.2434628</v>
      </c>
      <c r="U27" s="350">
        <f t="shared" si="48"/>
        <v>169884976.07991916</v>
      </c>
      <c r="V27" s="350">
        <f t="shared" si="49"/>
        <v>504225168.52722037</v>
      </c>
      <c r="W27" s="365"/>
      <c r="X27" s="377">
        <f t="shared" si="28"/>
        <v>0</v>
      </c>
      <c r="Y27" s="377">
        <f t="shared" si="29"/>
        <v>0</v>
      </c>
      <c r="Z27" s="377">
        <f t="shared" si="30"/>
        <v>0</v>
      </c>
      <c r="AA27" s="377">
        <f t="shared" si="31"/>
        <v>0</v>
      </c>
      <c r="AB27" s="377">
        <f t="shared" si="32"/>
        <v>0</v>
      </c>
      <c r="AC27" s="377">
        <f t="shared" si="33"/>
        <v>0</v>
      </c>
      <c r="AD27" s="376"/>
      <c r="AE27" s="332">
        <v>12</v>
      </c>
      <c r="AF27" s="350">
        <v>107579204.42708379</v>
      </c>
      <c r="AG27" s="350">
        <v>108461569.11266376</v>
      </c>
      <c r="AH27" s="350">
        <v>109306961.42931451</v>
      </c>
      <c r="AI27" s="350">
        <v>110154362.63034205</v>
      </c>
      <c r="AJ27" s="350">
        <v>111006405.00188547</v>
      </c>
      <c r="AK27" s="348">
        <v>546508502.60128951</v>
      </c>
      <c r="AL27" s="369"/>
      <c r="AM27" s="350">
        <v>133806997.23364224</v>
      </c>
      <c r="AN27" s="350">
        <v>161447280.25644273</v>
      </c>
      <c r="AO27" s="350">
        <v>189455347.15851465</v>
      </c>
      <c r="AP27" s="350">
        <v>217881157.6636292</v>
      </c>
      <c r="AQ27" s="350">
        <v>246732037.35630944</v>
      </c>
      <c r="AR27" s="348">
        <v>949322819.66853821</v>
      </c>
      <c r="AS27" s="369"/>
      <c r="AT27" s="350">
        <f t="shared" si="50"/>
        <v>26227792.806558445</v>
      </c>
      <c r="AU27" s="350">
        <f t="shared" si="34"/>
        <v>52985711.143778965</v>
      </c>
      <c r="AV27" s="350">
        <f t="shared" si="35"/>
        <v>80148385.72920014</v>
      </c>
      <c r="AW27" s="350">
        <f t="shared" si="36"/>
        <v>107726795.03328715</v>
      </c>
      <c r="AX27" s="350">
        <f t="shared" si="37"/>
        <v>135725632.35442397</v>
      </c>
      <c r="AY27" s="350">
        <f t="shared" si="38"/>
        <v>402814317.0672487</v>
      </c>
      <c r="AZ27" s="365"/>
      <c r="BA27" s="377">
        <f t="shared" si="51"/>
        <v>0</v>
      </c>
      <c r="BB27" s="377">
        <f t="shared" si="39"/>
        <v>0</v>
      </c>
      <c r="BC27" s="377">
        <f t="shared" si="40"/>
        <v>0</v>
      </c>
      <c r="BD27" s="377">
        <f t="shared" si="41"/>
        <v>0</v>
      </c>
      <c r="BE27" s="377">
        <f t="shared" si="42"/>
        <v>0</v>
      </c>
      <c r="BF27" s="377">
        <f t="shared" si="43"/>
        <v>0</v>
      </c>
      <c r="BG27" s="328"/>
    </row>
    <row r="28" spans="2:59">
      <c r="B28" s="332">
        <v>13</v>
      </c>
      <c r="C28" s="350">
        <v>136958655.14614242</v>
      </c>
      <c r="D28" s="350">
        <v>138081990.10041231</v>
      </c>
      <c r="E28" s="350">
        <v>139158255.67958224</v>
      </c>
      <c r="F28" s="350">
        <v>140237078.76142263</v>
      </c>
      <c r="G28" s="350">
        <v>141321810.49889526</v>
      </c>
      <c r="H28" s="348">
        <v>695757790.18645489</v>
      </c>
      <c r="I28" s="369"/>
      <c r="J28" s="350">
        <v>168529238.75389734</v>
      </c>
      <c r="K28" s="350">
        <v>201835942.81294957</v>
      </c>
      <c r="L28" s="350">
        <v>235582390.64505053</v>
      </c>
      <c r="M28" s="350">
        <v>269831422.58466917</v>
      </c>
      <c r="N28" s="350">
        <v>304592035.27543581</v>
      </c>
      <c r="O28" s="348">
        <v>1180371030.0720024</v>
      </c>
      <c r="P28" s="369"/>
      <c r="Q28" s="350">
        <f t="shared" si="44"/>
        <v>31570583.607754916</v>
      </c>
      <c r="R28" s="350">
        <f t="shared" si="45"/>
        <v>63753952.712537259</v>
      </c>
      <c r="S28" s="350">
        <f t="shared" si="46"/>
        <v>96424134.965468287</v>
      </c>
      <c r="T28" s="350">
        <f t="shared" si="47"/>
        <v>129594343.82324654</v>
      </c>
      <c r="U28" s="350">
        <f t="shared" si="48"/>
        <v>163270224.77654055</v>
      </c>
      <c r="V28" s="350">
        <f t="shared" si="49"/>
        <v>484613239.88554752</v>
      </c>
      <c r="W28" s="365"/>
      <c r="X28" s="377">
        <f t="shared" si="28"/>
        <v>0</v>
      </c>
      <c r="Y28" s="377">
        <f t="shared" si="29"/>
        <v>0</v>
      </c>
      <c r="Z28" s="377">
        <f t="shared" si="30"/>
        <v>0</v>
      </c>
      <c r="AA28" s="377">
        <f t="shared" si="31"/>
        <v>0</v>
      </c>
      <c r="AB28" s="377">
        <f t="shared" si="32"/>
        <v>0</v>
      </c>
      <c r="AC28" s="377">
        <f t="shared" si="33"/>
        <v>0</v>
      </c>
      <c r="AD28" s="376"/>
      <c r="AE28" s="332">
        <v>13</v>
      </c>
      <c r="AF28" s="350">
        <v>103275384.25862557</v>
      </c>
      <c r="AG28" s="350">
        <v>104122449.00914882</v>
      </c>
      <c r="AH28" s="350">
        <v>104934020.50957358</v>
      </c>
      <c r="AI28" s="350">
        <v>105747520.52682517</v>
      </c>
      <c r="AJ28" s="350">
        <v>106565476.03964379</v>
      </c>
      <c r="AK28" s="348">
        <v>524644850.343817</v>
      </c>
      <c r="AL28" s="369"/>
      <c r="AM28" s="350">
        <v>129886865.24812518</v>
      </c>
      <c r="AN28" s="350">
        <v>157891819.6595822</v>
      </c>
      <c r="AO28" s="350">
        <v>186272091.21571633</v>
      </c>
      <c r="AP28" s="350">
        <v>215076241.23256811</v>
      </c>
      <c r="AQ28" s="350">
        <v>244311559.94756228</v>
      </c>
      <c r="AR28" s="348">
        <v>933438577.30355406</v>
      </c>
      <c r="AS28" s="369"/>
      <c r="AT28" s="350">
        <f t="shared" si="50"/>
        <v>26611480.989499614</v>
      </c>
      <c r="AU28" s="350">
        <f t="shared" si="34"/>
        <v>53769370.650433376</v>
      </c>
      <c r="AV28" s="350">
        <f t="shared" si="35"/>
        <v>81338070.706142753</v>
      </c>
      <c r="AW28" s="350">
        <f t="shared" si="36"/>
        <v>109328720.70574294</v>
      </c>
      <c r="AX28" s="350">
        <f t="shared" si="37"/>
        <v>137746083.90791848</v>
      </c>
      <c r="AY28" s="350">
        <f t="shared" si="38"/>
        <v>408793726.95973706</v>
      </c>
      <c r="AZ28" s="365"/>
      <c r="BA28" s="377">
        <f t="shared" si="51"/>
        <v>0</v>
      </c>
      <c r="BB28" s="377">
        <f t="shared" si="39"/>
        <v>0</v>
      </c>
      <c r="BC28" s="377">
        <f t="shared" si="40"/>
        <v>0</v>
      </c>
      <c r="BD28" s="377">
        <f t="shared" si="41"/>
        <v>0</v>
      </c>
      <c r="BE28" s="377">
        <f t="shared" si="42"/>
        <v>0</v>
      </c>
      <c r="BF28" s="377">
        <f t="shared" si="43"/>
        <v>0</v>
      </c>
      <c r="BG28" s="328"/>
    </row>
    <row r="29" spans="2:59">
      <c r="B29" s="332">
        <v>14</v>
      </c>
      <c r="C29" s="350">
        <v>120723984.44660446</v>
      </c>
      <c r="D29" s="350">
        <v>121714162.6241201</v>
      </c>
      <c r="E29" s="350">
        <v>122662850.88994375</v>
      </c>
      <c r="F29" s="350">
        <v>123613793.49969533</v>
      </c>
      <c r="G29" s="350">
        <v>124569944.37065452</v>
      </c>
      <c r="H29" s="348">
        <v>613284735.83101821</v>
      </c>
      <c r="I29" s="369"/>
      <c r="J29" s="350">
        <v>152619121.16285115</v>
      </c>
      <c r="K29" s="350">
        <v>186139633.82179576</v>
      </c>
      <c r="L29" s="350">
        <v>220110725.44945055</v>
      </c>
      <c r="M29" s="350">
        <v>254589490.49091151</v>
      </c>
      <c r="N29" s="350">
        <v>289584588.85058713</v>
      </c>
      <c r="O29" s="348">
        <v>1103043559.7755961</v>
      </c>
      <c r="P29" s="369"/>
      <c r="Q29" s="350">
        <f t="shared" si="44"/>
        <v>31895136.716246694</v>
      </c>
      <c r="R29" s="350">
        <f t="shared" si="45"/>
        <v>64425471.19767566</v>
      </c>
      <c r="S29" s="350">
        <f t="shared" si="46"/>
        <v>97447874.559506804</v>
      </c>
      <c r="T29" s="350">
        <f t="shared" si="47"/>
        <v>130975696.99121618</v>
      </c>
      <c r="U29" s="350">
        <f t="shared" si="48"/>
        <v>165014644.47993261</v>
      </c>
      <c r="V29" s="350">
        <f t="shared" si="49"/>
        <v>489758823.94457793</v>
      </c>
      <c r="W29" s="365"/>
      <c r="X29" s="377">
        <f t="shared" si="28"/>
        <v>0</v>
      </c>
      <c r="Y29" s="377">
        <f t="shared" si="29"/>
        <v>0</v>
      </c>
      <c r="Z29" s="377">
        <f t="shared" si="30"/>
        <v>0</v>
      </c>
      <c r="AA29" s="377">
        <f t="shared" si="31"/>
        <v>0</v>
      </c>
      <c r="AB29" s="377">
        <f t="shared" si="32"/>
        <v>0</v>
      </c>
      <c r="AC29" s="377">
        <f t="shared" si="33"/>
        <v>0</v>
      </c>
      <c r="AD29" s="376"/>
      <c r="AE29" s="332">
        <v>14</v>
      </c>
      <c r="AF29" s="350">
        <v>121677162.04401007</v>
      </c>
      <c r="AG29" s="350">
        <v>122675158.18463035</v>
      </c>
      <c r="AH29" s="350">
        <v>123631336.8294872</v>
      </c>
      <c r="AI29" s="350">
        <v>124589787.6174702</v>
      </c>
      <c r="AJ29" s="350">
        <v>125553487.78854668</v>
      </c>
      <c r="AK29" s="348">
        <v>618126932.46414447</v>
      </c>
      <c r="AL29" s="369"/>
      <c r="AM29" s="350">
        <v>157514195.63240862</v>
      </c>
      <c r="AN29" s="350">
        <v>195048008.73394641</v>
      </c>
      <c r="AO29" s="350">
        <v>233092655.10310441</v>
      </c>
      <c r="AP29" s="350">
        <v>271707223.67958927</v>
      </c>
      <c r="AQ29" s="350">
        <v>310901100.6122002</v>
      </c>
      <c r="AR29" s="348">
        <v>1168263183.7612491</v>
      </c>
      <c r="AS29" s="369"/>
      <c r="AT29" s="350">
        <f t="shared" si="50"/>
        <v>35837033.588398546</v>
      </c>
      <c r="AU29" s="350">
        <f t="shared" si="34"/>
        <v>72372850.549316064</v>
      </c>
      <c r="AV29" s="350">
        <f t="shared" si="35"/>
        <v>109461318.27361721</v>
      </c>
      <c r="AW29" s="350">
        <f t="shared" si="36"/>
        <v>147117436.06211907</v>
      </c>
      <c r="AX29" s="350">
        <f t="shared" si="37"/>
        <v>185347612.82365352</v>
      </c>
      <c r="AY29" s="350">
        <f t="shared" si="38"/>
        <v>550136251.2971046</v>
      </c>
      <c r="AZ29" s="365"/>
      <c r="BA29" s="377">
        <f t="shared" si="51"/>
        <v>0</v>
      </c>
      <c r="BB29" s="377">
        <f t="shared" si="39"/>
        <v>0</v>
      </c>
      <c r="BC29" s="377">
        <f t="shared" si="40"/>
        <v>0</v>
      </c>
      <c r="BD29" s="377">
        <f t="shared" si="41"/>
        <v>0</v>
      </c>
      <c r="BE29" s="377">
        <f t="shared" si="42"/>
        <v>0</v>
      </c>
      <c r="BF29" s="377">
        <f t="shared" si="43"/>
        <v>0</v>
      </c>
      <c r="BG29" s="328"/>
    </row>
    <row r="30" spans="2:59">
      <c r="B30" s="332">
        <v>15</v>
      </c>
      <c r="C30" s="350">
        <v>102900078.327907</v>
      </c>
      <c r="D30" s="350">
        <v>103744064.81900899</v>
      </c>
      <c r="E30" s="350">
        <v>104552687.04357779</v>
      </c>
      <c r="F30" s="350">
        <v>105363230.77668381</v>
      </c>
      <c r="G30" s="350">
        <v>106178213.81394854</v>
      </c>
      <c r="H30" s="348">
        <v>522738274.78112614</v>
      </c>
      <c r="I30" s="369"/>
      <c r="J30" s="350">
        <v>127738064.65482196</v>
      </c>
      <c r="K30" s="350">
        <v>153934778.65986499</v>
      </c>
      <c r="L30" s="350">
        <v>180479634.76428455</v>
      </c>
      <c r="M30" s="350">
        <v>207420316.1723085</v>
      </c>
      <c r="N30" s="350">
        <v>234763787.22043419</v>
      </c>
      <c r="O30" s="348">
        <v>904336581.47171426</v>
      </c>
      <c r="P30" s="369"/>
      <c r="Q30" s="350">
        <f t="shared" si="44"/>
        <v>24837986.326914966</v>
      </c>
      <c r="R30" s="350">
        <f t="shared" si="45"/>
        <v>50190713.840856001</v>
      </c>
      <c r="S30" s="350">
        <f t="shared" si="46"/>
        <v>75926947.720706761</v>
      </c>
      <c r="T30" s="350">
        <f t="shared" si="47"/>
        <v>102057085.3956247</v>
      </c>
      <c r="U30" s="350">
        <f t="shared" si="48"/>
        <v>128585573.40648565</v>
      </c>
      <c r="V30" s="350">
        <f t="shared" si="49"/>
        <v>381598306.69058812</v>
      </c>
      <c r="W30" s="365"/>
      <c r="X30" s="377">
        <f t="shared" si="28"/>
        <v>0</v>
      </c>
      <c r="Y30" s="377">
        <f t="shared" si="29"/>
        <v>0</v>
      </c>
      <c r="Z30" s="377">
        <f t="shared" si="30"/>
        <v>0</v>
      </c>
      <c r="AA30" s="377">
        <f t="shared" si="31"/>
        <v>0</v>
      </c>
      <c r="AB30" s="377">
        <f t="shared" si="32"/>
        <v>0</v>
      </c>
      <c r="AC30" s="377">
        <f t="shared" si="33"/>
        <v>0</v>
      </c>
      <c r="AD30" s="376"/>
      <c r="AE30" s="332">
        <v>15</v>
      </c>
      <c r="AF30" s="350">
        <v>142590143.04519552</v>
      </c>
      <c r="AG30" s="350">
        <v>143759667.46587628</v>
      </c>
      <c r="AH30" s="350">
        <v>144880187.10535946</v>
      </c>
      <c r="AI30" s="350">
        <v>146003369.40731722</v>
      </c>
      <c r="AJ30" s="350">
        <v>147132703.31795505</v>
      </c>
      <c r="AK30" s="348">
        <v>724366070.34170341</v>
      </c>
      <c r="AL30" s="369"/>
      <c r="AM30" s="350">
        <v>175855788.41103148</v>
      </c>
      <c r="AN30" s="350">
        <v>210929575.2239581</v>
      </c>
      <c r="AO30" s="350">
        <v>246467197.76700392</v>
      </c>
      <c r="AP30" s="350">
        <v>282534245.9937439</v>
      </c>
      <c r="AQ30" s="350">
        <v>319140156.37495941</v>
      </c>
      <c r="AR30" s="348">
        <v>1234926963.7706969</v>
      </c>
      <c r="AS30" s="369"/>
      <c r="AT30" s="350">
        <f t="shared" si="50"/>
        <v>33265645.365835965</v>
      </c>
      <c r="AU30" s="350">
        <f t="shared" si="34"/>
        <v>67169907.758081824</v>
      </c>
      <c r="AV30" s="350">
        <f t="shared" si="35"/>
        <v>101587010.66164446</v>
      </c>
      <c r="AW30" s="350">
        <f t="shared" si="36"/>
        <v>136530876.58642668</v>
      </c>
      <c r="AX30" s="350">
        <f t="shared" si="37"/>
        <v>172007453.05700436</v>
      </c>
      <c r="AY30" s="350">
        <f t="shared" si="38"/>
        <v>510560893.42899346</v>
      </c>
      <c r="AZ30" s="365"/>
      <c r="BA30" s="377">
        <f t="shared" si="51"/>
        <v>0</v>
      </c>
      <c r="BB30" s="377">
        <f t="shared" si="39"/>
        <v>0</v>
      </c>
      <c r="BC30" s="377">
        <f t="shared" si="40"/>
        <v>0</v>
      </c>
      <c r="BD30" s="377">
        <f t="shared" si="41"/>
        <v>0</v>
      </c>
      <c r="BE30" s="377">
        <f t="shared" si="42"/>
        <v>0</v>
      </c>
      <c r="BF30" s="377">
        <f t="shared" si="43"/>
        <v>0</v>
      </c>
      <c r="BG30" s="328"/>
    </row>
    <row r="31" spans="2:59">
      <c r="B31" s="332">
        <v>16</v>
      </c>
      <c r="C31" s="350">
        <v>114478428.52466078</v>
      </c>
      <c r="D31" s="350">
        <v>115417380.64955139</v>
      </c>
      <c r="E31" s="350">
        <v>116316989.30916545</v>
      </c>
      <c r="F31" s="350">
        <v>117218735.68608075</v>
      </c>
      <c r="G31" s="350">
        <v>118125420.87909891</v>
      </c>
      <c r="H31" s="348">
        <v>581556955.04855728</v>
      </c>
      <c r="I31" s="369"/>
      <c r="J31" s="350">
        <v>140866970.72209623</v>
      </c>
      <c r="K31" s="350">
        <v>168726732.45041171</v>
      </c>
      <c r="L31" s="350">
        <v>196954370.44043306</v>
      </c>
      <c r="M31" s="350">
        <v>225602411.57041022</v>
      </c>
      <c r="N31" s="350">
        <v>254678378.83360729</v>
      </c>
      <c r="O31" s="348">
        <v>986828864.01695859</v>
      </c>
      <c r="P31" s="369"/>
      <c r="Q31" s="350">
        <f t="shared" si="44"/>
        <v>26388542.197435454</v>
      </c>
      <c r="R31" s="350">
        <f t="shared" si="45"/>
        <v>53309351.800860316</v>
      </c>
      <c r="S31" s="350">
        <f t="shared" si="46"/>
        <v>80637381.131267607</v>
      </c>
      <c r="T31" s="350">
        <f t="shared" si="47"/>
        <v>108383675.88432947</v>
      </c>
      <c r="U31" s="350">
        <f t="shared" si="48"/>
        <v>136552957.95450836</v>
      </c>
      <c r="V31" s="350">
        <f t="shared" si="49"/>
        <v>405271908.96840131</v>
      </c>
      <c r="W31" s="365"/>
      <c r="X31" s="377">
        <f t="shared" si="28"/>
        <v>0</v>
      </c>
      <c r="Y31" s="377">
        <f t="shared" si="29"/>
        <v>0</v>
      </c>
      <c r="Z31" s="377">
        <f t="shared" si="30"/>
        <v>0</v>
      </c>
      <c r="AA31" s="377">
        <f t="shared" si="31"/>
        <v>0</v>
      </c>
      <c r="AB31" s="377">
        <f t="shared" si="32"/>
        <v>0</v>
      </c>
      <c r="AC31" s="377">
        <f t="shared" si="33"/>
        <v>0</v>
      </c>
      <c r="AD31" s="376"/>
      <c r="AE31" s="332">
        <v>16</v>
      </c>
      <c r="AF31" s="350">
        <v>122851293.37050726</v>
      </c>
      <c r="AG31" s="350">
        <v>123858919.73682268</v>
      </c>
      <c r="AH31" s="350">
        <v>124824325.08685407</v>
      </c>
      <c r="AI31" s="350">
        <v>125792024.50519767</v>
      </c>
      <c r="AJ31" s="350">
        <v>126765023.96088274</v>
      </c>
      <c r="AK31" s="348">
        <v>624091586.66026449</v>
      </c>
      <c r="AL31" s="369"/>
      <c r="AM31" s="350">
        <v>158013923.34961095</v>
      </c>
      <c r="AN31" s="350">
        <v>194893461.99085104</v>
      </c>
      <c r="AO31" s="350">
        <v>232273398.91335112</v>
      </c>
      <c r="AP31" s="350">
        <v>270212967.55040067</v>
      </c>
      <c r="AQ31" s="350">
        <v>308721465.7828663</v>
      </c>
      <c r="AR31" s="348">
        <v>1164115217.58708</v>
      </c>
      <c r="AS31" s="369"/>
      <c r="AT31" s="350">
        <f t="shared" si="50"/>
        <v>35162629.979103699</v>
      </c>
      <c r="AU31" s="350">
        <f t="shared" si="34"/>
        <v>71034542.254028365</v>
      </c>
      <c r="AV31" s="350">
        <f t="shared" si="35"/>
        <v>107449073.82649705</v>
      </c>
      <c r="AW31" s="350">
        <f t="shared" si="36"/>
        <v>144420943.045203</v>
      </c>
      <c r="AX31" s="350">
        <f t="shared" si="37"/>
        <v>181956441.82198358</v>
      </c>
      <c r="AY31" s="350">
        <f t="shared" si="38"/>
        <v>540023630.92681551</v>
      </c>
      <c r="AZ31" s="365"/>
      <c r="BA31" s="377">
        <f t="shared" si="51"/>
        <v>0</v>
      </c>
      <c r="BB31" s="377">
        <f t="shared" si="39"/>
        <v>0</v>
      </c>
      <c r="BC31" s="377">
        <f t="shared" si="40"/>
        <v>0</v>
      </c>
      <c r="BD31" s="377">
        <f t="shared" si="41"/>
        <v>0</v>
      </c>
      <c r="BE31" s="377">
        <f t="shared" si="42"/>
        <v>0</v>
      </c>
      <c r="BF31" s="377">
        <f t="shared" si="43"/>
        <v>0</v>
      </c>
      <c r="BG31" s="328"/>
    </row>
    <row r="32" spans="2:59">
      <c r="B32" s="332">
        <v>17</v>
      </c>
      <c r="C32" s="350">
        <v>120013453.2872138</v>
      </c>
      <c r="D32" s="350">
        <v>120997803.68782419</v>
      </c>
      <c r="E32" s="350">
        <v>121940908.36910571</v>
      </c>
      <c r="F32" s="350">
        <v>122886254.12618451</v>
      </c>
      <c r="G32" s="350">
        <v>123836777.49081172</v>
      </c>
      <c r="H32" s="348">
        <v>609675196.96113992</v>
      </c>
      <c r="I32" s="369"/>
      <c r="J32" s="350">
        <v>152256189.74886933</v>
      </c>
      <c r="K32" s="350">
        <v>186138210.99682158</v>
      </c>
      <c r="L32" s="350">
        <v>220476617.82987899</v>
      </c>
      <c r="M32" s="350">
        <v>255328393.43776238</v>
      </c>
      <c r="N32" s="350">
        <v>290702244.48034185</v>
      </c>
      <c r="O32" s="348">
        <v>1104901656.493674</v>
      </c>
      <c r="P32" s="369"/>
      <c r="Q32" s="350">
        <f t="shared" si="44"/>
        <v>32242736.461655527</v>
      </c>
      <c r="R32" s="350">
        <f t="shared" si="45"/>
        <v>65140407.308997393</v>
      </c>
      <c r="S32" s="350">
        <f t="shared" si="46"/>
        <v>98535709.460773274</v>
      </c>
      <c r="T32" s="350">
        <f t="shared" si="47"/>
        <v>132442139.31157787</v>
      </c>
      <c r="U32" s="350">
        <f t="shared" si="48"/>
        <v>166865466.98953015</v>
      </c>
      <c r="V32" s="350">
        <f t="shared" si="49"/>
        <v>495226459.53253412</v>
      </c>
      <c r="W32" s="365"/>
      <c r="X32" s="377">
        <f t="shared" si="28"/>
        <v>0</v>
      </c>
      <c r="Y32" s="377">
        <f t="shared" si="29"/>
        <v>0</v>
      </c>
      <c r="Z32" s="377">
        <f t="shared" si="30"/>
        <v>0</v>
      </c>
      <c r="AA32" s="377">
        <f t="shared" si="31"/>
        <v>0</v>
      </c>
      <c r="AB32" s="377">
        <f t="shared" si="32"/>
        <v>0</v>
      </c>
      <c r="AC32" s="377">
        <f t="shared" si="33"/>
        <v>0</v>
      </c>
      <c r="AD32" s="376"/>
      <c r="AE32" s="332">
        <v>17</v>
      </c>
      <c r="AF32" s="350">
        <v>112581453.1808514</v>
      </c>
      <c r="AG32" s="350">
        <v>113504846.31307516</v>
      </c>
      <c r="AH32" s="350">
        <v>114389547.92453739</v>
      </c>
      <c r="AI32" s="350">
        <v>115276351.83005935</v>
      </c>
      <c r="AJ32" s="350">
        <v>116168012.71257712</v>
      </c>
      <c r="AK32" s="348">
        <v>571920211.96110046</v>
      </c>
      <c r="AL32" s="369"/>
      <c r="AM32" s="350">
        <v>142462998.04863304</v>
      </c>
      <c r="AN32" s="350">
        <v>173843750.17455387</v>
      </c>
      <c r="AO32" s="350">
        <v>205646513.95953998</v>
      </c>
      <c r="AP32" s="350">
        <v>237924589.51728344</v>
      </c>
      <c r="AQ32" s="350">
        <v>270686074.34627122</v>
      </c>
      <c r="AR32" s="348">
        <v>1030563926.0462816</v>
      </c>
      <c r="AS32" s="369"/>
      <c r="AT32" s="350">
        <f t="shared" si="50"/>
        <v>29881544.867781639</v>
      </c>
      <c r="AU32" s="350">
        <f t="shared" si="34"/>
        <v>60338903.861478716</v>
      </c>
      <c r="AV32" s="350">
        <f t="shared" si="35"/>
        <v>91256966.035002589</v>
      </c>
      <c r="AW32" s="350">
        <f t="shared" si="36"/>
        <v>122648237.68722409</v>
      </c>
      <c r="AX32" s="350">
        <f t="shared" si="37"/>
        <v>154518061.63369411</v>
      </c>
      <c r="AY32" s="350">
        <f t="shared" si="38"/>
        <v>458643714.08518112</v>
      </c>
      <c r="AZ32" s="365"/>
      <c r="BA32" s="377">
        <f t="shared" si="51"/>
        <v>0</v>
      </c>
      <c r="BB32" s="377">
        <f t="shared" si="39"/>
        <v>0</v>
      </c>
      <c r="BC32" s="377">
        <f t="shared" si="40"/>
        <v>0</v>
      </c>
      <c r="BD32" s="377">
        <f t="shared" si="41"/>
        <v>0</v>
      </c>
      <c r="BE32" s="377">
        <f t="shared" si="42"/>
        <v>0</v>
      </c>
      <c r="BF32" s="377">
        <f t="shared" si="43"/>
        <v>0</v>
      </c>
      <c r="BG32" s="328"/>
    </row>
    <row r="33" spans="2:59">
      <c r="B33" s="332">
        <v>18</v>
      </c>
      <c r="C33" s="350">
        <v>137398364.04157406</v>
      </c>
      <c r="D33" s="350">
        <v>138525305.48841223</v>
      </c>
      <c r="E33" s="350">
        <v>139605026.44284493</v>
      </c>
      <c r="F33" s="350">
        <v>140687313.11086887</v>
      </c>
      <c r="G33" s="350">
        <v>141775527.40439916</v>
      </c>
      <c r="H33" s="348">
        <v>697991536.48809922</v>
      </c>
      <c r="I33" s="369"/>
      <c r="J33" s="350">
        <v>167765029.36805832</v>
      </c>
      <c r="K33" s="350">
        <v>199864728.88718307</v>
      </c>
      <c r="L33" s="350">
        <v>232385716.79047036</v>
      </c>
      <c r="M33" s="350">
        <v>265390489.78285718</v>
      </c>
      <c r="N33" s="350">
        <v>298887842.52613145</v>
      </c>
      <c r="O33" s="348">
        <v>1164293807.3547003</v>
      </c>
      <c r="P33" s="369"/>
      <c r="Q33" s="350">
        <f t="shared" si="44"/>
        <v>30366665.326484263</v>
      </c>
      <c r="R33" s="350">
        <f t="shared" si="45"/>
        <v>61339423.398770839</v>
      </c>
      <c r="S33" s="350">
        <f t="shared" si="46"/>
        <v>92780690.347625434</v>
      </c>
      <c r="T33" s="350">
        <f t="shared" si="47"/>
        <v>124703176.67198831</v>
      </c>
      <c r="U33" s="350">
        <f t="shared" si="48"/>
        <v>157112315.12173229</v>
      </c>
      <c r="V33" s="350">
        <f t="shared" si="49"/>
        <v>466302270.86660111</v>
      </c>
      <c r="W33" s="365"/>
      <c r="X33" s="377">
        <f t="shared" si="28"/>
        <v>0</v>
      </c>
      <c r="Y33" s="377">
        <f t="shared" si="29"/>
        <v>0</v>
      </c>
      <c r="Z33" s="377">
        <f t="shared" si="30"/>
        <v>0</v>
      </c>
      <c r="AA33" s="377">
        <f t="shared" si="31"/>
        <v>0</v>
      </c>
      <c r="AB33" s="377">
        <f t="shared" si="32"/>
        <v>0</v>
      </c>
      <c r="AC33" s="377">
        <f t="shared" si="33"/>
        <v>0</v>
      </c>
      <c r="AD33" s="376"/>
      <c r="AE33" s="332">
        <v>18</v>
      </c>
      <c r="AF33" s="350">
        <v>122117615.91995114</v>
      </c>
      <c r="AG33" s="350">
        <v>123119224.66347015</v>
      </c>
      <c r="AH33" s="350">
        <v>124078864.53788845</v>
      </c>
      <c r="AI33" s="350">
        <v>125040784.78026518</v>
      </c>
      <c r="AJ33" s="350">
        <v>126007973.40774924</v>
      </c>
      <c r="AK33" s="348">
        <v>620364463.30932426</v>
      </c>
      <c r="AL33" s="369"/>
      <c r="AM33" s="350">
        <v>153407706.23736581</v>
      </c>
      <c r="AN33" s="350">
        <v>186318598.53315073</v>
      </c>
      <c r="AO33" s="350">
        <v>219670194.70826074</v>
      </c>
      <c r="AP33" s="350">
        <v>253519840.71820062</v>
      </c>
      <c r="AQ33" s="350">
        <v>287876121.72176313</v>
      </c>
      <c r="AR33" s="348">
        <v>1100792461.918741</v>
      </c>
      <c r="AS33" s="369"/>
      <c r="AT33" s="350">
        <f t="shared" si="50"/>
        <v>31290090.317414671</v>
      </c>
      <c r="AU33" s="350">
        <f t="shared" si="34"/>
        <v>63199373.869680583</v>
      </c>
      <c r="AV33" s="350">
        <f t="shared" si="35"/>
        <v>95591330.170372292</v>
      </c>
      <c r="AW33" s="350">
        <f t="shared" si="36"/>
        <v>128479055.93793544</v>
      </c>
      <c r="AX33" s="350">
        <f t="shared" si="37"/>
        <v>161868148.3140139</v>
      </c>
      <c r="AY33" s="350">
        <f t="shared" si="38"/>
        <v>480427998.60941672</v>
      </c>
      <c r="AZ33" s="365"/>
      <c r="BA33" s="377">
        <f t="shared" si="51"/>
        <v>0</v>
      </c>
      <c r="BB33" s="377">
        <f t="shared" si="39"/>
        <v>0</v>
      </c>
      <c r="BC33" s="377">
        <f t="shared" si="40"/>
        <v>0</v>
      </c>
      <c r="BD33" s="377">
        <f t="shared" si="41"/>
        <v>0</v>
      </c>
      <c r="BE33" s="377">
        <f t="shared" si="42"/>
        <v>0</v>
      </c>
      <c r="BF33" s="377">
        <f t="shared" si="43"/>
        <v>0</v>
      </c>
      <c r="BG33" s="328"/>
    </row>
    <row r="34" spans="2:59">
      <c r="B34" s="332">
        <v>19</v>
      </c>
      <c r="C34" s="350">
        <v>136190488.43532798</v>
      </c>
      <c r="D34" s="350">
        <v>137307522.88587251</v>
      </c>
      <c r="E34" s="350">
        <v>138377751.96162447</v>
      </c>
      <c r="F34" s="350">
        <v>139450524.19565654</v>
      </c>
      <c r="G34" s="350">
        <v>140529171.94515479</v>
      </c>
      <c r="H34" s="348">
        <v>691855459.42363632</v>
      </c>
      <c r="I34" s="369"/>
      <c r="J34" s="350">
        <v>175560551.70416662</v>
      </c>
      <c r="K34" s="350">
        <v>216831887.88381019</v>
      </c>
      <c r="L34" s="350">
        <v>258663811.3041575</v>
      </c>
      <c r="M34" s="350">
        <v>301122149.44054389</v>
      </c>
      <c r="N34" s="350">
        <v>344217277.91614372</v>
      </c>
      <c r="O34" s="348">
        <v>1296395678.248822</v>
      </c>
      <c r="P34" s="369"/>
      <c r="Q34" s="350">
        <f t="shared" si="44"/>
        <v>39370063.268838644</v>
      </c>
      <c r="R34" s="350">
        <f t="shared" si="45"/>
        <v>79524364.997937679</v>
      </c>
      <c r="S34" s="350">
        <f t="shared" si="46"/>
        <v>120286059.34253302</v>
      </c>
      <c r="T34" s="350">
        <f t="shared" si="47"/>
        <v>161671625.24488735</v>
      </c>
      <c r="U34" s="350">
        <f t="shared" si="48"/>
        <v>203688105.97098893</v>
      </c>
      <c r="V34" s="350">
        <f t="shared" si="49"/>
        <v>604540218.82518566</v>
      </c>
      <c r="W34" s="365"/>
      <c r="X34" s="377">
        <f t="shared" si="28"/>
        <v>0</v>
      </c>
      <c r="Y34" s="377">
        <f t="shared" si="29"/>
        <v>0</v>
      </c>
      <c r="Z34" s="377">
        <f t="shared" si="30"/>
        <v>0</v>
      </c>
      <c r="AA34" s="377">
        <f t="shared" si="31"/>
        <v>0</v>
      </c>
      <c r="AB34" s="377">
        <f t="shared" si="32"/>
        <v>0</v>
      </c>
      <c r="AC34" s="377">
        <f t="shared" si="33"/>
        <v>0</v>
      </c>
      <c r="AD34" s="376"/>
      <c r="AE34" s="332">
        <v>19</v>
      </c>
      <c r="AF34" s="350">
        <v>122779578.22074793</v>
      </c>
      <c r="AG34" s="350">
        <v>123786616.37937108</v>
      </c>
      <c r="AH34" s="350">
        <v>124751458.16847157</v>
      </c>
      <c r="AI34" s="350">
        <v>125718592.6867087</v>
      </c>
      <c r="AJ34" s="350">
        <v>126691024.14835995</v>
      </c>
      <c r="AK34" s="348">
        <v>623727269.60365915</v>
      </c>
      <c r="AL34" s="369"/>
      <c r="AM34" s="350">
        <v>150435863.05745611</v>
      </c>
      <c r="AN34" s="350">
        <v>179643438.88803184</v>
      </c>
      <c r="AO34" s="350">
        <v>209235389.70319131</v>
      </c>
      <c r="AP34" s="350">
        <v>239267780.19313008</v>
      </c>
      <c r="AQ34" s="350">
        <v>269748561.23932147</v>
      </c>
      <c r="AR34" s="348">
        <v>1048331033.0811307</v>
      </c>
      <c r="AS34" s="369"/>
      <c r="AT34" s="350">
        <f t="shared" si="50"/>
        <v>27656284.836708173</v>
      </c>
      <c r="AU34" s="350">
        <f t="shared" si="34"/>
        <v>55856822.508660764</v>
      </c>
      <c r="AV34" s="350">
        <f t="shared" si="35"/>
        <v>84483931.534719735</v>
      </c>
      <c r="AW34" s="350">
        <f t="shared" si="36"/>
        <v>113549187.50642137</v>
      </c>
      <c r="AX34" s="350">
        <f t="shared" si="37"/>
        <v>143057537.09096152</v>
      </c>
      <c r="AY34" s="350">
        <f t="shared" si="38"/>
        <v>424603763.47747159</v>
      </c>
      <c r="AZ34" s="365"/>
      <c r="BA34" s="377">
        <f t="shared" si="51"/>
        <v>0</v>
      </c>
      <c r="BB34" s="377">
        <f t="shared" si="39"/>
        <v>0</v>
      </c>
      <c r="BC34" s="377">
        <f t="shared" si="40"/>
        <v>0</v>
      </c>
      <c r="BD34" s="377">
        <f t="shared" si="41"/>
        <v>0</v>
      </c>
      <c r="BE34" s="377">
        <f t="shared" si="42"/>
        <v>0</v>
      </c>
      <c r="BF34" s="377">
        <f t="shared" si="43"/>
        <v>0</v>
      </c>
      <c r="BG34" s="328"/>
    </row>
    <row r="35" spans="2:59">
      <c r="B35" s="332">
        <v>20</v>
      </c>
      <c r="C35" s="350">
        <v>104969813.75216365</v>
      </c>
      <c r="D35" s="350">
        <v>105830776.21419409</v>
      </c>
      <c r="E35" s="350">
        <v>106655663.09171773</v>
      </c>
      <c r="F35" s="350">
        <v>107482510.12706199</v>
      </c>
      <c r="G35" s="350">
        <v>108313885.75886896</v>
      </c>
      <c r="H35" s="348">
        <v>533252648.94400644</v>
      </c>
      <c r="I35" s="369"/>
      <c r="J35" s="350">
        <v>134162432.43413262</v>
      </c>
      <c r="K35" s="350">
        <v>164782676.22558308</v>
      </c>
      <c r="L35" s="350">
        <v>195816990.27903286</v>
      </c>
      <c r="M35" s="350">
        <v>227315628.52911198</v>
      </c>
      <c r="N35" s="350">
        <v>259286379.6796231</v>
      </c>
      <c r="O35" s="348">
        <v>981364107.14748371</v>
      </c>
      <c r="P35" s="369"/>
      <c r="Q35" s="350">
        <f t="shared" si="44"/>
        <v>29192618.681968972</v>
      </c>
      <c r="R35" s="350">
        <f t="shared" si="45"/>
        <v>58951900.011388987</v>
      </c>
      <c r="S35" s="350">
        <f t="shared" si="46"/>
        <v>89161327.187315121</v>
      </c>
      <c r="T35" s="350">
        <f t="shared" si="47"/>
        <v>119833118.40204999</v>
      </c>
      <c r="U35" s="350">
        <f t="shared" si="48"/>
        <v>150972493.92075413</v>
      </c>
      <c r="V35" s="350">
        <f t="shared" si="49"/>
        <v>448111458.20347726</v>
      </c>
      <c r="W35" s="365"/>
      <c r="X35" s="377">
        <f t="shared" si="28"/>
        <v>0</v>
      </c>
      <c r="Y35" s="377">
        <f t="shared" si="29"/>
        <v>0</v>
      </c>
      <c r="Z35" s="377">
        <f t="shared" si="30"/>
        <v>0</v>
      </c>
      <c r="AA35" s="377">
        <f t="shared" si="31"/>
        <v>0</v>
      </c>
      <c r="AB35" s="377">
        <f t="shared" si="32"/>
        <v>0</v>
      </c>
      <c r="AC35" s="377">
        <f t="shared" si="33"/>
        <v>0</v>
      </c>
      <c r="AD35" s="376"/>
      <c r="AE35" s="332">
        <v>20</v>
      </c>
      <c r="AF35" s="350">
        <v>117560287.49874175</v>
      </c>
      <c r="AG35" s="350">
        <v>118524517.03239509</v>
      </c>
      <c r="AH35" s="350">
        <v>119448343.94042957</v>
      </c>
      <c r="AI35" s="350">
        <v>120374366.11497639</v>
      </c>
      <c r="AJ35" s="350">
        <v>121305460.06285588</v>
      </c>
      <c r="AK35" s="348">
        <v>597212974.64939868</v>
      </c>
      <c r="AL35" s="369"/>
      <c r="AM35" s="350">
        <v>154370428.8688783</v>
      </c>
      <c r="AN35" s="350">
        <v>192859727.47823063</v>
      </c>
      <c r="AO35" s="350">
        <v>231876236.61446947</v>
      </c>
      <c r="AP35" s="350">
        <v>271477960.59968084</v>
      </c>
      <c r="AQ35" s="350">
        <v>311674358.44304556</v>
      </c>
      <c r="AR35" s="348">
        <v>1162258712.0043049</v>
      </c>
      <c r="AS35" s="369"/>
      <c r="AT35" s="350">
        <f t="shared" si="50"/>
        <v>36810141.370136559</v>
      </c>
      <c r="AU35" s="350">
        <f t="shared" si="34"/>
        <v>74335210.445835531</v>
      </c>
      <c r="AV35" s="350">
        <f t="shared" si="35"/>
        <v>112427892.6740399</v>
      </c>
      <c r="AW35" s="350">
        <f t="shared" si="36"/>
        <v>151103594.48470443</v>
      </c>
      <c r="AX35" s="350">
        <f t="shared" si="37"/>
        <v>190368898.38018966</v>
      </c>
      <c r="AY35" s="350">
        <f t="shared" si="38"/>
        <v>565045737.3549062</v>
      </c>
      <c r="AZ35" s="365"/>
      <c r="BA35" s="377">
        <f t="shared" si="51"/>
        <v>0</v>
      </c>
      <c r="BB35" s="377">
        <f t="shared" si="39"/>
        <v>0</v>
      </c>
      <c r="BC35" s="377">
        <f t="shared" si="40"/>
        <v>0</v>
      </c>
      <c r="BD35" s="377">
        <f t="shared" si="41"/>
        <v>0</v>
      </c>
      <c r="BE35" s="377">
        <f t="shared" si="42"/>
        <v>0</v>
      </c>
      <c r="BF35" s="377">
        <f t="shared" si="43"/>
        <v>0</v>
      </c>
      <c r="BG35" s="328"/>
    </row>
    <row r="36" spans="2:59">
      <c r="B36" s="332">
        <v>21</v>
      </c>
      <c r="C36" s="350">
        <v>107151294.76534057</v>
      </c>
      <c r="D36" s="350">
        <v>108030149.73567262</v>
      </c>
      <c r="E36" s="350">
        <v>108872179.39926985</v>
      </c>
      <c r="F36" s="350">
        <v>109716209.95665655</v>
      </c>
      <c r="G36" s="350">
        <v>110564863.22372633</v>
      </c>
      <c r="H36" s="348">
        <v>544334697.08066583</v>
      </c>
      <c r="I36" s="369"/>
      <c r="J36" s="350">
        <v>134984324.69833809</v>
      </c>
      <c r="K36" s="350">
        <v>164256397.55041936</v>
      </c>
      <c r="L36" s="350">
        <v>193921136.7597065</v>
      </c>
      <c r="M36" s="350">
        <v>224029018.78742927</v>
      </c>
      <c r="N36" s="350">
        <v>254587645.63116381</v>
      </c>
      <c r="O36" s="348">
        <v>971778523.42705703</v>
      </c>
      <c r="P36" s="369"/>
      <c r="Q36" s="350">
        <f t="shared" si="44"/>
        <v>27833029.932997525</v>
      </c>
      <c r="R36" s="350">
        <f t="shared" si="45"/>
        <v>56226247.814746737</v>
      </c>
      <c r="S36" s="350">
        <f t="shared" si="46"/>
        <v>85048957.360436648</v>
      </c>
      <c r="T36" s="350">
        <f t="shared" si="47"/>
        <v>114312808.83077273</v>
      </c>
      <c r="U36" s="350">
        <f t="shared" si="48"/>
        <v>144022782.40743747</v>
      </c>
      <c r="V36" s="350">
        <f t="shared" si="49"/>
        <v>427443826.3463912</v>
      </c>
      <c r="W36" s="365"/>
      <c r="X36" s="377">
        <f t="shared" si="28"/>
        <v>0</v>
      </c>
      <c r="Y36" s="377">
        <f t="shared" si="29"/>
        <v>0</v>
      </c>
      <c r="Z36" s="377">
        <f t="shared" si="30"/>
        <v>0</v>
      </c>
      <c r="AA36" s="377">
        <f t="shared" si="31"/>
        <v>0</v>
      </c>
      <c r="AB36" s="377">
        <f t="shared" si="32"/>
        <v>0</v>
      </c>
      <c r="AC36" s="377">
        <f t="shared" si="33"/>
        <v>0</v>
      </c>
      <c r="AD36" s="376"/>
      <c r="AE36" s="332">
        <v>21</v>
      </c>
      <c r="AF36" s="350">
        <v>138727634.73901233</v>
      </c>
      <c r="AG36" s="350">
        <v>139865478.86473939</v>
      </c>
      <c r="AH36" s="350">
        <v>140955645.6598933</v>
      </c>
      <c r="AI36" s="350">
        <v>142048402.99082559</v>
      </c>
      <c r="AJ36" s="350">
        <v>143147145.29451823</v>
      </c>
      <c r="AK36" s="348">
        <v>704744307.54898882</v>
      </c>
      <c r="AL36" s="369"/>
      <c r="AM36" s="350">
        <v>174241279.11032575</v>
      </c>
      <c r="AN36" s="350">
        <v>211584572.27834564</v>
      </c>
      <c r="AO36" s="350">
        <v>249427841.33239582</v>
      </c>
      <c r="AP36" s="350">
        <v>287836218.05030829</v>
      </c>
      <c r="AQ36" s="350">
        <v>326819447.84192777</v>
      </c>
      <c r="AR36" s="348">
        <v>1249909358.6133032</v>
      </c>
      <c r="AS36" s="369"/>
      <c r="AT36" s="350">
        <f t="shared" si="50"/>
        <v>35513644.371313423</v>
      </c>
      <c r="AU36" s="350">
        <f t="shared" si="34"/>
        <v>71719093.413606256</v>
      </c>
      <c r="AV36" s="350">
        <f t="shared" si="35"/>
        <v>108472195.67250252</v>
      </c>
      <c r="AW36" s="350">
        <f t="shared" si="36"/>
        <v>145787815.05948269</v>
      </c>
      <c r="AX36" s="350">
        <f t="shared" si="37"/>
        <v>183672302.54740953</v>
      </c>
      <c r="AY36" s="350">
        <f t="shared" si="38"/>
        <v>545165051.06431437</v>
      </c>
      <c r="AZ36" s="365"/>
      <c r="BA36" s="377">
        <f t="shared" si="51"/>
        <v>0</v>
      </c>
      <c r="BB36" s="377">
        <f t="shared" si="39"/>
        <v>0</v>
      </c>
      <c r="BC36" s="377">
        <f t="shared" si="40"/>
        <v>0</v>
      </c>
      <c r="BD36" s="377">
        <f t="shared" si="41"/>
        <v>0</v>
      </c>
      <c r="BE36" s="377">
        <f t="shared" si="42"/>
        <v>0</v>
      </c>
      <c r="BF36" s="377">
        <f t="shared" si="43"/>
        <v>0</v>
      </c>
      <c r="BG36" s="328"/>
    </row>
    <row r="37" spans="2:59">
      <c r="B37" s="332">
        <v>22</v>
      </c>
      <c r="C37" s="350">
        <v>154007123.87960988</v>
      </c>
      <c r="D37" s="350">
        <v>155270290.38249302</v>
      </c>
      <c r="E37" s="350">
        <v>156480528.36417973</v>
      </c>
      <c r="F37" s="350">
        <v>157693642.20376793</v>
      </c>
      <c r="G37" s="350">
        <v>158913400.20220065</v>
      </c>
      <c r="H37" s="348">
        <v>782364985.03225124</v>
      </c>
      <c r="I37" s="369"/>
      <c r="J37" s="350">
        <v>194831016.97784987</v>
      </c>
      <c r="K37" s="350">
        <v>237716063.65478459</v>
      </c>
      <c r="L37" s="350">
        <v>281177766.66659391</v>
      </c>
      <c r="M37" s="350">
        <v>325289017.01214683</v>
      </c>
      <c r="N37" s="350">
        <v>370060884.02524853</v>
      </c>
      <c r="O37" s="348">
        <v>1409074748.3366237</v>
      </c>
      <c r="P37" s="369"/>
      <c r="Q37" s="350">
        <f t="shared" si="44"/>
        <v>40823893.098239988</v>
      </c>
      <c r="R37" s="350">
        <f t="shared" si="45"/>
        <v>82445773.272291571</v>
      </c>
      <c r="S37" s="350">
        <f t="shared" si="46"/>
        <v>124697238.30241418</v>
      </c>
      <c r="T37" s="350">
        <f t="shared" si="47"/>
        <v>167595374.80837891</v>
      </c>
      <c r="U37" s="350">
        <f t="shared" si="48"/>
        <v>211147483.82304788</v>
      </c>
      <c r="V37" s="350">
        <f t="shared" si="49"/>
        <v>626709763.30437243</v>
      </c>
      <c r="W37" s="365"/>
      <c r="X37" s="377">
        <f t="shared" si="28"/>
        <v>0</v>
      </c>
      <c r="Y37" s="377">
        <f t="shared" si="29"/>
        <v>0</v>
      </c>
      <c r="Z37" s="377">
        <f t="shared" si="30"/>
        <v>0</v>
      </c>
      <c r="AA37" s="377">
        <f t="shared" si="31"/>
        <v>0</v>
      </c>
      <c r="AB37" s="377">
        <f t="shared" si="32"/>
        <v>0</v>
      </c>
      <c r="AC37" s="377">
        <f t="shared" si="33"/>
        <v>0</v>
      </c>
      <c r="AD37" s="376"/>
      <c r="AE37" s="332">
        <v>22</v>
      </c>
      <c r="AF37" s="350">
        <v>122168779.11238718</v>
      </c>
      <c r="AG37" s="350">
        <v>123170807.49643472</v>
      </c>
      <c r="AH37" s="350">
        <v>124130849.42783061</v>
      </c>
      <c r="AI37" s="350">
        <v>125093172.68258269</v>
      </c>
      <c r="AJ37" s="350">
        <v>126060766.52971914</v>
      </c>
      <c r="AK37" s="348">
        <v>620624375.2489543</v>
      </c>
      <c r="AL37" s="369"/>
      <c r="AM37" s="350">
        <v>156860101.92169037</v>
      </c>
      <c r="AN37" s="350">
        <v>193238283.43436289</v>
      </c>
      <c r="AO37" s="350">
        <v>230109591.74451825</v>
      </c>
      <c r="AP37" s="350">
        <v>267532814.86701936</v>
      </c>
      <c r="AQ37" s="350">
        <v>305517147.36698425</v>
      </c>
      <c r="AR37" s="348">
        <v>1153257939.3345752</v>
      </c>
      <c r="AS37" s="369"/>
      <c r="AT37" s="350">
        <f t="shared" si="50"/>
        <v>34691322.809303194</v>
      </c>
      <c r="AU37" s="350">
        <f t="shared" si="34"/>
        <v>70067475.93792817</v>
      </c>
      <c r="AV37" s="350">
        <f t="shared" si="35"/>
        <v>105978742.31668764</v>
      </c>
      <c r="AW37" s="350">
        <f t="shared" si="36"/>
        <v>142439642.18443668</v>
      </c>
      <c r="AX37" s="350">
        <f t="shared" si="37"/>
        <v>179456380.8372651</v>
      </c>
      <c r="AY37" s="350">
        <f t="shared" si="38"/>
        <v>532633564.08562088</v>
      </c>
      <c r="AZ37" s="365"/>
      <c r="BA37" s="377">
        <f t="shared" si="51"/>
        <v>0</v>
      </c>
      <c r="BB37" s="377">
        <f t="shared" si="39"/>
        <v>0</v>
      </c>
      <c r="BC37" s="377">
        <f t="shared" si="40"/>
        <v>0</v>
      </c>
      <c r="BD37" s="377">
        <f t="shared" si="41"/>
        <v>0</v>
      </c>
      <c r="BE37" s="377">
        <f t="shared" si="42"/>
        <v>0</v>
      </c>
      <c r="BF37" s="377">
        <f t="shared" si="43"/>
        <v>0</v>
      </c>
      <c r="BG37" s="328"/>
    </row>
    <row r="38" spans="2:59">
      <c r="B38" s="332">
        <v>23</v>
      </c>
      <c r="C38" s="350">
        <v>133002000.63837139</v>
      </c>
      <c r="D38" s="350">
        <v>134092883.11049762</v>
      </c>
      <c r="E38" s="350">
        <v>135138056.01391932</v>
      </c>
      <c r="F38" s="350">
        <v>136185712.5352726</v>
      </c>
      <c r="G38" s="350">
        <v>137239107.01469302</v>
      </c>
      <c r="H38" s="348">
        <v>675657759.31275392</v>
      </c>
      <c r="I38" s="369"/>
      <c r="J38" s="350">
        <v>174996102.17139599</v>
      </c>
      <c r="K38" s="350">
        <v>218878097.43579274</v>
      </c>
      <c r="L38" s="350">
        <v>263361643.1150969</v>
      </c>
      <c r="M38" s="350">
        <v>308512507.4749105</v>
      </c>
      <c r="N38" s="350">
        <v>354341451.53031933</v>
      </c>
      <c r="O38" s="348">
        <v>1320089801.7275155</v>
      </c>
      <c r="P38" s="369"/>
      <c r="Q38" s="350">
        <f t="shared" si="44"/>
        <v>41994101.533024594</v>
      </c>
      <c r="R38" s="350">
        <f t="shared" si="45"/>
        <v>84785214.32529512</v>
      </c>
      <c r="S38" s="350">
        <f t="shared" si="46"/>
        <v>128223587.10117757</v>
      </c>
      <c r="T38" s="350">
        <f t="shared" si="47"/>
        <v>172326794.9396379</v>
      </c>
      <c r="U38" s="350">
        <f t="shared" si="48"/>
        <v>217102344.51562631</v>
      </c>
      <c r="V38" s="350">
        <f t="shared" si="49"/>
        <v>644432042.41476154</v>
      </c>
      <c r="W38" s="365"/>
      <c r="X38" s="377">
        <f t="shared" si="28"/>
        <v>0</v>
      </c>
      <c r="Y38" s="377">
        <f t="shared" si="29"/>
        <v>0</v>
      </c>
      <c r="Z38" s="377">
        <f t="shared" si="30"/>
        <v>0</v>
      </c>
      <c r="AA38" s="377">
        <f t="shared" si="31"/>
        <v>0</v>
      </c>
      <c r="AB38" s="377">
        <f t="shared" si="32"/>
        <v>0</v>
      </c>
      <c r="AC38" s="377">
        <f t="shared" si="33"/>
        <v>0</v>
      </c>
      <c r="AD38" s="376"/>
      <c r="AE38" s="332">
        <v>23</v>
      </c>
      <c r="AF38" s="350">
        <v>117575596.3120299</v>
      </c>
      <c r="AG38" s="350">
        <v>118539951.40857704</v>
      </c>
      <c r="AH38" s="350">
        <v>119463898.61823674</v>
      </c>
      <c r="AI38" s="350">
        <v>120390041.38027845</v>
      </c>
      <c r="AJ38" s="350">
        <v>121321256.57610407</v>
      </c>
      <c r="AK38" s="348">
        <v>597290744.29522622</v>
      </c>
      <c r="AL38" s="369"/>
      <c r="AM38" s="350">
        <v>145764972.14038125</v>
      </c>
      <c r="AN38" s="350">
        <v>175474138.03036284</v>
      </c>
      <c r="AO38" s="350">
        <v>205577700.57591003</v>
      </c>
      <c r="AP38" s="350">
        <v>236130061.97250897</v>
      </c>
      <c r="AQ38" s="350">
        <v>267139141.2241748</v>
      </c>
      <c r="AR38" s="348">
        <v>1030086013.9433379</v>
      </c>
      <c r="AS38" s="369"/>
      <c r="AT38" s="350">
        <f t="shared" si="50"/>
        <v>28189375.828351349</v>
      </c>
      <c r="AU38" s="350">
        <f t="shared" si="34"/>
        <v>56934186.621785805</v>
      </c>
      <c r="AV38" s="350">
        <f t="shared" si="35"/>
        <v>86113801.957673296</v>
      </c>
      <c r="AW38" s="350">
        <f t="shared" si="36"/>
        <v>115740020.59223051</v>
      </c>
      <c r="AX38" s="350">
        <f t="shared" si="37"/>
        <v>145817884.64807072</v>
      </c>
      <c r="AY38" s="350">
        <f t="shared" si="38"/>
        <v>432795269.6481117</v>
      </c>
      <c r="AZ38" s="365"/>
      <c r="BA38" s="377">
        <f t="shared" si="51"/>
        <v>0</v>
      </c>
      <c r="BB38" s="377">
        <f t="shared" si="39"/>
        <v>0</v>
      </c>
      <c r="BC38" s="377">
        <f t="shared" si="40"/>
        <v>0</v>
      </c>
      <c r="BD38" s="377">
        <f t="shared" si="41"/>
        <v>0</v>
      </c>
      <c r="BE38" s="377">
        <f t="shared" si="42"/>
        <v>0</v>
      </c>
      <c r="BF38" s="377">
        <f t="shared" si="43"/>
        <v>0</v>
      </c>
      <c r="BG38" s="328"/>
    </row>
    <row r="39" spans="2:59">
      <c r="B39" s="332">
        <v>24</v>
      </c>
      <c r="C39" s="350">
        <v>113271106.67992191</v>
      </c>
      <c r="D39" s="350">
        <v>114200156.35047112</v>
      </c>
      <c r="E39" s="350">
        <v>115090277.48304215</v>
      </c>
      <c r="F39" s="350">
        <v>115982513.78794391</v>
      </c>
      <c r="G39" s="350">
        <v>116879636.82279888</v>
      </c>
      <c r="H39" s="348">
        <v>575423691.12417793</v>
      </c>
      <c r="I39" s="369"/>
      <c r="J39" s="350">
        <v>139573250.34020442</v>
      </c>
      <c r="K39" s="350">
        <v>167347493.23551145</v>
      </c>
      <c r="L39" s="350">
        <v>195488889.29190826</v>
      </c>
      <c r="M39" s="350">
        <v>224049492.44668436</v>
      </c>
      <c r="N39" s="350">
        <v>253036782.60382301</v>
      </c>
      <c r="O39" s="348">
        <v>979495907.91813159</v>
      </c>
      <c r="P39" s="369"/>
      <c r="Q39" s="350">
        <f t="shared" si="44"/>
        <v>26302143.660282508</v>
      </c>
      <c r="R39" s="350">
        <f t="shared" si="45"/>
        <v>53147336.885040328</v>
      </c>
      <c r="S39" s="350">
        <f t="shared" si="46"/>
        <v>80398611.808866113</v>
      </c>
      <c r="T39" s="350">
        <f t="shared" si="47"/>
        <v>108066978.65874045</v>
      </c>
      <c r="U39" s="350">
        <f t="shared" si="48"/>
        <v>136157145.78102413</v>
      </c>
      <c r="V39" s="350">
        <f t="shared" si="49"/>
        <v>404072216.79395366</v>
      </c>
      <c r="W39" s="365"/>
      <c r="X39" s="377">
        <f t="shared" si="28"/>
        <v>0</v>
      </c>
      <c r="Y39" s="377">
        <f t="shared" si="29"/>
        <v>0</v>
      </c>
      <c r="Z39" s="377">
        <f t="shared" si="30"/>
        <v>0</v>
      </c>
      <c r="AA39" s="377">
        <f t="shared" si="31"/>
        <v>0</v>
      </c>
      <c r="AB39" s="377">
        <f t="shared" si="32"/>
        <v>0</v>
      </c>
      <c r="AC39" s="377">
        <f t="shared" si="33"/>
        <v>0</v>
      </c>
      <c r="AD39" s="376"/>
      <c r="AE39" s="332">
        <v>24</v>
      </c>
      <c r="AF39" s="350">
        <v>115992908.57886228</v>
      </c>
      <c r="AG39" s="350">
        <v>116944282.46987362</v>
      </c>
      <c r="AH39" s="350">
        <v>117855792.40546718</v>
      </c>
      <c r="AI39" s="350">
        <v>118769468.339063</v>
      </c>
      <c r="AJ39" s="350">
        <v>119688148.42629805</v>
      </c>
      <c r="AK39" s="348">
        <v>589250600.2195642</v>
      </c>
      <c r="AL39" s="369"/>
      <c r="AM39" s="350">
        <v>142447631.3209613</v>
      </c>
      <c r="AN39" s="350">
        <v>170393224.89266056</v>
      </c>
      <c r="AO39" s="350">
        <v>198707287.4037618</v>
      </c>
      <c r="AP39" s="350">
        <v>227442922.53269398</v>
      </c>
      <c r="AQ39" s="350">
        <v>256607703.07149509</v>
      </c>
      <c r="AR39" s="348">
        <v>995598769.22157264</v>
      </c>
      <c r="AS39" s="369"/>
      <c r="AT39" s="350">
        <f t="shared" si="50"/>
        <v>26454722.742099017</v>
      </c>
      <c r="AU39" s="350">
        <f t="shared" si="34"/>
        <v>53448942.422786936</v>
      </c>
      <c r="AV39" s="350">
        <f t="shared" si="35"/>
        <v>80851494.998294622</v>
      </c>
      <c r="AW39" s="350">
        <f t="shared" si="36"/>
        <v>108673454.19363098</v>
      </c>
      <c r="AX39" s="350">
        <f t="shared" si="37"/>
        <v>136919554.64519703</v>
      </c>
      <c r="AY39" s="350">
        <f t="shared" si="38"/>
        <v>406348169.00200844</v>
      </c>
      <c r="AZ39" s="365"/>
      <c r="BA39" s="377">
        <f t="shared" si="51"/>
        <v>0</v>
      </c>
      <c r="BB39" s="377">
        <f t="shared" si="39"/>
        <v>0</v>
      </c>
      <c r="BC39" s="377">
        <f t="shared" si="40"/>
        <v>0</v>
      </c>
      <c r="BD39" s="377">
        <f t="shared" si="41"/>
        <v>0</v>
      </c>
      <c r="BE39" s="377">
        <f t="shared" si="42"/>
        <v>0</v>
      </c>
      <c r="BF39" s="377">
        <f t="shared" si="43"/>
        <v>0</v>
      </c>
      <c r="BG39" s="328"/>
    </row>
    <row r="40" spans="2:59">
      <c r="B40" s="332">
        <v>25</v>
      </c>
      <c r="C40" s="350">
        <v>116794974.66296872</v>
      </c>
      <c r="D40" s="350">
        <v>117752927.10038115</v>
      </c>
      <c r="E40" s="350">
        <v>118670739.93167432</v>
      </c>
      <c r="F40" s="350">
        <v>119590733.73838133</v>
      </c>
      <c r="G40" s="350">
        <v>120515766.3013767</v>
      </c>
      <c r="H40" s="348">
        <v>593325141.73478222</v>
      </c>
      <c r="I40" s="369"/>
      <c r="J40" s="350">
        <v>147303989.94336873</v>
      </c>
      <c r="K40" s="350">
        <v>179376754.148682</v>
      </c>
      <c r="L40" s="350">
        <v>211880034.94669154</v>
      </c>
      <c r="M40" s="350">
        <v>244868922.82660246</v>
      </c>
      <c r="N40" s="350">
        <v>278351733.30738235</v>
      </c>
      <c r="O40" s="348">
        <v>1061781435.1727271</v>
      </c>
      <c r="P40" s="369"/>
      <c r="Q40" s="350">
        <f t="shared" si="44"/>
        <v>30509015.280400008</v>
      </c>
      <c r="R40" s="350">
        <f t="shared" si="45"/>
        <v>61623827.048300847</v>
      </c>
      <c r="S40" s="350">
        <f t="shared" si="46"/>
        <v>93209295.015017226</v>
      </c>
      <c r="T40" s="350">
        <f t="shared" si="47"/>
        <v>125278189.08822113</v>
      </c>
      <c r="U40" s="350">
        <f t="shared" si="48"/>
        <v>157835967.00600564</v>
      </c>
      <c r="V40" s="350">
        <f t="shared" si="49"/>
        <v>468456293.43794489</v>
      </c>
      <c r="W40" s="365"/>
      <c r="X40" s="377">
        <f t="shared" si="28"/>
        <v>0</v>
      </c>
      <c r="Y40" s="377">
        <f t="shared" si="29"/>
        <v>0</v>
      </c>
      <c r="Z40" s="377">
        <f t="shared" si="30"/>
        <v>0</v>
      </c>
      <c r="AA40" s="377">
        <f t="shared" si="31"/>
        <v>0</v>
      </c>
      <c r="AB40" s="377">
        <f t="shared" si="32"/>
        <v>0</v>
      </c>
      <c r="AC40" s="377">
        <f t="shared" si="33"/>
        <v>0</v>
      </c>
      <c r="AD40" s="376"/>
      <c r="AE40" s="332">
        <v>25</v>
      </c>
      <c r="AF40" s="350">
        <v>154205758.53200784</v>
      </c>
      <c r="AG40" s="350">
        <v>155470554.23640388</v>
      </c>
      <c r="AH40" s="350">
        <v>156682353.1536808</v>
      </c>
      <c r="AI40" s="350">
        <v>157897031.63807106</v>
      </c>
      <c r="AJ40" s="350">
        <v>159118362.85078061</v>
      </c>
      <c r="AK40" s="348">
        <v>783374060.41094422</v>
      </c>
      <c r="AL40" s="369"/>
      <c r="AM40" s="350">
        <v>199729441.69306856</v>
      </c>
      <c r="AN40" s="350">
        <v>247400754.27406704</v>
      </c>
      <c r="AO40" s="350">
        <v>295721025.50541466</v>
      </c>
      <c r="AP40" s="350">
        <v>344765185.04274976</v>
      </c>
      <c r="AQ40" s="350">
        <v>394545146.52909142</v>
      </c>
      <c r="AR40" s="348">
        <v>1482161553.0443914</v>
      </c>
      <c r="AS40" s="369"/>
      <c r="AT40" s="350">
        <f t="shared" si="50"/>
        <v>45523683.161060721</v>
      </c>
      <c r="AU40" s="350">
        <f t="shared" si="34"/>
        <v>91930200.037663162</v>
      </c>
      <c r="AV40" s="350">
        <f t="shared" si="35"/>
        <v>139038672.35173386</v>
      </c>
      <c r="AW40" s="350">
        <f t="shared" si="36"/>
        <v>186868153.4046787</v>
      </c>
      <c r="AX40" s="350">
        <f t="shared" si="37"/>
        <v>235426783.67831081</v>
      </c>
      <c r="AY40" s="350">
        <f t="shared" si="38"/>
        <v>698787492.63344717</v>
      </c>
      <c r="AZ40" s="365"/>
      <c r="BA40" s="377">
        <f t="shared" si="51"/>
        <v>0</v>
      </c>
      <c r="BB40" s="377">
        <f t="shared" si="39"/>
        <v>0</v>
      </c>
      <c r="BC40" s="377">
        <f t="shared" si="40"/>
        <v>0</v>
      </c>
      <c r="BD40" s="377">
        <f t="shared" si="41"/>
        <v>0</v>
      </c>
      <c r="BE40" s="377">
        <f t="shared" si="42"/>
        <v>0</v>
      </c>
      <c r="BF40" s="377">
        <f t="shared" si="43"/>
        <v>0</v>
      </c>
      <c r="BG40" s="328"/>
    </row>
    <row r="41" spans="2:59">
      <c r="B41" s="332">
        <v>26</v>
      </c>
      <c r="C41" s="350">
        <v>131194186.68565053</v>
      </c>
      <c r="D41" s="350">
        <v>132270241.46688169</v>
      </c>
      <c r="E41" s="350">
        <v>133301207.98131119</v>
      </c>
      <c r="F41" s="350">
        <v>134334624.35538942</v>
      </c>
      <c r="G41" s="350">
        <v>135373700.69501892</v>
      </c>
      <c r="H41" s="348">
        <v>666473961.18425179</v>
      </c>
      <c r="I41" s="369"/>
      <c r="J41" s="350">
        <v>164506765.02601671</v>
      </c>
      <c r="K41" s="350">
        <v>199590312.7569378</v>
      </c>
      <c r="L41" s="350">
        <v>235143199.84132138</v>
      </c>
      <c r="M41" s="350">
        <v>271226909.63625622</v>
      </c>
      <c r="N41" s="350">
        <v>307850616.61916</v>
      </c>
      <c r="O41" s="348">
        <v>1178317803.8796921</v>
      </c>
      <c r="P41" s="369"/>
      <c r="Q41" s="350">
        <f t="shared" si="44"/>
        <v>33312578.340366185</v>
      </c>
      <c r="R41" s="350">
        <f t="shared" si="45"/>
        <v>67320071.290056109</v>
      </c>
      <c r="S41" s="350">
        <f t="shared" si="46"/>
        <v>101841991.86001019</v>
      </c>
      <c r="T41" s="350">
        <f t="shared" si="47"/>
        <v>136892285.2808668</v>
      </c>
      <c r="U41" s="350">
        <f t="shared" si="48"/>
        <v>172476915.92414108</v>
      </c>
      <c r="V41" s="350">
        <f t="shared" si="49"/>
        <v>511843842.69544029</v>
      </c>
      <c r="W41" s="365"/>
      <c r="X41" s="377">
        <f t="shared" si="28"/>
        <v>0</v>
      </c>
      <c r="Y41" s="377">
        <f t="shared" si="29"/>
        <v>0</v>
      </c>
      <c r="Z41" s="377">
        <f t="shared" si="30"/>
        <v>0</v>
      </c>
      <c r="AA41" s="377">
        <f t="shared" si="31"/>
        <v>0</v>
      </c>
      <c r="AB41" s="377">
        <f t="shared" si="32"/>
        <v>0</v>
      </c>
      <c r="AC41" s="377">
        <f t="shared" si="33"/>
        <v>0</v>
      </c>
      <c r="AD41" s="376"/>
      <c r="AE41" s="332">
        <v>26</v>
      </c>
      <c r="AF41" s="350">
        <v>130740621.2826702</v>
      </c>
      <c r="AG41" s="350">
        <v>131812955.92025162</v>
      </c>
      <c r="AH41" s="350">
        <v>132840358.17048323</v>
      </c>
      <c r="AI41" s="350">
        <v>133870201.8106927</v>
      </c>
      <c r="AJ41" s="350">
        <v>134905685.84878343</v>
      </c>
      <c r="AK41" s="348">
        <v>664169823.03288126</v>
      </c>
      <c r="AL41" s="369"/>
      <c r="AM41" s="350">
        <v>166553203.25469452</v>
      </c>
      <c r="AN41" s="350">
        <v>204122779.2859664</v>
      </c>
      <c r="AO41" s="350">
        <v>242199483.87664661</v>
      </c>
      <c r="AP41" s="350">
        <v>280845679.11255002</v>
      </c>
      <c r="AQ41" s="350">
        <v>320070966.45447981</v>
      </c>
      <c r="AR41" s="348">
        <v>1213792111.9843373</v>
      </c>
      <c r="AS41" s="369"/>
      <c r="AT41" s="350">
        <f t="shared" si="50"/>
        <v>35812581.972024322</v>
      </c>
      <c r="AU41" s="350">
        <f t="shared" si="34"/>
        <v>72309823.365714774</v>
      </c>
      <c r="AV41" s="350">
        <f t="shared" si="35"/>
        <v>109359125.70616338</v>
      </c>
      <c r="AW41" s="350">
        <f t="shared" si="36"/>
        <v>146975477.30185732</v>
      </c>
      <c r="AX41" s="350">
        <f t="shared" si="37"/>
        <v>185165280.60569638</v>
      </c>
      <c r="AY41" s="350">
        <f t="shared" si="38"/>
        <v>549622288.95145607</v>
      </c>
      <c r="AZ41" s="365"/>
      <c r="BA41" s="377">
        <f t="shared" si="51"/>
        <v>0</v>
      </c>
      <c r="BB41" s="377">
        <f t="shared" si="39"/>
        <v>0</v>
      </c>
      <c r="BC41" s="377">
        <f t="shared" si="40"/>
        <v>0</v>
      </c>
      <c r="BD41" s="377">
        <f t="shared" si="41"/>
        <v>0</v>
      </c>
      <c r="BE41" s="377">
        <f t="shared" si="42"/>
        <v>0</v>
      </c>
      <c r="BF41" s="377">
        <f t="shared" si="43"/>
        <v>0</v>
      </c>
      <c r="BG41" s="328"/>
    </row>
    <row r="42" spans="2:59">
      <c r="B42" s="332">
        <v>27</v>
      </c>
      <c r="C42" s="350">
        <v>92562672.001949772</v>
      </c>
      <c r="D42" s="350">
        <v>93321871.081478223</v>
      </c>
      <c r="E42" s="350">
        <v>94049258.610841721</v>
      </c>
      <c r="F42" s="350">
        <v>94778374.612791151</v>
      </c>
      <c r="G42" s="350">
        <v>95511483.943622753</v>
      </c>
      <c r="H42" s="348">
        <v>470223660.25068361</v>
      </c>
      <c r="I42" s="369"/>
      <c r="J42" s="350">
        <v>118491899.91484906</v>
      </c>
      <c r="K42" s="350">
        <v>145713147.10886133</v>
      </c>
      <c r="L42" s="350">
        <v>173302867.52592987</v>
      </c>
      <c r="M42" s="350">
        <v>201305455.17055783</v>
      </c>
      <c r="N42" s="350">
        <v>229727816.10358676</v>
      </c>
      <c r="O42" s="348">
        <v>868541185.82378483</v>
      </c>
      <c r="P42" s="369"/>
      <c r="Q42" s="350">
        <f t="shared" si="44"/>
        <v>25929227.912899286</v>
      </c>
      <c r="R42" s="350">
        <f t="shared" si="45"/>
        <v>52391276.027383104</v>
      </c>
      <c r="S42" s="350">
        <f t="shared" si="46"/>
        <v>79253608.915088147</v>
      </c>
      <c r="T42" s="350">
        <f t="shared" si="47"/>
        <v>106527080.55776668</v>
      </c>
      <c r="U42" s="350">
        <f t="shared" si="48"/>
        <v>134216332.15996401</v>
      </c>
      <c r="V42" s="350">
        <f t="shared" si="49"/>
        <v>398317525.57310122</v>
      </c>
      <c r="W42" s="365"/>
      <c r="X42" s="377">
        <f t="shared" si="28"/>
        <v>0</v>
      </c>
      <c r="Y42" s="377">
        <f t="shared" si="29"/>
        <v>0</v>
      </c>
      <c r="Z42" s="377">
        <f t="shared" si="30"/>
        <v>0</v>
      </c>
      <c r="AA42" s="377">
        <f t="shared" si="31"/>
        <v>0</v>
      </c>
      <c r="AB42" s="377">
        <f t="shared" si="32"/>
        <v>0</v>
      </c>
      <c r="AC42" s="377">
        <f t="shared" si="33"/>
        <v>0</v>
      </c>
      <c r="AD42" s="376"/>
      <c r="AE42" s="332">
        <v>27</v>
      </c>
      <c r="AF42" s="350">
        <v>126463045.48614094</v>
      </c>
      <c r="AG42" s="350">
        <v>127500295.44501662</v>
      </c>
      <c r="AH42" s="350">
        <v>128494083.11581776</v>
      </c>
      <c r="AI42" s="350">
        <v>129490232.29912201</v>
      </c>
      <c r="AJ42" s="350">
        <v>130491837.33759062</v>
      </c>
      <c r="AK42" s="348">
        <v>642439493.68368793</v>
      </c>
      <c r="AL42" s="369"/>
      <c r="AM42" s="350">
        <v>158381678.79249939</v>
      </c>
      <c r="AN42" s="350">
        <v>191975319.53252658</v>
      </c>
      <c r="AO42" s="350">
        <v>226017961.9716022</v>
      </c>
      <c r="AP42" s="350">
        <v>260568790.0508602</v>
      </c>
      <c r="AQ42" s="350">
        <v>295636608.62288392</v>
      </c>
      <c r="AR42" s="348">
        <v>1132580358.9703722</v>
      </c>
      <c r="AS42" s="369"/>
      <c r="AT42" s="350">
        <f t="shared" si="50"/>
        <v>31918633.306358457</v>
      </c>
      <c r="AU42" s="350">
        <f t="shared" si="34"/>
        <v>64475024.08750996</v>
      </c>
      <c r="AV42" s="350">
        <f t="shared" si="35"/>
        <v>97523878.855784446</v>
      </c>
      <c r="AW42" s="350">
        <f t="shared" si="36"/>
        <v>131078557.75173819</v>
      </c>
      <c r="AX42" s="350">
        <f t="shared" si="37"/>
        <v>165144771.28529328</v>
      </c>
      <c r="AY42" s="350">
        <f t="shared" si="38"/>
        <v>490140865.28668427</v>
      </c>
      <c r="AZ42" s="365"/>
      <c r="BA42" s="377">
        <f t="shared" si="51"/>
        <v>0</v>
      </c>
      <c r="BB42" s="377">
        <f t="shared" si="39"/>
        <v>0</v>
      </c>
      <c r="BC42" s="377">
        <f t="shared" si="40"/>
        <v>0</v>
      </c>
      <c r="BD42" s="377">
        <f t="shared" si="41"/>
        <v>0</v>
      </c>
      <c r="BE42" s="377">
        <f t="shared" si="42"/>
        <v>0</v>
      </c>
      <c r="BF42" s="377">
        <f t="shared" si="43"/>
        <v>0</v>
      </c>
      <c r="BG42" s="328"/>
    </row>
    <row r="43" spans="2:59">
      <c r="B43" s="332">
        <v>28</v>
      </c>
      <c r="C43" s="350">
        <v>147849635.20042202</v>
      </c>
      <c r="D43" s="350">
        <v>149062297.97824693</v>
      </c>
      <c r="E43" s="350">
        <v>150224148.41471079</v>
      </c>
      <c r="F43" s="350">
        <v>151388759.72697651</v>
      </c>
      <c r="G43" s="350">
        <v>152559749.55236959</v>
      </c>
      <c r="H43" s="348">
        <v>751084590.87272584</v>
      </c>
      <c r="I43" s="369"/>
      <c r="J43" s="350">
        <v>185950917.31538916</v>
      </c>
      <c r="K43" s="350">
        <v>226020093.58376351</v>
      </c>
      <c r="L43" s="350">
        <v>266626217.45264581</v>
      </c>
      <c r="M43" s="350">
        <v>307838809.80625474</v>
      </c>
      <c r="N43" s="350">
        <v>349668303.99431843</v>
      </c>
      <c r="O43" s="348">
        <v>1336104342.1523716</v>
      </c>
      <c r="P43" s="369"/>
      <c r="Q43" s="350">
        <f t="shared" si="44"/>
        <v>38101282.114967138</v>
      </c>
      <c r="R43" s="350">
        <f t="shared" si="45"/>
        <v>76957795.605516583</v>
      </c>
      <c r="S43" s="350">
        <f t="shared" si="46"/>
        <v>116402069.03793502</v>
      </c>
      <c r="T43" s="350">
        <f t="shared" si="47"/>
        <v>156450050.07927823</v>
      </c>
      <c r="U43" s="350">
        <f t="shared" si="48"/>
        <v>197108554.44194883</v>
      </c>
      <c r="V43" s="350">
        <f t="shared" si="49"/>
        <v>585019751.2796458</v>
      </c>
      <c r="W43" s="365"/>
      <c r="X43" s="377">
        <f t="shared" si="28"/>
        <v>0</v>
      </c>
      <c r="Y43" s="377">
        <f t="shared" si="29"/>
        <v>0</v>
      </c>
      <c r="Z43" s="377">
        <f t="shared" si="30"/>
        <v>0</v>
      </c>
      <c r="AA43" s="377">
        <f t="shared" si="31"/>
        <v>0</v>
      </c>
      <c r="AB43" s="377">
        <f t="shared" si="32"/>
        <v>0</v>
      </c>
      <c r="AC43" s="377">
        <f t="shared" si="33"/>
        <v>0</v>
      </c>
      <c r="AD43" s="376"/>
      <c r="AE43" s="332">
        <v>28</v>
      </c>
      <c r="AF43" s="350">
        <v>133296766.2114085</v>
      </c>
      <c r="AG43" s="350">
        <v>134390066.35090414</v>
      </c>
      <c r="AH43" s="350">
        <v>135437555.61790174</v>
      </c>
      <c r="AI43" s="350">
        <v>136487534.00714704</v>
      </c>
      <c r="AJ43" s="350">
        <v>137543263.07120436</v>
      </c>
      <c r="AK43" s="348">
        <v>677155185.2585659</v>
      </c>
      <c r="AL43" s="369"/>
      <c r="AM43" s="350">
        <v>165171279.3976047</v>
      </c>
      <c r="AN43" s="350">
        <v>198793693.2680214</v>
      </c>
      <c r="AO43" s="350">
        <v>232862355.84103626</v>
      </c>
      <c r="AP43" s="350">
        <v>267438909.76951686</v>
      </c>
      <c r="AQ43" s="350">
        <v>302532321.92801487</v>
      </c>
      <c r="AR43" s="348">
        <v>1166798560.2041941</v>
      </c>
      <c r="AS43" s="369"/>
      <c r="AT43" s="350">
        <f t="shared" si="50"/>
        <v>31874513.186196208</v>
      </c>
      <c r="AU43" s="350">
        <f t="shared" si="34"/>
        <v>64403626.917117268</v>
      </c>
      <c r="AV43" s="350">
        <f t="shared" si="35"/>
        <v>97424800.223134518</v>
      </c>
      <c r="AW43" s="350">
        <f t="shared" si="36"/>
        <v>130951375.76236981</v>
      </c>
      <c r="AX43" s="350">
        <f t="shared" si="37"/>
        <v>164989058.85681051</v>
      </c>
      <c r="AY43" s="350">
        <f t="shared" si="38"/>
        <v>489643374.94562817</v>
      </c>
      <c r="AZ43" s="365"/>
      <c r="BA43" s="377">
        <f t="shared" si="51"/>
        <v>0</v>
      </c>
      <c r="BB43" s="377">
        <f t="shared" si="39"/>
        <v>0</v>
      </c>
      <c r="BC43" s="377">
        <f t="shared" si="40"/>
        <v>0</v>
      </c>
      <c r="BD43" s="377">
        <f t="shared" si="41"/>
        <v>0</v>
      </c>
      <c r="BE43" s="377">
        <f t="shared" si="42"/>
        <v>0</v>
      </c>
      <c r="BF43" s="377">
        <f t="shared" si="43"/>
        <v>0</v>
      </c>
      <c r="BG43" s="328"/>
    </row>
    <row r="44" spans="2:59">
      <c r="B44" s="332">
        <v>29</v>
      </c>
      <c r="C44" s="350">
        <v>123389106.21152312</v>
      </c>
      <c r="D44" s="350">
        <v>124401143.71901482</v>
      </c>
      <c r="E44" s="350">
        <v>125370775.37696522</v>
      </c>
      <c r="F44" s="350">
        <v>126342711.1460965</v>
      </c>
      <c r="G44" s="350">
        <v>127319970.15483311</v>
      </c>
      <c r="H44" s="348">
        <v>626823706.60843277</v>
      </c>
      <c r="I44" s="369"/>
      <c r="J44" s="350">
        <v>156008658.85500064</v>
      </c>
      <c r="K44" s="350">
        <v>190254230.79183084</v>
      </c>
      <c r="L44" s="350">
        <v>224960086.20838955</v>
      </c>
      <c r="M44" s="350">
        <v>260184586.48957214</v>
      </c>
      <c r="N44" s="350">
        <v>295936580.90714169</v>
      </c>
      <c r="O44" s="348">
        <v>1127344143.251935</v>
      </c>
      <c r="P44" s="369"/>
      <c r="Q44" s="350">
        <f t="shared" si="44"/>
        <v>32619552.643477529</v>
      </c>
      <c r="R44" s="350">
        <f t="shared" si="45"/>
        <v>65853087.072816014</v>
      </c>
      <c r="S44" s="350">
        <f t="shared" si="46"/>
        <v>99589310.831424326</v>
      </c>
      <c r="T44" s="350">
        <f t="shared" si="47"/>
        <v>133841875.34347564</v>
      </c>
      <c r="U44" s="350">
        <f t="shared" si="48"/>
        <v>168616610.75230858</v>
      </c>
      <c r="V44" s="350">
        <f t="shared" si="49"/>
        <v>500520436.64350224</v>
      </c>
      <c r="W44" s="365"/>
      <c r="X44" s="377">
        <f t="shared" si="28"/>
        <v>0</v>
      </c>
      <c r="Y44" s="377">
        <f t="shared" si="29"/>
        <v>0</v>
      </c>
      <c r="Z44" s="377">
        <f t="shared" si="30"/>
        <v>0</v>
      </c>
      <c r="AA44" s="377">
        <f t="shared" si="31"/>
        <v>0</v>
      </c>
      <c r="AB44" s="377">
        <f t="shared" si="32"/>
        <v>0</v>
      </c>
      <c r="AC44" s="377">
        <f t="shared" si="33"/>
        <v>0</v>
      </c>
      <c r="AD44" s="376"/>
      <c r="AE44" s="332">
        <v>29</v>
      </c>
      <c r="AF44" s="350">
        <v>163952752.16247612</v>
      </c>
      <c r="AG44" s="350">
        <v>165297492.71323812</v>
      </c>
      <c r="AH44" s="350">
        <v>166585886.67106706</v>
      </c>
      <c r="AI44" s="350">
        <v>167877342.20686653</v>
      </c>
      <c r="AJ44" s="350">
        <v>169175870.97474068</v>
      </c>
      <c r="AK44" s="348">
        <v>832889344.72838855</v>
      </c>
      <c r="AL44" s="369"/>
      <c r="AM44" s="350">
        <v>203466029.56406116</v>
      </c>
      <c r="AN44" s="350">
        <v>245079138.0921801</v>
      </c>
      <c r="AO44" s="350">
        <v>287245003.26717716</v>
      </c>
      <c r="AP44" s="350">
        <v>330039570.36857265</v>
      </c>
      <c r="AQ44" s="350">
        <v>373473915.05268002</v>
      </c>
      <c r="AR44" s="348">
        <v>1439303656.3446712</v>
      </c>
      <c r="AS44" s="369"/>
      <c r="AT44" s="350">
        <f t="shared" si="50"/>
        <v>39513277.401585042</v>
      </c>
      <c r="AU44" s="350">
        <f t="shared" si="34"/>
        <v>79781645.378941983</v>
      </c>
      <c r="AV44" s="350">
        <f t="shared" si="35"/>
        <v>120659116.59611011</v>
      </c>
      <c r="AW44" s="350">
        <f t="shared" si="36"/>
        <v>162162228.16170612</v>
      </c>
      <c r="AX44" s="350">
        <f t="shared" si="37"/>
        <v>204298044.07793933</v>
      </c>
      <c r="AY44" s="350">
        <f t="shared" si="38"/>
        <v>606414311.6162827</v>
      </c>
      <c r="AZ44" s="365"/>
      <c r="BA44" s="377">
        <f t="shared" si="51"/>
        <v>0</v>
      </c>
      <c r="BB44" s="377">
        <f t="shared" si="39"/>
        <v>0</v>
      </c>
      <c r="BC44" s="377">
        <f t="shared" si="40"/>
        <v>0</v>
      </c>
      <c r="BD44" s="377">
        <f t="shared" si="41"/>
        <v>0</v>
      </c>
      <c r="BE44" s="377">
        <f t="shared" si="42"/>
        <v>0</v>
      </c>
      <c r="BF44" s="377">
        <f t="shared" si="43"/>
        <v>0</v>
      </c>
      <c r="BG44" s="328"/>
    </row>
    <row r="45" spans="2:59">
      <c r="B45" s="332">
        <v>30</v>
      </c>
      <c r="C45" s="350">
        <v>147726014.18669143</v>
      </c>
      <c r="D45" s="350">
        <v>148937663.02490324</v>
      </c>
      <c r="E45" s="350">
        <v>150098542.00730461</v>
      </c>
      <c r="F45" s="350">
        <v>151262179.55706611</v>
      </c>
      <c r="G45" s="350">
        <v>152432190.28671041</v>
      </c>
      <c r="H45" s="348">
        <v>750456589.06267583</v>
      </c>
      <c r="I45" s="369"/>
      <c r="J45" s="350">
        <v>181569511.7150906</v>
      </c>
      <c r="K45" s="350">
        <v>217323595.22875279</v>
      </c>
      <c r="L45" s="350">
        <v>253549425.25412783</v>
      </c>
      <c r="M45" s="350">
        <v>290314697.30524528</v>
      </c>
      <c r="N45" s="350">
        <v>327629084.34677565</v>
      </c>
      <c r="O45" s="348">
        <v>1270386313.8499923</v>
      </c>
      <c r="P45" s="369"/>
      <c r="Q45" s="350">
        <f t="shared" si="44"/>
        <v>33843497.528399169</v>
      </c>
      <c r="R45" s="350">
        <f t="shared" si="45"/>
        <v>68385932.203849554</v>
      </c>
      <c r="S45" s="350">
        <f t="shared" si="46"/>
        <v>103450883.24682322</v>
      </c>
      <c r="T45" s="350">
        <f t="shared" si="47"/>
        <v>139052517.74817917</v>
      </c>
      <c r="U45" s="350">
        <f t="shared" si="48"/>
        <v>175196894.06006524</v>
      </c>
      <c r="V45" s="350">
        <f t="shared" si="49"/>
        <v>519929724.78731644</v>
      </c>
      <c r="W45" s="365"/>
      <c r="X45" s="377">
        <f t="shared" si="28"/>
        <v>0</v>
      </c>
      <c r="Y45" s="377">
        <f t="shared" si="29"/>
        <v>0</v>
      </c>
      <c r="Z45" s="377">
        <f t="shared" si="30"/>
        <v>0</v>
      </c>
      <c r="AA45" s="377">
        <f t="shared" si="31"/>
        <v>0</v>
      </c>
      <c r="AB45" s="377">
        <f t="shared" si="32"/>
        <v>0</v>
      </c>
      <c r="AC45" s="377">
        <f t="shared" si="33"/>
        <v>0</v>
      </c>
      <c r="AD45" s="376"/>
      <c r="AE45" s="332">
        <v>30</v>
      </c>
      <c r="AF45" s="350">
        <v>134133976.76756071</v>
      </c>
      <c r="AG45" s="350">
        <v>135234143.70843375</v>
      </c>
      <c r="AH45" s="350">
        <v>136288212.04780281</v>
      </c>
      <c r="AI45" s="350">
        <v>137344785.14310282</v>
      </c>
      <c r="AJ45" s="350">
        <v>138407145.03206301</v>
      </c>
      <c r="AK45" s="348">
        <v>681408262.69896317</v>
      </c>
      <c r="AL45" s="369"/>
      <c r="AM45" s="350">
        <v>166226646.15214643</v>
      </c>
      <c r="AN45" s="350">
        <v>200056192.87095883</v>
      </c>
      <c r="AO45" s="350">
        <v>234334719.60043544</v>
      </c>
      <c r="AP45" s="350">
        <v>269124262.43322051</v>
      </c>
      <c r="AQ45" s="350">
        <v>304433844.3628512</v>
      </c>
      <c r="AR45" s="348">
        <v>1174175665.4196124</v>
      </c>
      <c r="AS45" s="369"/>
      <c r="AT45" s="350">
        <f t="shared" si="50"/>
        <v>32092669.384585723</v>
      </c>
      <c r="AU45" s="350">
        <f t="shared" si="34"/>
        <v>64822049.162525088</v>
      </c>
      <c r="AV45" s="350">
        <f t="shared" si="35"/>
        <v>98046507.55263263</v>
      </c>
      <c r="AW45" s="350">
        <f t="shared" si="36"/>
        <v>131779477.29011768</v>
      </c>
      <c r="AX45" s="350">
        <f t="shared" si="37"/>
        <v>166026699.3307882</v>
      </c>
      <c r="AY45" s="350">
        <f t="shared" si="38"/>
        <v>492767402.72064924</v>
      </c>
      <c r="AZ45" s="365"/>
      <c r="BA45" s="377">
        <f t="shared" si="51"/>
        <v>0</v>
      </c>
      <c r="BB45" s="377">
        <f t="shared" si="39"/>
        <v>0</v>
      </c>
      <c r="BC45" s="377">
        <f t="shared" si="40"/>
        <v>0</v>
      </c>
      <c r="BD45" s="377">
        <f t="shared" si="41"/>
        <v>0</v>
      </c>
      <c r="BE45" s="377">
        <f t="shared" si="42"/>
        <v>0</v>
      </c>
      <c r="BF45" s="377">
        <f t="shared" si="43"/>
        <v>0</v>
      </c>
      <c r="BG45" s="328"/>
    </row>
    <row r="46" spans="2:59">
      <c r="B46" s="332">
        <v>31</v>
      </c>
      <c r="C46" s="350">
        <v>123639457.12823753</v>
      </c>
      <c r="D46" s="350">
        <v>124653548.0140665</v>
      </c>
      <c r="E46" s="350">
        <v>125625147.0108031</v>
      </c>
      <c r="F46" s="350">
        <v>126599054.79365796</v>
      </c>
      <c r="G46" s="350">
        <v>127578296.61673057</v>
      </c>
      <c r="H46" s="348">
        <v>628095503.56349564</v>
      </c>
      <c r="I46" s="369"/>
      <c r="J46" s="350">
        <v>157878102.345615</v>
      </c>
      <c r="K46" s="350">
        <v>193817002.2405805</v>
      </c>
      <c r="L46" s="350">
        <v>230241701.0412091</v>
      </c>
      <c r="M46" s="350">
        <v>267211330.76156816</v>
      </c>
      <c r="N46" s="350">
        <v>304735042.54821271</v>
      </c>
      <c r="O46" s="348">
        <v>1153883178.9371855</v>
      </c>
      <c r="P46" s="369"/>
      <c r="Q46" s="350">
        <f t="shared" si="44"/>
        <v>34238645.217377469</v>
      </c>
      <c r="R46" s="350">
        <f t="shared" si="45"/>
        <v>69163454.226513997</v>
      </c>
      <c r="S46" s="350">
        <f t="shared" si="46"/>
        <v>104616554.030406</v>
      </c>
      <c r="T46" s="350">
        <f t="shared" si="47"/>
        <v>140612275.9679102</v>
      </c>
      <c r="U46" s="350">
        <f t="shared" si="48"/>
        <v>177156745.93148214</v>
      </c>
      <c r="V46" s="350">
        <f t="shared" si="49"/>
        <v>525787675.37368989</v>
      </c>
      <c r="W46" s="365"/>
      <c r="X46" s="377">
        <f t="shared" si="28"/>
        <v>0</v>
      </c>
      <c r="Y46" s="377">
        <f t="shared" si="29"/>
        <v>0</v>
      </c>
      <c r="Z46" s="377">
        <f t="shared" si="30"/>
        <v>0</v>
      </c>
      <c r="AA46" s="377">
        <f t="shared" si="31"/>
        <v>0</v>
      </c>
      <c r="AB46" s="377">
        <f t="shared" si="32"/>
        <v>0</v>
      </c>
      <c r="AC46" s="377">
        <f t="shared" si="33"/>
        <v>0</v>
      </c>
      <c r="AD46" s="376"/>
      <c r="AE46" s="332">
        <v>31</v>
      </c>
      <c r="AF46" s="350">
        <v>138898981.73847139</v>
      </c>
      <c r="AG46" s="350">
        <v>140038231.25236902</v>
      </c>
      <c r="AH46" s="350">
        <v>141129744.54787678</v>
      </c>
      <c r="AI46" s="350">
        <v>142223851.57881758</v>
      </c>
      <c r="AJ46" s="350">
        <v>143323950.97475266</v>
      </c>
      <c r="AK46" s="348">
        <v>705614760.09228742</v>
      </c>
      <c r="AL46" s="369"/>
      <c r="AM46" s="350">
        <v>176648918.13695461</v>
      </c>
      <c r="AN46" s="350">
        <v>216263848.63808417</v>
      </c>
      <c r="AO46" s="350">
        <v>256413031.81656468</v>
      </c>
      <c r="AP46" s="350">
        <v>297162596.98260224</v>
      </c>
      <c r="AQ46" s="350">
        <v>338522692.19012445</v>
      </c>
      <c r="AR46" s="348">
        <v>1285011087.7643301</v>
      </c>
      <c r="AS46" s="369"/>
      <c r="AT46" s="350">
        <f t="shared" si="50"/>
        <v>37749936.398483217</v>
      </c>
      <c r="AU46" s="350">
        <f t="shared" si="34"/>
        <v>76225617.385715157</v>
      </c>
      <c r="AV46" s="350">
        <f t="shared" si="35"/>
        <v>115283287.2686879</v>
      </c>
      <c r="AW46" s="350">
        <f t="shared" si="36"/>
        <v>154938745.40378466</v>
      </c>
      <c r="AX46" s="350">
        <f t="shared" si="37"/>
        <v>195198741.21537179</v>
      </c>
      <c r="AY46" s="350">
        <f t="shared" si="38"/>
        <v>579396327.67204273</v>
      </c>
      <c r="AZ46" s="365"/>
      <c r="BA46" s="377">
        <f t="shared" si="51"/>
        <v>0</v>
      </c>
      <c r="BB46" s="377">
        <f t="shared" si="39"/>
        <v>0</v>
      </c>
      <c r="BC46" s="377">
        <f t="shared" si="40"/>
        <v>0</v>
      </c>
      <c r="BD46" s="377">
        <f t="shared" si="41"/>
        <v>0</v>
      </c>
      <c r="BE46" s="377">
        <f t="shared" si="42"/>
        <v>0</v>
      </c>
      <c r="BF46" s="377">
        <f t="shared" si="43"/>
        <v>0</v>
      </c>
      <c r="BG46" s="328"/>
    </row>
    <row r="47" spans="2:59">
      <c r="B47" s="332">
        <v>32</v>
      </c>
      <c r="C47" s="350">
        <v>153570272.98148662</v>
      </c>
      <c r="D47" s="350">
        <v>154829856.43309683</v>
      </c>
      <c r="E47" s="350">
        <v>156036661.4985916</v>
      </c>
      <c r="F47" s="350">
        <v>157246334.26443595</v>
      </c>
      <c r="G47" s="350">
        <v>158462632.34255013</v>
      </c>
      <c r="H47" s="348">
        <v>780145757.52016115</v>
      </c>
      <c r="I47" s="369"/>
      <c r="J47" s="350">
        <v>193967741.39574227</v>
      </c>
      <c r="K47" s="350">
        <v>236437006.01469156</v>
      </c>
      <c r="L47" s="350">
        <v>279476852.49399686</v>
      </c>
      <c r="M47" s="350">
        <v>323159836.31574833</v>
      </c>
      <c r="N47" s="350">
        <v>367496943.30578232</v>
      </c>
      <c r="O47" s="348">
        <v>1400538379.5259614</v>
      </c>
      <c r="P47" s="369"/>
      <c r="Q47" s="350">
        <f t="shared" si="44"/>
        <v>40397468.414255649</v>
      </c>
      <c r="R47" s="350">
        <f t="shared" si="45"/>
        <v>81607149.581594735</v>
      </c>
      <c r="S47" s="350">
        <f t="shared" si="46"/>
        <v>123440190.99540526</v>
      </c>
      <c r="T47" s="350">
        <f t="shared" si="47"/>
        <v>165913502.05131239</v>
      </c>
      <c r="U47" s="350">
        <f t="shared" si="48"/>
        <v>209034310.96323219</v>
      </c>
      <c r="V47" s="350">
        <f t="shared" si="49"/>
        <v>620392622.00580025</v>
      </c>
      <c r="W47" s="365"/>
      <c r="X47" s="377">
        <f t="shared" si="28"/>
        <v>0</v>
      </c>
      <c r="Y47" s="377">
        <f t="shared" si="29"/>
        <v>0</v>
      </c>
      <c r="Z47" s="377">
        <f t="shared" si="30"/>
        <v>0</v>
      </c>
      <c r="AA47" s="377">
        <f t="shared" si="31"/>
        <v>0</v>
      </c>
      <c r="AB47" s="377">
        <f t="shared" si="32"/>
        <v>0</v>
      </c>
      <c r="AC47" s="377">
        <f t="shared" si="33"/>
        <v>0</v>
      </c>
      <c r="AD47" s="376"/>
      <c r="AE47" s="332">
        <v>32</v>
      </c>
      <c r="AF47" s="350">
        <v>136077281.97130561</v>
      </c>
      <c r="AG47" s="350">
        <v>137193387.90237871</v>
      </c>
      <c r="AH47" s="350">
        <v>138262727.36498111</v>
      </c>
      <c r="AI47" s="350">
        <v>139334607.87189835</v>
      </c>
      <c r="AJ47" s="350">
        <v>140412359.01034072</v>
      </c>
      <c r="AK47" s="348">
        <v>691280364.12090445</v>
      </c>
      <c r="AL47" s="369"/>
      <c r="AM47" s="350">
        <v>170737310.9096916</v>
      </c>
      <c r="AN47" s="350">
        <v>207192526.29440597</v>
      </c>
      <c r="AO47" s="350">
        <v>244135525.75086832</v>
      </c>
      <c r="AP47" s="350">
        <v>281630123.64734042</v>
      </c>
      <c r="AQ47" s="350">
        <v>319685848.48616928</v>
      </c>
      <c r="AR47" s="348">
        <v>1223381335.0884755</v>
      </c>
      <c r="AS47" s="369"/>
      <c r="AT47" s="350">
        <f t="shared" si="50"/>
        <v>34660028.938385993</v>
      </c>
      <c r="AU47" s="350">
        <f t="shared" si="34"/>
        <v>69999138.392027259</v>
      </c>
      <c r="AV47" s="350">
        <f t="shared" si="35"/>
        <v>105872798.38588721</v>
      </c>
      <c r="AW47" s="350">
        <f t="shared" si="36"/>
        <v>142295515.77544206</v>
      </c>
      <c r="AX47" s="350">
        <f t="shared" si="37"/>
        <v>179273489.47582856</v>
      </c>
      <c r="AY47" s="350">
        <f t="shared" si="38"/>
        <v>532100970.96757102</v>
      </c>
      <c r="AZ47" s="365"/>
      <c r="BA47" s="377">
        <f t="shared" si="51"/>
        <v>0</v>
      </c>
      <c r="BB47" s="377">
        <f t="shared" si="39"/>
        <v>0</v>
      </c>
      <c r="BC47" s="377">
        <f t="shared" si="40"/>
        <v>0</v>
      </c>
      <c r="BD47" s="377">
        <f t="shared" si="41"/>
        <v>0</v>
      </c>
      <c r="BE47" s="377">
        <f t="shared" si="42"/>
        <v>0</v>
      </c>
      <c r="BF47" s="377">
        <f t="shared" si="43"/>
        <v>0</v>
      </c>
      <c r="BG47" s="328"/>
    </row>
    <row r="48" spans="2:59">
      <c r="B48" s="332">
        <v>33</v>
      </c>
      <c r="C48" s="350">
        <v>102795496.79713714</v>
      </c>
      <c r="D48" s="350">
        <v>103638625.51047432</v>
      </c>
      <c r="E48" s="350">
        <v>104446425.89941934</v>
      </c>
      <c r="F48" s="350">
        <v>105256145.84399435</v>
      </c>
      <c r="G48" s="350">
        <v>106070300.58088292</v>
      </c>
      <c r="H48" s="348">
        <v>522206994.63190806</v>
      </c>
      <c r="I48" s="369"/>
      <c r="J48" s="350">
        <v>131844819.93403094</v>
      </c>
      <c r="K48" s="350">
        <v>162307374.79524484</v>
      </c>
      <c r="L48" s="350">
        <v>193182634.57437888</v>
      </c>
      <c r="M48" s="350">
        <v>224520005.7149829</v>
      </c>
      <c r="N48" s="350">
        <v>256327199.04431322</v>
      </c>
      <c r="O48" s="348">
        <v>968182034.06295073</v>
      </c>
      <c r="P48" s="369"/>
      <c r="Q48" s="350">
        <f t="shared" si="44"/>
        <v>29049323.136893794</v>
      </c>
      <c r="R48" s="350">
        <f t="shared" si="45"/>
        <v>58668749.284770519</v>
      </c>
      <c r="S48" s="350">
        <f t="shared" si="46"/>
        <v>88736208.67495954</v>
      </c>
      <c r="T48" s="350">
        <f t="shared" si="47"/>
        <v>119263859.87098855</v>
      </c>
      <c r="U48" s="350">
        <f t="shared" si="48"/>
        <v>150256898.46343029</v>
      </c>
      <c r="V48" s="350">
        <f t="shared" si="49"/>
        <v>445975039.43104267</v>
      </c>
      <c r="W48" s="365"/>
      <c r="X48" s="377">
        <f t="shared" si="28"/>
        <v>0</v>
      </c>
      <c r="Y48" s="377">
        <f t="shared" si="29"/>
        <v>0</v>
      </c>
      <c r="Z48" s="377">
        <f t="shared" si="30"/>
        <v>0</v>
      </c>
      <c r="AA48" s="377">
        <f t="shared" si="31"/>
        <v>0</v>
      </c>
      <c r="AB48" s="377">
        <f t="shared" si="32"/>
        <v>0</v>
      </c>
      <c r="AC48" s="377">
        <f t="shared" si="33"/>
        <v>0</v>
      </c>
      <c r="AD48" s="376"/>
      <c r="AE48" s="332">
        <v>33</v>
      </c>
      <c r="AF48" s="350">
        <v>132722030.73663364</v>
      </c>
      <c r="AG48" s="350">
        <v>133810616.89549339</v>
      </c>
      <c r="AH48" s="350">
        <v>134853589.70452806</v>
      </c>
      <c r="AI48" s="350">
        <v>135899040.90346563</v>
      </c>
      <c r="AJ48" s="350">
        <v>136950217.98203889</v>
      </c>
      <c r="AK48" s="348">
        <v>674235496.22215962</v>
      </c>
      <c r="AL48" s="369"/>
      <c r="AM48" s="350">
        <v>160751242.76239747</v>
      </c>
      <c r="AN48" s="350">
        <v>190455177.15302181</v>
      </c>
      <c r="AO48" s="350">
        <v>220546360.09442466</v>
      </c>
      <c r="AP48" s="350">
        <v>251084616.92672622</v>
      </c>
      <c r="AQ48" s="350">
        <v>282078213.78241563</v>
      </c>
      <c r="AR48" s="348">
        <v>1104915610.7189858</v>
      </c>
      <c r="AS48" s="369"/>
      <c r="AT48" s="350">
        <f t="shared" si="50"/>
        <v>28029212.025763825</v>
      </c>
      <c r="AU48" s="350">
        <f t="shared" si="34"/>
        <v>56644560.257528424</v>
      </c>
      <c r="AV48" s="350">
        <f t="shared" si="35"/>
        <v>85692770.389896601</v>
      </c>
      <c r="AW48" s="350">
        <f t="shared" si="36"/>
        <v>115185576.02326059</v>
      </c>
      <c r="AX48" s="350">
        <f t="shared" si="37"/>
        <v>145127995.80037674</v>
      </c>
      <c r="AY48" s="350">
        <f t="shared" si="38"/>
        <v>430680114.49682617</v>
      </c>
      <c r="AZ48" s="365"/>
      <c r="BA48" s="377">
        <f t="shared" si="51"/>
        <v>0</v>
      </c>
      <c r="BB48" s="377">
        <f t="shared" si="39"/>
        <v>0</v>
      </c>
      <c r="BC48" s="377">
        <f t="shared" si="40"/>
        <v>0</v>
      </c>
      <c r="BD48" s="377">
        <f t="shared" si="41"/>
        <v>0</v>
      </c>
      <c r="BE48" s="377">
        <f t="shared" si="42"/>
        <v>0</v>
      </c>
      <c r="BF48" s="377">
        <f t="shared" si="43"/>
        <v>0</v>
      </c>
      <c r="BG48" s="328"/>
    </row>
    <row r="49" spans="2:59">
      <c r="B49" s="332">
        <v>34</v>
      </c>
      <c r="C49" s="350">
        <v>112537121.91255207</v>
      </c>
      <c r="D49" s="350">
        <v>113460151.43969224</v>
      </c>
      <c r="E49" s="350">
        <v>114344504.68165493</v>
      </c>
      <c r="F49" s="350">
        <v>115230959.38985574</v>
      </c>
      <c r="G49" s="350">
        <v>116122269.16251752</v>
      </c>
      <c r="H49" s="348">
        <v>571695006.58627248</v>
      </c>
      <c r="I49" s="369"/>
      <c r="J49" s="350">
        <v>140866513.23403728</v>
      </c>
      <c r="K49" s="350">
        <v>170670686.6525467</v>
      </c>
      <c r="L49" s="350">
        <v>200873047.5741629</v>
      </c>
      <c r="M49" s="350">
        <v>231526230.75255921</v>
      </c>
      <c r="N49" s="350">
        <v>262638055.96939051</v>
      </c>
      <c r="O49" s="348">
        <v>1006574534.1826966</v>
      </c>
      <c r="P49" s="369"/>
      <c r="Q49" s="350">
        <f t="shared" si="44"/>
        <v>28329391.321485206</v>
      </c>
      <c r="R49" s="350">
        <f t="shared" si="45"/>
        <v>57210535.21285446</v>
      </c>
      <c r="S49" s="350">
        <f t="shared" si="46"/>
        <v>86528542.89250797</v>
      </c>
      <c r="T49" s="350">
        <f t="shared" si="47"/>
        <v>116295271.36270347</v>
      </c>
      <c r="U49" s="350">
        <f t="shared" si="48"/>
        <v>146515786.80687299</v>
      </c>
      <c r="V49" s="350">
        <f t="shared" si="49"/>
        <v>434879527.5964241</v>
      </c>
      <c r="W49" s="365"/>
      <c r="X49" s="377">
        <f t="shared" si="28"/>
        <v>0</v>
      </c>
      <c r="Y49" s="377">
        <f t="shared" si="29"/>
        <v>0</v>
      </c>
      <c r="Z49" s="377">
        <f t="shared" si="30"/>
        <v>0</v>
      </c>
      <c r="AA49" s="377">
        <f t="shared" si="31"/>
        <v>0</v>
      </c>
      <c r="AB49" s="377">
        <f t="shared" si="32"/>
        <v>0</v>
      </c>
      <c r="AC49" s="377">
        <f t="shared" si="33"/>
        <v>0</v>
      </c>
      <c r="AD49" s="376"/>
      <c r="AE49" s="332">
        <v>34</v>
      </c>
      <c r="AF49" s="350">
        <v>122388254.58261654</v>
      </c>
      <c r="AG49" s="350">
        <v>123392083.10457473</v>
      </c>
      <c r="AH49" s="350">
        <v>124353849.74547385</v>
      </c>
      <c r="AI49" s="350">
        <v>125317901.80811274</v>
      </c>
      <c r="AJ49" s="350">
        <v>126287233.93172318</v>
      </c>
      <c r="AK49" s="348">
        <v>621739323.17250109</v>
      </c>
      <c r="AL49" s="369"/>
      <c r="AM49" s="350">
        <v>154676335.98860827</v>
      </c>
      <c r="AN49" s="350">
        <v>188609026.69299382</v>
      </c>
      <c r="AO49" s="350">
        <v>222997751.67419827</v>
      </c>
      <c r="AP49" s="350">
        <v>257900372.77280262</v>
      </c>
      <c r="AQ49" s="350">
        <v>293325660.57001293</v>
      </c>
      <c r="AR49" s="348">
        <v>1117509147.698616</v>
      </c>
      <c r="AS49" s="369"/>
      <c r="AT49" s="350">
        <f t="shared" si="50"/>
        <v>32288081.405991733</v>
      </c>
      <c r="AU49" s="350">
        <f t="shared" si="34"/>
        <v>65216943.588419095</v>
      </c>
      <c r="AV49" s="350">
        <f t="shared" si="35"/>
        <v>98643901.928724423</v>
      </c>
      <c r="AW49" s="350">
        <f t="shared" si="36"/>
        <v>132582470.96468988</v>
      </c>
      <c r="AX49" s="350">
        <f t="shared" si="37"/>
        <v>167038426.63828975</v>
      </c>
      <c r="AY49" s="350">
        <f t="shared" si="38"/>
        <v>495769824.52611494</v>
      </c>
      <c r="AZ49" s="365"/>
      <c r="BA49" s="377">
        <f t="shared" si="51"/>
        <v>0</v>
      </c>
      <c r="BB49" s="377">
        <f t="shared" si="39"/>
        <v>0</v>
      </c>
      <c r="BC49" s="377">
        <f t="shared" si="40"/>
        <v>0</v>
      </c>
      <c r="BD49" s="377">
        <f t="shared" si="41"/>
        <v>0</v>
      </c>
      <c r="BE49" s="377">
        <f t="shared" si="42"/>
        <v>0</v>
      </c>
      <c r="BF49" s="377">
        <f t="shared" si="43"/>
        <v>0</v>
      </c>
      <c r="BG49" s="328"/>
    </row>
    <row r="50" spans="2:59">
      <c r="B50" s="332">
        <v>35</v>
      </c>
      <c r="C50" s="350">
        <v>98971875.003879994</v>
      </c>
      <c r="D50" s="350">
        <v>99783642.369460881</v>
      </c>
      <c r="E50" s="350">
        <v>100561395.49692062</v>
      </c>
      <c r="F50" s="350">
        <v>101340996.77946296</v>
      </c>
      <c r="G50" s="350">
        <v>102124867.896037</v>
      </c>
      <c r="H50" s="348">
        <v>502782777.54576147</v>
      </c>
      <c r="I50" s="369"/>
      <c r="J50" s="350">
        <v>128282753.74339837</v>
      </c>
      <c r="K50" s="350">
        <v>158988859.32534942</v>
      </c>
      <c r="L50" s="350">
        <v>190113146.12538233</v>
      </c>
      <c r="M50" s="350">
        <v>221703745.03097892</v>
      </c>
      <c r="N50" s="350">
        <v>253768321.34718189</v>
      </c>
      <c r="O50" s="348">
        <v>952856825.5722909</v>
      </c>
      <c r="P50" s="369"/>
      <c r="Q50" s="350">
        <f t="shared" si="44"/>
        <v>29310878.739518374</v>
      </c>
      <c r="R50" s="350">
        <f t="shared" si="45"/>
        <v>59205216.95588854</v>
      </c>
      <c r="S50" s="350">
        <f t="shared" si="46"/>
        <v>89551750.628461719</v>
      </c>
      <c r="T50" s="350">
        <f t="shared" si="47"/>
        <v>120362748.25151595</v>
      </c>
      <c r="U50" s="350">
        <f t="shared" si="48"/>
        <v>151643453.45114487</v>
      </c>
      <c r="V50" s="350">
        <f t="shared" si="49"/>
        <v>450074048.02652943</v>
      </c>
      <c r="W50" s="365"/>
      <c r="X50" s="377">
        <f t="shared" si="28"/>
        <v>0</v>
      </c>
      <c r="Y50" s="377">
        <f t="shared" si="29"/>
        <v>0</v>
      </c>
      <c r="Z50" s="377">
        <f t="shared" si="30"/>
        <v>0</v>
      </c>
      <c r="AA50" s="377">
        <f t="shared" si="31"/>
        <v>0</v>
      </c>
      <c r="AB50" s="377">
        <f t="shared" si="32"/>
        <v>0</v>
      </c>
      <c r="AC50" s="377">
        <f t="shared" si="33"/>
        <v>0</v>
      </c>
      <c r="AD50" s="376"/>
      <c r="AE50" s="332">
        <v>35</v>
      </c>
      <c r="AF50" s="350">
        <v>112294308.71079901</v>
      </c>
      <c r="AG50" s="350">
        <v>113215346.6839436</v>
      </c>
      <c r="AH50" s="350">
        <v>114097791.82093157</v>
      </c>
      <c r="AI50" s="350">
        <v>114982333.88997602</v>
      </c>
      <c r="AJ50" s="350">
        <v>115871720.54806036</v>
      </c>
      <c r="AK50" s="348">
        <v>570461501.6537106</v>
      </c>
      <c r="AL50" s="369"/>
      <c r="AM50" s="350">
        <v>145127756.14031318</v>
      </c>
      <c r="AN50" s="350">
        <v>179540230.47332221</v>
      </c>
      <c r="AO50" s="350">
        <v>214420720.81961092</v>
      </c>
      <c r="AP50" s="350">
        <v>249823660.10900626</v>
      </c>
      <c r="AQ50" s="350">
        <v>285757670.47437614</v>
      </c>
      <c r="AR50" s="348">
        <v>1074670038.0166287</v>
      </c>
      <c r="AS50" s="369"/>
      <c r="AT50" s="350">
        <f t="shared" si="50"/>
        <v>32833447.42951417</v>
      </c>
      <c r="AU50" s="350">
        <f t="shared" si="34"/>
        <v>66324883.789378613</v>
      </c>
      <c r="AV50" s="350">
        <f t="shared" si="35"/>
        <v>100322928.99867935</v>
      </c>
      <c r="AW50" s="350">
        <f t="shared" si="36"/>
        <v>134841326.21903023</v>
      </c>
      <c r="AX50" s="350">
        <f t="shared" si="37"/>
        <v>169885949.92631578</v>
      </c>
      <c r="AY50" s="350">
        <f t="shared" si="38"/>
        <v>504208536.36291814</v>
      </c>
      <c r="AZ50" s="365"/>
      <c r="BA50" s="377">
        <f t="shared" si="51"/>
        <v>0</v>
      </c>
      <c r="BB50" s="377">
        <f t="shared" si="39"/>
        <v>0</v>
      </c>
      <c r="BC50" s="377">
        <f t="shared" si="40"/>
        <v>0</v>
      </c>
      <c r="BD50" s="377">
        <f t="shared" si="41"/>
        <v>0</v>
      </c>
      <c r="BE50" s="377">
        <f t="shared" si="42"/>
        <v>0</v>
      </c>
      <c r="BF50" s="377">
        <f t="shared" si="43"/>
        <v>0</v>
      </c>
      <c r="BG50" s="328"/>
    </row>
    <row r="51" spans="2:59">
      <c r="B51" s="332">
        <v>36</v>
      </c>
      <c r="C51" s="350">
        <v>117896905.49690896</v>
      </c>
      <c r="D51" s="350">
        <v>118863895.97154243</v>
      </c>
      <c r="E51" s="350">
        <v>119790368.13309795</v>
      </c>
      <c r="F51" s="350">
        <v>120719041.84701476</v>
      </c>
      <c r="G51" s="350">
        <v>121652801.85660194</v>
      </c>
      <c r="H51" s="348">
        <v>598923013.30516601</v>
      </c>
      <c r="I51" s="369"/>
      <c r="J51" s="350">
        <v>147344311.90221664</v>
      </c>
      <c r="K51" s="350">
        <v>178348754.69231915</v>
      </c>
      <c r="L51" s="350">
        <v>209767041.2236146</v>
      </c>
      <c r="M51" s="350">
        <v>241654217.21642441</v>
      </c>
      <c r="N51" s="350">
        <v>274018436.05506134</v>
      </c>
      <c r="O51" s="348">
        <v>1051132761.0896361</v>
      </c>
      <c r="P51" s="369"/>
      <c r="Q51" s="350">
        <f t="shared" si="44"/>
        <v>29447406.40530768</v>
      </c>
      <c r="R51" s="350">
        <f t="shared" si="45"/>
        <v>59484858.720776722</v>
      </c>
      <c r="S51" s="350">
        <f t="shared" si="46"/>
        <v>89976673.090516657</v>
      </c>
      <c r="T51" s="350">
        <f t="shared" si="47"/>
        <v>120935175.36940965</v>
      </c>
      <c r="U51" s="350">
        <f t="shared" si="48"/>
        <v>152365634.19845939</v>
      </c>
      <c r="V51" s="350">
        <f t="shared" si="49"/>
        <v>452209747.78447008</v>
      </c>
      <c r="W51" s="365"/>
      <c r="X51" s="377">
        <f t="shared" si="28"/>
        <v>0</v>
      </c>
      <c r="Y51" s="377">
        <f t="shared" si="29"/>
        <v>0</v>
      </c>
      <c r="Z51" s="377">
        <f t="shared" si="30"/>
        <v>0</v>
      </c>
      <c r="AA51" s="377">
        <f t="shared" si="31"/>
        <v>0</v>
      </c>
      <c r="AB51" s="377">
        <f t="shared" si="32"/>
        <v>0</v>
      </c>
      <c r="AC51" s="377">
        <f t="shared" si="33"/>
        <v>0</v>
      </c>
      <c r="AD51" s="376"/>
      <c r="AE51" s="332">
        <v>36</v>
      </c>
      <c r="AF51" s="350">
        <v>133715334.87217247</v>
      </c>
      <c r="AG51" s="350">
        <v>134812068.11202163</v>
      </c>
      <c r="AH51" s="350">
        <v>135862846.62745419</v>
      </c>
      <c r="AI51" s="350">
        <v>136916122.08129239</v>
      </c>
      <c r="AJ51" s="350">
        <v>137975166.26778686</v>
      </c>
      <c r="AK51" s="348">
        <v>679281537.96072757</v>
      </c>
      <c r="AL51" s="369"/>
      <c r="AM51" s="350">
        <v>169995556.12187493</v>
      </c>
      <c r="AN51" s="350">
        <v>208088955.15816987</v>
      </c>
      <c r="AO51" s="350">
        <v>246696025.33066937</v>
      </c>
      <c r="AP51" s="350">
        <v>285880403.59679365</v>
      </c>
      <c r="AQ51" s="350">
        <v>325651851.29375756</v>
      </c>
      <c r="AR51" s="348">
        <v>1236312791.5012655</v>
      </c>
      <c r="AS51" s="369"/>
      <c r="AT51" s="350">
        <f t="shared" si="50"/>
        <v>36280221.249702454</v>
      </c>
      <c r="AU51" s="350">
        <f t="shared" si="34"/>
        <v>73276887.046148241</v>
      </c>
      <c r="AV51" s="350">
        <f t="shared" si="35"/>
        <v>110833178.70321518</v>
      </c>
      <c r="AW51" s="350">
        <f t="shared" si="36"/>
        <v>148964281.51550126</v>
      </c>
      <c r="AX51" s="350">
        <f t="shared" si="37"/>
        <v>187676685.0259707</v>
      </c>
      <c r="AY51" s="350">
        <f t="shared" si="38"/>
        <v>557031253.54053795</v>
      </c>
      <c r="AZ51" s="365"/>
      <c r="BA51" s="377">
        <f t="shared" si="51"/>
        <v>0</v>
      </c>
      <c r="BB51" s="377">
        <f t="shared" si="39"/>
        <v>0</v>
      </c>
      <c r="BC51" s="377">
        <f t="shared" si="40"/>
        <v>0</v>
      </c>
      <c r="BD51" s="377">
        <f t="shared" si="41"/>
        <v>0</v>
      </c>
      <c r="BE51" s="377">
        <f t="shared" si="42"/>
        <v>0</v>
      </c>
      <c r="BF51" s="377">
        <f t="shared" si="43"/>
        <v>0</v>
      </c>
      <c r="BG51" s="328"/>
    </row>
    <row r="52" spans="2:59">
      <c r="B52" s="332">
        <v>37</v>
      </c>
      <c r="C52" s="350">
        <v>134653623.98420733</v>
      </c>
      <c r="D52" s="350">
        <v>135758053.07179707</v>
      </c>
      <c r="E52" s="350">
        <v>136816204.96771088</v>
      </c>
      <c r="F52" s="350">
        <v>137876871.3232078</v>
      </c>
      <c r="G52" s="350">
        <v>138943346.89092949</v>
      </c>
      <c r="H52" s="348">
        <v>684048100.23785257</v>
      </c>
      <c r="I52" s="369"/>
      <c r="J52" s="350">
        <v>169024154.89214411</v>
      </c>
      <c r="K52" s="350">
        <v>205183101.67777801</v>
      </c>
      <c r="L52" s="350">
        <v>241826021.8792879</v>
      </c>
      <c r="M52" s="350">
        <v>279016093.42262274</v>
      </c>
      <c r="N52" s="350">
        <v>316762759.8137902</v>
      </c>
      <c r="O52" s="348">
        <v>1211812131.6856227</v>
      </c>
      <c r="P52" s="369"/>
      <c r="Q52" s="350">
        <f t="shared" si="44"/>
        <v>34370530.907936782</v>
      </c>
      <c r="R52" s="350">
        <f t="shared" si="45"/>
        <v>69425048.605980933</v>
      </c>
      <c r="S52" s="350">
        <f t="shared" si="46"/>
        <v>105009816.91157702</v>
      </c>
      <c r="T52" s="350">
        <f t="shared" si="47"/>
        <v>141139222.09941494</v>
      </c>
      <c r="U52" s="350">
        <f t="shared" si="48"/>
        <v>177819412.92286071</v>
      </c>
      <c r="V52" s="350">
        <f t="shared" si="49"/>
        <v>527764031.44777012</v>
      </c>
      <c r="W52" s="365"/>
      <c r="X52" s="377">
        <f t="shared" si="28"/>
        <v>0</v>
      </c>
      <c r="Y52" s="377">
        <f t="shared" si="29"/>
        <v>0</v>
      </c>
      <c r="Z52" s="377">
        <f t="shared" si="30"/>
        <v>0</v>
      </c>
      <c r="AA52" s="377">
        <f t="shared" si="31"/>
        <v>0</v>
      </c>
      <c r="AB52" s="377">
        <f t="shared" si="32"/>
        <v>0</v>
      </c>
      <c r="AC52" s="377">
        <f t="shared" si="33"/>
        <v>0</v>
      </c>
      <c r="AD52" s="376"/>
      <c r="AE52" s="332">
        <v>37</v>
      </c>
      <c r="AF52" s="350">
        <v>144450112.04828915</v>
      </c>
      <c r="AG52" s="350">
        <v>145634891.9356128</v>
      </c>
      <c r="AH52" s="350">
        <v>146770027.81540748</v>
      </c>
      <c r="AI52" s="350">
        <v>147907861.08987883</v>
      </c>
      <c r="AJ52" s="350">
        <v>149051926.21561378</v>
      </c>
      <c r="AK52" s="348">
        <v>733814819.10480213</v>
      </c>
      <c r="AL52" s="369"/>
      <c r="AM52" s="350">
        <v>178022156.3691709</v>
      </c>
      <c r="AN52" s="350">
        <v>213437290.68448445</v>
      </c>
      <c r="AO52" s="350">
        <v>249320560.40602958</v>
      </c>
      <c r="AP52" s="350">
        <v>285738358.44899547</v>
      </c>
      <c r="AQ52" s="350">
        <v>322700223.68338203</v>
      </c>
      <c r="AR52" s="348">
        <v>1249218589.5920625</v>
      </c>
      <c r="AS52" s="369"/>
      <c r="AT52" s="350">
        <f t="shared" si="50"/>
        <v>33572044.320881754</v>
      </c>
      <c r="AU52" s="350">
        <f t="shared" si="34"/>
        <v>67802398.748871654</v>
      </c>
      <c r="AV52" s="350">
        <f t="shared" si="35"/>
        <v>102550532.5906221</v>
      </c>
      <c r="AW52" s="350">
        <f t="shared" si="36"/>
        <v>137830497.35911664</v>
      </c>
      <c r="AX52" s="350">
        <f t="shared" si="37"/>
        <v>173648297.46776825</v>
      </c>
      <c r="AY52" s="350">
        <f t="shared" si="38"/>
        <v>515403770.48726034</v>
      </c>
      <c r="AZ52" s="365"/>
      <c r="BA52" s="377">
        <f t="shared" si="51"/>
        <v>0</v>
      </c>
      <c r="BB52" s="377">
        <f t="shared" si="39"/>
        <v>0</v>
      </c>
      <c r="BC52" s="377">
        <f t="shared" si="40"/>
        <v>0</v>
      </c>
      <c r="BD52" s="377">
        <f t="shared" si="41"/>
        <v>0</v>
      </c>
      <c r="BE52" s="377">
        <f t="shared" si="42"/>
        <v>0</v>
      </c>
      <c r="BF52" s="377">
        <f t="shared" si="43"/>
        <v>0</v>
      </c>
      <c r="BG52" s="328"/>
    </row>
    <row r="53" spans="2:59">
      <c r="B53" s="332">
        <v>38</v>
      </c>
      <c r="C53" s="350">
        <v>121598511.95105375</v>
      </c>
      <c r="D53" s="350">
        <v>122595863.0035744</v>
      </c>
      <c r="E53" s="350">
        <v>123551423.5904651</v>
      </c>
      <c r="F53" s="350">
        <v>124509254.85180646</v>
      </c>
      <c r="G53" s="350">
        <v>125472332.10312736</v>
      </c>
      <c r="H53" s="348">
        <v>617727385.50002718</v>
      </c>
      <c r="I53" s="369"/>
      <c r="J53" s="350">
        <v>151756668.16025564</v>
      </c>
      <c r="K53" s="350">
        <v>183511839.14874214</v>
      </c>
      <c r="L53" s="350">
        <v>215690476.24203759</v>
      </c>
      <c r="M53" s="350">
        <v>248349263.67803928</v>
      </c>
      <c r="N53" s="350">
        <v>281496571.87272042</v>
      </c>
      <c r="O53" s="348">
        <v>1080804819.1017952</v>
      </c>
      <c r="P53" s="369"/>
      <c r="Q53" s="350">
        <f t="shared" si="44"/>
        <v>30158156.209201887</v>
      </c>
      <c r="R53" s="350">
        <f t="shared" si="45"/>
        <v>60915976.145167738</v>
      </c>
      <c r="S53" s="350">
        <f t="shared" si="46"/>
        <v>92139052.651572496</v>
      </c>
      <c r="T53" s="350">
        <f t="shared" si="47"/>
        <v>123840008.82623282</v>
      </c>
      <c r="U53" s="350">
        <f t="shared" si="48"/>
        <v>156024239.76959306</v>
      </c>
      <c r="V53" s="350">
        <f t="shared" si="49"/>
        <v>463077433.60176802</v>
      </c>
      <c r="W53" s="365"/>
      <c r="X53" s="377">
        <f t="shared" si="28"/>
        <v>0</v>
      </c>
      <c r="Y53" s="377">
        <f t="shared" si="29"/>
        <v>0</v>
      </c>
      <c r="Z53" s="377">
        <f t="shared" si="30"/>
        <v>0</v>
      </c>
      <c r="AA53" s="377">
        <f t="shared" si="31"/>
        <v>0</v>
      </c>
      <c r="AB53" s="377">
        <f t="shared" si="32"/>
        <v>0</v>
      </c>
      <c r="AC53" s="377">
        <f t="shared" si="33"/>
        <v>0</v>
      </c>
      <c r="AD53" s="376"/>
      <c r="AE53" s="332">
        <v>38</v>
      </c>
      <c r="AF53" s="350">
        <v>111099213.97104257</v>
      </c>
      <c r="AG53" s="350">
        <v>112010449.77656652</v>
      </c>
      <c r="AH53" s="350">
        <v>112883503.47107226</v>
      </c>
      <c r="AI53" s="350">
        <v>113758631.78098738</v>
      </c>
      <c r="AJ53" s="350">
        <v>114638553.12129302</v>
      </c>
      <c r="AK53" s="348">
        <v>564390352.12096179</v>
      </c>
      <c r="AL53" s="369"/>
      <c r="AM53" s="350">
        <v>139968351.39463949</v>
      </c>
      <c r="AN53" s="350">
        <v>170331955.93199217</v>
      </c>
      <c r="AO53" s="350">
        <v>201102892.34152931</v>
      </c>
      <c r="AP53" s="350">
        <v>232333501.42262712</v>
      </c>
      <c r="AQ53" s="350">
        <v>264031667.49759001</v>
      </c>
      <c r="AR53" s="348">
        <v>1007768368.5883782</v>
      </c>
      <c r="AS53" s="369"/>
      <c r="AT53" s="350">
        <f t="shared" si="50"/>
        <v>28869137.423596919</v>
      </c>
      <c r="AU53" s="350">
        <f t="shared" si="34"/>
        <v>58321506.155425653</v>
      </c>
      <c r="AV53" s="350">
        <f t="shared" si="35"/>
        <v>88219388.870457053</v>
      </c>
      <c r="AW53" s="350">
        <f t="shared" si="36"/>
        <v>118574869.64163974</v>
      </c>
      <c r="AX53" s="350">
        <f t="shared" si="37"/>
        <v>149393114.376297</v>
      </c>
      <c r="AY53" s="350">
        <f t="shared" si="38"/>
        <v>443378016.46741641</v>
      </c>
      <c r="AZ53" s="365"/>
      <c r="BA53" s="377">
        <f t="shared" si="51"/>
        <v>0</v>
      </c>
      <c r="BB53" s="377">
        <f t="shared" si="39"/>
        <v>0</v>
      </c>
      <c r="BC53" s="377">
        <f t="shared" si="40"/>
        <v>0</v>
      </c>
      <c r="BD53" s="377">
        <f t="shared" si="41"/>
        <v>0</v>
      </c>
      <c r="BE53" s="377">
        <f t="shared" si="42"/>
        <v>0</v>
      </c>
      <c r="BF53" s="377">
        <f t="shared" si="43"/>
        <v>0</v>
      </c>
      <c r="BG53" s="328"/>
    </row>
    <row r="54" spans="2:59">
      <c r="B54" s="332">
        <v>39</v>
      </c>
      <c r="C54" s="350">
        <v>129904092.91459909</v>
      </c>
      <c r="D54" s="350">
        <v>130969566.34611005</v>
      </c>
      <c r="E54" s="350">
        <v>131990394.88482556</v>
      </c>
      <c r="F54" s="350">
        <v>133013649.19257468</v>
      </c>
      <c r="G54" s="350">
        <v>134042507.80878772</v>
      </c>
      <c r="H54" s="348">
        <v>659920211.14689708</v>
      </c>
      <c r="I54" s="369"/>
      <c r="J54" s="350">
        <v>156580769.75923288</v>
      </c>
      <c r="K54" s="350">
        <v>184891612.37262088</v>
      </c>
      <c r="L54" s="350">
        <v>213569953.44574615</v>
      </c>
      <c r="M54" s="350">
        <v>242674031.64430377</v>
      </c>
      <c r="N54" s="350">
        <v>272211803.63307506</v>
      </c>
      <c r="O54" s="348">
        <v>1069928170.8549788</v>
      </c>
      <c r="P54" s="369"/>
      <c r="Q54" s="350">
        <f t="shared" si="44"/>
        <v>26676676.844633788</v>
      </c>
      <c r="R54" s="350">
        <f t="shared" si="45"/>
        <v>53922046.026510835</v>
      </c>
      <c r="S54" s="350">
        <f t="shared" si="46"/>
        <v>81579558.560920596</v>
      </c>
      <c r="T54" s="350">
        <f t="shared" si="47"/>
        <v>109660382.45172909</v>
      </c>
      <c r="U54" s="350">
        <f t="shared" si="48"/>
        <v>138169295.82428735</v>
      </c>
      <c r="V54" s="350">
        <f t="shared" si="49"/>
        <v>410007959.70808172</v>
      </c>
      <c r="W54" s="365"/>
      <c r="X54" s="377">
        <f t="shared" si="28"/>
        <v>0</v>
      </c>
      <c r="Y54" s="377">
        <f t="shared" si="29"/>
        <v>0</v>
      </c>
      <c r="Z54" s="377">
        <f t="shared" si="30"/>
        <v>0</v>
      </c>
      <c r="AA54" s="377">
        <f t="shared" si="31"/>
        <v>0</v>
      </c>
      <c r="AB54" s="377">
        <f t="shared" si="32"/>
        <v>0</v>
      </c>
      <c r="AC54" s="377">
        <f t="shared" si="33"/>
        <v>0</v>
      </c>
      <c r="AD54" s="376"/>
      <c r="AE54" s="332">
        <v>39</v>
      </c>
      <c r="AF54" s="350">
        <v>124215717.66448078</v>
      </c>
      <c r="AG54" s="350">
        <v>125234535.03950049</v>
      </c>
      <c r="AH54" s="350">
        <v>126210662.47862825</v>
      </c>
      <c r="AI54" s="350">
        <v>127189109.4646973</v>
      </c>
      <c r="AJ54" s="350">
        <v>128172915.35195446</v>
      </c>
      <c r="AK54" s="348">
        <v>631022939.99926138</v>
      </c>
      <c r="AL54" s="369"/>
      <c r="AM54" s="350">
        <v>153400126.31975299</v>
      </c>
      <c r="AN54" s="350">
        <v>184194042.45797971</v>
      </c>
      <c r="AO54" s="350">
        <v>215395664.95279109</v>
      </c>
      <c r="AP54" s="350">
        <v>247062219.38706046</v>
      </c>
      <c r="AQ54" s="350">
        <v>279201967.60399401</v>
      </c>
      <c r="AR54" s="348">
        <v>1079254020.7215781</v>
      </c>
      <c r="AS54" s="369"/>
      <c r="AT54" s="350">
        <f t="shared" si="50"/>
        <v>29184408.655272216</v>
      </c>
      <c r="AU54" s="350">
        <f t="shared" si="34"/>
        <v>58959507.418479219</v>
      </c>
      <c r="AV54" s="350">
        <f t="shared" si="35"/>
        <v>89185002.474162847</v>
      </c>
      <c r="AW54" s="350">
        <f t="shared" si="36"/>
        <v>119873109.92236316</v>
      </c>
      <c r="AX54" s="350">
        <f t="shared" si="37"/>
        <v>151029052.25203955</v>
      </c>
      <c r="AY54" s="350">
        <f t="shared" si="38"/>
        <v>448231080.72231674</v>
      </c>
      <c r="AZ54" s="365"/>
      <c r="BA54" s="377">
        <f t="shared" si="51"/>
        <v>0</v>
      </c>
      <c r="BB54" s="377">
        <f t="shared" si="39"/>
        <v>0</v>
      </c>
      <c r="BC54" s="377">
        <f t="shared" si="40"/>
        <v>0</v>
      </c>
      <c r="BD54" s="377">
        <f t="shared" si="41"/>
        <v>0</v>
      </c>
      <c r="BE54" s="377">
        <f t="shared" si="42"/>
        <v>0</v>
      </c>
      <c r="BF54" s="377">
        <f t="shared" si="43"/>
        <v>0</v>
      </c>
      <c r="BG54" s="328"/>
    </row>
    <row r="55" spans="2:59">
      <c r="B55" s="332">
        <v>40</v>
      </c>
      <c r="C55" s="350">
        <v>143358631.99166235</v>
      </c>
      <c r="D55" s="350">
        <v>144534459.5590454</v>
      </c>
      <c r="E55" s="350">
        <v>145661018.23417905</v>
      </c>
      <c r="F55" s="350">
        <v>146790253.92219484</v>
      </c>
      <c r="G55" s="350">
        <v>147925674.37295851</v>
      </c>
      <c r="H55" s="348">
        <v>728270038.08004022</v>
      </c>
      <c r="I55" s="369"/>
      <c r="J55" s="350">
        <v>175434794.8141554</v>
      </c>
      <c r="K55" s="350">
        <v>209337630.49030772</v>
      </c>
      <c r="L55" s="350">
        <v>243686246.69834873</v>
      </c>
      <c r="M55" s="350">
        <v>278546015.9732188</v>
      </c>
      <c r="N55" s="350">
        <v>313926186.27535248</v>
      </c>
      <c r="O55" s="348">
        <v>1220930874.2513833</v>
      </c>
      <c r="P55" s="369"/>
      <c r="Q55" s="350">
        <f t="shared" si="44"/>
        <v>32076162.822493047</v>
      </c>
      <c r="R55" s="350">
        <f t="shared" si="45"/>
        <v>64803170.931262314</v>
      </c>
      <c r="S55" s="350">
        <f t="shared" si="46"/>
        <v>98025228.464169681</v>
      </c>
      <c r="T55" s="350">
        <f t="shared" si="47"/>
        <v>131755762.05102396</v>
      </c>
      <c r="U55" s="350">
        <f t="shared" si="48"/>
        <v>166000511.90239397</v>
      </c>
      <c r="V55" s="350">
        <f t="shared" si="49"/>
        <v>492660836.17134309</v>
      </c>
      <c r="W55" s="365"/>
      <c r="X55" s="377">
        <f t="shared" si="28"/>
        <v>0</v>
      </c>
      <c r="Y55" s="377">
        <f t="shared" si="29"/>
        <v>0</v>
      </c>
      <c r="Z55" s="377">
        <f t="shared" si="30"/>
        <v>0</v>
      </c>
      <c r="AA55" s="377">
        <f t="shared" si="31"/>
        <v>0</v>
      </c>
      <c r="AB55" s="377">
        <f t="shared" si="32"/>
        <v>0</v>
      </c>
      <c r="AC55" s="377">
        <f t="shared" si="33"/>
        <v>0</v>
      </c>
      <c r="AD55" s="376"/>
      <c r="AE55" s="332">
        <v>40</v>
      </c>
      <c r="AF55" s="350">
        <v>125496493.29450043</v>
      </c>
      <c r="AG55" s="350">
        <v>126525815.59184319</v>
      </c>
      <c r="AH55" s="350">
        <v>127512007.78170723</v>
      </c>
      <c r="AI55" s="350">
        <v>128500543.4351252</v>
      </c>
      <c r="AJ55" s="350">
        <v>129494493.24481638</v>
      </c>
      <c r="AK55" s="348">
        <v>637529353.34799242</v>
      </c>
      <c r="AL55" s="369"/>
      <c r="AM55" s="350">
        <v>159962401.56417695</v>
      </c>
      <c r="AN55" s="350">
        <v>196157632.74880591</v>
      </c>
      <c r="AO55" s="350">
        <v>232841675.91360438</v>
      </c>
      <c r="AP55" s="350">
        <v>270074431.61018819</v>
      </c>
      <c r="AQ55" s="350">
        <v>307865138.50194138</v>
      </c>
      <c r="AR55" s="348">
        <v>1166901280.338717</v>
      </c>
      <c r="AS55" s="369"/>
      <c r="AT55" s="350">
        <f t="shared" si="50"/>
        <v>34465908.269676521</v>
      </c>
      <c r="AU55" s="350">
        <f t="shared" si="34"/>
        <v>69631817.156962723</v>
      </c>
      <c r="AV55" s="350">
        <f t="shared" si="35"/>
        <v>105329668.13189715</v>
      </c>
      <c r="AW55" s="350">
        <f t="shared" si="36"/>
        <v>141573888.17506298</v>
      </c>
      <c r="AX55" s="350">
        <f t="shared" si="37"/>
        <v>178370645.25712502</v>
      </c>
      <c r="AY55" s="350">
        <f t="shared" si="38"/>
        <v>529371926.99072456</v>
      </c>
      <c r="AZ55" s="365"/>
      <c r="BA55" s="377">
        <f t="shared" si="51"/>
        <v>0</v>
      </c>
      <c r="BB55" s="377">
        <f t="shared" si="39"/>
        <v>0</v>
      </c>
      <c r="BC55" s="377">
        <f t="shared" si="40"/>
        <v>0</v>
      </c>
      <c r="BD55" s="377">
        <f t="shared" si="41"/>
        <v>0</v>
      </c>
      <c r="BE55" s="377">
        <f t="shared" si="42"/>
        <v>0</v>
      </c>
      <c r="BF55" s="377">
        <f t="shared" si="43"/>
        <v>0</v>
      </c>
      <c r="BG55" s="328"/>
    </row>
    <row r="56" spans="2:59">
      <c r="B56" s="332">
        <v>41</v>
      </c>
      <c r="C56" s="350">
        <v>120648754.98793317</v>
      </c>
      <c r="D56" s="350">
        <v>121638316.1333932</v>
      </c>
      <c r="E56" s="350">
        <v>122586413.22170553</v>
      </c>
      <c r="F56" s="350">
        <v>123536763.24914557</v>
      </c>
      <c r="G56" s="350">
        <v>124492318.292252</v>
      </c>
      <c r="H56" s="348">
        <v>612902565.88442945</v>
      </c>
      <c r="I56" s="369"/>
      <c r="J56" s="350">
        <v>153452961.08846077</v>
      </c>
      <c r="K56" s="350">
        <v>187891556.0311245</v>
      </c>
      <c r="L56" s="350">
        <v>222794648.54974037</v>
      </c>
      <c r="M56" s="350">
        <v>258219685.86385477</v>
      </c>
      <c r="N56" s="350">
        <v>294175487.37459862</v>
      </c>
      <c r="O56" s="348">
        <v>1116534338.907779</v>
      </c>
      <c r="P56" s="369"/>
      <c r="Q56" s="350">
        <f t="shared" si="44"/>
        <v>32804206.100527599</v>
      </c>
      <c r="R56" s="350">
        <f t="shared" si="45"/>
        <v>66253239.897731304</v>
      </c>
      <c r="S56" s="350">
        <f t="shared" si="46"/>
        <v>100208235.32803485</v>
      </c>
      <c r="T56" s="350">
        <f t="shared" si="47"/>
        <v>134682922.6147092</v>
      </c>
      <c r="U56" s="350">
        <f t="shared" si="48"/>
        <v>169683169.08234662</v>
      </c>
      <c r="V56" s="350">
        <f t="shared" si="49"/>
        <v>503631773.02334952</v>
      </c>
      <c r="W56" s="365"/>
      <c r="X56" s="377">
        <f t="shared" si="28"/>
        <v>0</v>
      </c>
      <c r="Y56" s="377">
        <f t="shared" si="29"/>
        <v>0</v>
      </c>
      <c r="Z56" s="377">
        <f t="shared" si="30"/>
        <v>0</v>
      </c>
      <c r="AA56" s="377">
        <f t="shared" si="31"/>
        <v>0</v>
      </c>
      <c r="AB56" s="377">
        <f t="shared" si="32"/>
        <v>0</v>
      </c>
      <c r="AC56" s="377">
        <f t="shared" si="33"/>
        <v>0</v>
      </c>
      <c r="AD56" s="376"/>
      <c r="AE56" s="332">
        <v>41</v>
      </c>
      <c r="AF56" s="350">
        <v>126265664.13841738</v>
      </c>
      <c r="AG56" s="350">
        <v>127301295.17538571</v>
      </c>
      <c r="AH56" s="350">
        <v>128293531.75947165</v>
      </c>
      <c r="AI56" s="350">
        <v>129288126.17025267</v>
      </c>
      <c r="AJ56" s="350">
        <v>130288167.92079303</v>
      </c>
      <c r="AK56" s="348">
        <v>641436785.16432047</v>
      </c>
      <c r="AL56" s="369"/>
      <c r="AM56" s="350">
        <v>158660138.63556319</v>
      </c>
      <c r="AN56" s="350">
        <v>192724445.07799196</v>
      </c>
      <c r="AO56" s="350">
        <v>227244959.02472529</v>
      </c>
      <c r="AP56" s="350">
        <v>262280991.34220943</v>
      </c>
      <c r="AQ56" s="350">
        <v>297841425.19124264</v>
      </c>
      <c r="AR56" s="348">
        <v>1138751959.2717326</v>
      </c>
      <c r="AS56" s="369"/>
      <c r="AT56" s="350">
        <f t="shared" si="50"/>
        <v>32394474.497145817</v>
      </c>
      <c r="AU56" s="350">
        <f t="shared" si="34"/>
        <v>65423149.902606249</v>
      </c>
      <c r="AV56" s="350">
        <f t="shared" si="35"/>
        <v>98951427.265253633</v>
      </c>
      <c r="AW56" s="350">
        <f t="shared" si="36"/>
        <v>132992865.17195676</v>
      </c>
      <c r="AX56" s="350">
        <f t="shared" si="37"/>
        <v>167553257.27044961</v>
      </c>
      <c r="AY56" s="350">
        <f t="shared" si="38"/>
        <v>497315174.1074121</v>
      </c>
      <c r="AZ56" s="365"/>
      <c r="BA56" s="377">
        <f t="shared" si="51"/>
        <v>0</v>
      </c>
      <c r="BB56" s="377">
        <f t="shared" si="39"/>
        <v>0</v>
      </c>
      <c r="BC56" s="377">
        <f t="shared" si="40"/>
        <v>0</v>
      </c>
      <c r="BD56" s="377">
        <f t="shared" si="41"/>
        <v>0</v>
      </c>
      <c r="BE56" s="377">
        <f t="shared" si="42"/>
        <v>0</v>
      </c>
      <c r="BF56" s="377">
        <f t="shared" si="43"/>
        <v>0</v>
      </c>
      <c r="BG56" s="328"/>
    </row>
    <row r="57" spans="2:59">
      <c r="B57" s="332">
        <v>42</v>
      </c>
      <c r="C57" s="350">
        <v>119540340.65704985</v>
      </c>
      <c r="D57" s="350">
        <v>120520810.58764386</v>
      </c>
      <c r="E57" s="350">
        <v>121460197.39626984</v>
      </c>
      <c r="F57" s="350">
        <v>122401816.44600627</v>
      </c>
      <c r="G57" s="350">
        <v>123348592.69231673</v>
      </c>
      <c r="H57" s="348">
        <v>607271757.77928662</v>
      </c>
      <c r="I57" s="369"/>
      <c r="J57" s="350">
        <v>147967822.8500644</v>
      </c>
      <c r="K57" s="350">
        <v>177938224.31775996</v>
      </c>
      <c r="L57" s="350">
        <v>208306056.06625986</v>
      </c>
      <c r="M57" s="350">
        <v>239126532.00412986</v>
      </c>
      <c r="N57" s="350">
        <v>270407662.15315151</v>
      </c>
      <c r="O57" s="348">
        <v>1043746297.3913656</v>
      </c>
      <c r="P57" s="369"/>
      <c r="Q57" s="350">
        <f t="shared" si="44"/>
        <v>28427482.193014547</v>
      </c>
      <c r="R57" s="350">
        <f t="shared" si="45"/>
        <v>57417413.730116099</v>
      </c>
      <c r="S57" s="350">
        <f t="shared" si="46"/>
        <v>86845858.669990018</v>
      </c>
      <c r="T57" s="350">
        <f t="shared" si="47"/>
        <v>116724715.55812359</v>
      </c>
      <c r="U57" s="350">
        <f t="shared" si="48"/>
        <v>147059069.4608348</v>
      </c>
      <c r="V57" s="350">
        <f t="shared" si="49"/>
        <v>436474539.61207902</v>
      </c>
      <c r="W57" s="365"/>
      <c r="X57" s="377">
        <f t="shared" si="28"/>
        <v>0</v>
      </c>
      <c r="Y57" s="377">
        <f t="shared" si="29"/>
        <v>0</v>
      </c>
      <c r="Z57" s="377">
        <f t="shared" si="30"/>
        <v>0</v>
      </c>
      <c r="AA57" s="377">
        <f t="shared" si="31"/>
        <v>0</v>
      </c>
      <c r="AB57" s="377">
        <f t="shared" si="32"/>
        <v>0</v>
      </c>
      <c r="AC57" s="377">
        <f t="shared" si="33"/>
        <v>0</v>
      </c>
      <c r="AD57" s="376"/>
      <c r="AE57" s="332">
        <v>42</v>
      </c>
      <c r="AF57" s="350">
        <v>124542920.26217149</v>
      </c>
      <c r="AG57" s="350">
        <v>125564421.35305217</v>
      </c>
      <c r="AH57" s="350">
        <v>126543120.05642697</v>
      </c>
      <c r="AI57" s="350">
        <v>127524144.41677335</v>
      </c>
      <c r="AJ57" s="350">
        <v>128510541.79444724</v>
      </c>
      <c r="AK57" s="348">
        <v>632685147.88287115</v>
      </c>
      <c r="AL57" s="369"/>
      <c r="AM57" s="350">
        <v>155262712.81162393</v>
      </c>
      <c r="AN57" s="350">
        <v>187603637.84086567</v>
      </c>
      <c r="AO57" s="350">
        <v>220375506.94871891</v>
      </c>
      <c r="AP57" s="350">
        <v>253636305.73552513</v>
      </c>
      <c r="AQ57" s="350">
        <v>287394575.42564332</v>
      </c>
      <c r="AR57" s="348">
        <v>1104272738.7623768</v>
      </c>
      <c r="AS57" s="369"/>
      <c r="AT57" s="350">
        <f t="shared" si="50"/>
        <v>30719792.549452439</v>
      </c>
      <c r="AU57" s="350">
        <f t="shared" si="34"/>
        <v>62039216.487813503</v>
      </c>
      <c r="AV57" s="350">
        <f t="shared" si="35"/>
        <v>93832386.892291933</v>
      </c>
      <c r="AW57" s="350">
        <f t="shared" si="36"/>
        <v>126112161.31875178</v>
      </c>
      <c r="AX57" s="350">
        <f t="shared" si="37"/>
        <v>158884033.63119608</v>
      </c>
      <c r="AY57" s="350">
        <f t="shared" si="38"/>
        <v>471587590.87950563</v>
      </c>
      <c r="AZ57" s="365"/>
      <c r="BA57" s="377">
        <f t="shared" si="51"/>
        <v>0</v>
      </c>
      <c r="BB57" s="377">
        <f t="shared" si="39"/>
        <v>0</v>
      </c>
      <c r="BC57" s="377">
        <f t="shared" si="40"/>
        <v>0</v>
      </c>
      <c r="BD57" s="377">
        <f t="shared" si="41"/>
        <v>0</v>
      </c>
      <c r="BE57" s="377">
        <f t="shared" si="42"/>
        <v>0</v>
      </c>
      <c r="BF57" s="377">
        <f t="shared" si="43"/>
        <v>0</v>
      </c>
      <c r="BG57" s="328"/>
    </row>
    <row r="58" spans="2:59">
      <c r="B58" s="332">
        <v>43</v>
      </c>
      <c r="C58" s="350">
        <v>160488580.40975049</v>
      </c>
      <c r="D58" s="350">
        <v>161804907.82215863</v>
      </c>
      <c r="E58" s="350">
        <v>163066079.19362515</v>
      </c>
      <c r="F58" s="350">
        <v>164330247.45471889</v>
      </c>
      <c r="G58" s="350">
        <v>165601339.49696058</v>
      </c>
      <c r="H58" s="348">
        <v>815291154.37721372</v>
      </c>
      <c r="I58" s="369"/>
      <c r="J58" s="350">
        <v>196931570.01412392</v>
      </c>
      <c r="K58" s="350">
        <v>235403021.14372504</v>
      </c>
      <c r="L58" s="350">
        <v>274381335.50928336</v>
      </c>
      <c r="M58" s="350">
        <v>313939919.0454846</v>
      </c>
      <c r="N58" s="350">
        <v>354089216.15305054</v>
      </c>
      <c r="O58" s="348">
        <v>1374745061.8656673</v>
      </c>
      <c r="P58" s="369"/>
      <c r="Q58" s="350">
        <f t="shared" si="44"/>
        <v>36442989.604373425</v>
      </c>
      <c r="R58" s="350">
        <f t="shared" si="45"/>
        <v>73598113.321566403</v>
      </c>
      <c r="S58" s="350">
        <f t="shared" si="46"/>
        <v>111315256.31565821</v>
      </c>
      <c r="T58" s="350">
        <f t="shared" si="47"/>
        <v>149609671.59076571</v>
      </c>
      <c r="U58" s="350">
        <f t="shared" si="48"/>
        <v>188487876.65608996</v>
      </c>
      <c r="V58" s="350">
        <f t="shared" si="49"/>
        <v>559453907.48845363</v>
      </c>
      <c r="W58" s="365"/>
      <c r="X58" s="377">
        <f t="shared" si="28"/>
        <v>0</v>
      </c>
      <c r="Y58" s="377">
        <f t="shared" si="29"/>
        <v>0</v>
      </c>
      <c r="Z58" s="377">
        <f t="shared" si="30"/>
        <v>0</v>
      </c>
      <c r="AA58" s="377">
        <f t="shared" si="31"/>
        <v>0</v>
      </c>
      <c r="AB58" s="377">
        <f t="shared" si="32"/>
        <v>0</v>
      </c>
      <c r="AC58" s="377">
        <f t="shared" si="33"/>
        <v>0</v>
      </c>
      <c r="AD58" s="376"/>
      <c r="AE58" s="332">
        <v>43</v>
      </c>
      <c r="AF58" s="350">
        <v>114699454.96670426</v>
      </c>
      <c r="AG58" s="350">
        <v>115640219.9505771</v>
      </c>
      <c r="AH58" s="350">
        <v>116541565.50773445</v>
      </c>
      <c r="AI58" s="350">
        <v>117445052.9095387</v>
      </c>
      <c r="AJ58" s="350">
        <v>118353488.66294497</v>
      </c>
      <c r="AK58" s="348">
        <v>582679781.99749947</v>
      </c>
      <c r="AL58" s="369"/>
      <c r="AM58" s="350">
        <v>149479435.6659798</v>
      </c>
      <c r="AN58" s="350">
        <v>185891314.81828535</v>
      </c>
      <c r="AO58" s="350">
        <v>222800326.31642219</v>
      </c>
      <c r="AP58" s="350">
        <v>260262589.03182817</v>
      </c>
      <c r="AQ58" s="350">
        <v>298287131.32091266</v>
      </c>
      <c r="AR58" s="348">
        <v>1116720797.1534281</v>
      </c>
      <c r="AS58" s="369"/>
      <c r="AT58" s="350">
        <f t="shared" si="50"/>
        <v>34779980.699275538</v>
      </c>
      <c r="AU58" s="350">
        <f t="shared" si="34"/>
        <v>70251094.867708251</v>
      </c>
      <c r="AV58" s="350">
        <f t="shared" si="35"/>
        <v>106258760.80868775</v>
      </c>
      <c r="AW58" s="350">
        <f t="shared" si="36"/>
        <v>142817536.12228948</v>
      </c>
      <c r="AX58" s="350">
        <f t="shared" si="37"/>
        <v>179933642.65796769</v>
      </c>
      <c r="AY58" s="350">
        <f t="shared" si="38"/>
        <v>534041015.15592861</v>
      </c>
      <c r="AZ58" s="365"/>
      <c r="BA58" s="377">
        <f t="shared" si="51"/>
        <v>0</v>
      </c>
      <c r="BB58" s="377">
        <f t="shared" si="39"/>
        <v>0</v>
      </c>
      <c r="BC58" s="377">
        <f t="shared" si="40"/>
        <v>0</v>
      </c>
      <c r="BD58" s="377">
        <f t="shared" si="41"/>
        <v>0</v>
      </c>
      <c r="BE58" s="377">
        <f t="shared" si="42"/>
        <v>0</v>
      </c>
      <c r="BF58" s="377">
        <f t="shared" si="43"/>
        <v>0</v>
      </c>
      <c r="BG58" s="328"/>
    </row>
    <row r="59" spans="2:59">
      <c r="B59" s="332">
        <v>44</v>
      </c>
      <c r="C59" s="350">
        <v>132986457.39597629</v>
      </c>
      <c r="D59" s="350">
        <v>134077212.38242102</v>
      </c>
      <c r="E59" s="350">
        <v>135122263.14199749</v>
      </c>
      <c r="F59" s="350">
        <v>136169797.22925818</v>
      </c>
      <c r="G59" s="350">
        <v>137223068.60402116</v>
      </c>
      <c r="H59" s="348">
        <v>675578798.75367415</v>
      </c>
      <c r="I59" s="369"/>
      <c r="J59" s="350">
        <v>169574416.67513171</v>
      </c>
      <c r="K59" s="350">
        <v>207945456.68369326</v>
      </c>
      <c r="L59" s="350">
        <v>246834694.49731016</v>
      </c>
      <c r="M59" s="350">
        <v>286305630.09282005</v>
      </c>
      <c r="N59" s="350">
        <v>326368057.4097935</v>
      </c>
      <c r="O59" s="348">
        <v>1237028255.3587487</v>
      </c>
      <c r="P59" s="369"/>
      <c r="Q59" s="350">
        <f t="shared" si="44"/>
        <v>36587959.279155418</v>
      </c>
      <c r="R59" s="350">
        <f t="shared" si="45"/>
        <v>73868244.301272243</v>
      </c>
      <c r="S59" s="350">
        <f t="shared" si="46"/>
        <v>111712431.35531268</v>
      </c>
      <c r="T59" s="350">
        <f t="shared" si="47"/>
        <v>150135832.86356187</v>
      </c>
      <c r="U59" s="350">
        <f t="shared" si="48"/>
        <v>189144988.80577233</v>
      </c>
      <c r="V59" s="350">
        <f t="shared" si="49"/>
        <v>561449456.60507452</v>
      </c>
      <c r="W59" s="365"/>
      <c r="X59" s="377">
        <f t="shared" si="28"/>
        <v>0</v>
      </c>
      <c r="Y59" s="377">
        <f t="shared" si="29"/>
        <v>0</v>
      </c>
      <c r="Z59" s="377">
        <f t="shared" si="30"/>
        <v>0</v>
      </c>
      <c r="AA59" s="377">
        <f t="shared" si="31"/>
        <v>0</v>
      </c>
      <c r="AB59" s="377">
        <f t="shared" si="32"/>
        <v>0</v>
      </c>
      <c r="AC59" s="377">
        <f t="shared" si="33"/>
        <v>0</v>
      </c>
      <c r="AD59" s="376"/>
      <c r="AE59" s="332">
        <v>44</v>
      </c>
      <c r="AF59" s="350">
        <v>124457376.37873434</v>
      </c>
      <c r="AG59" s="350">
        <v>125478175.83864266</v>
      </c>
      <c r="AH59" s="350">
        <v>126456202.31040744</v>
      </c>
      <c r="AI59" s="350">
        <v>127436552.84173685</v>
      </c>
      <c r="AJ59" s="350">
        <v>128422272.69986874</v>
      </c>
      <c r="AK59" s="348">
        <v>632250580.06939006</v>
      </c>
      <c r="AL59" s="369"/>
      <c r="AM59" s="350">
        <v>155911586.1824044</v>
      </c>
      <c r="AN59" s="350">
        <v>188978835.6765115</v>
      </c>
      <c r="AO59" s="350">
        <v>222488045.80230242</v>
      </c>
      <c r="AP59" s="350">
        <v>256497477.34135953</v>
      </c>
      <c r="AQ59" s="350">
        <v>291015797.45020044</v>
      </c>
      <c r="AR59" s="348">
        <v>1114891742.4527783</v>
      </c>
      <c r="AS59" s="369"/>
      <c r="AT59" s="350">
        <f t="shared" si="50"/>
        <v>31454209.803670064</v>
      </c>
      <c r="AU59" s="350">
        <f t="shared" si="34"/>
        <v>63500659.83786884</v>
      </c>
      <c r="AV59" s="350">
        <f t="shared" si="35"/>
        <v>96031843.491894975</v>
      </c>
      <c r="AW59" s="350">
        <f t="shared" si="36"/>
        <v>129060924.49962267</v>
      </c>
      <c r="AX59" s="350">
        <f t="shared" si="37"/>
        <v>162593524.7503317</v>
      </c>
      <c r="AY59" s="350">
        <f t="shared" si="38"/>
        <v>482641162.38338828</v>
      </c>
      <c r="AZ59" s="365"/>
      <c r="BA59" s="377">
        <f t="shared" si="51"/>
        <v>0</v>
      </c>
      <c r="BB59" s="377">
        <f t="shared" si="39"/>
        <v>0</v>
      </c>
      <c r="BC59" s="377">
        <f t="shared" si="40"/>
        <v>0</v>
      </c>
      <c r="BD59" s="377">
        <f t="shared" si="41"/>
        <v>0</v>
      </c>
      <c r="BE59" s="377">
        <f t="shared" si="42"/>
        <v>0</v>
      </c>
      <c r="BF59" s="377">
        <f t="shared" si="43"/>
        <v>0</v>
      </c>
      <c r="BG59" s="328"/>
    </row>
    <row r="60" spans="2:59">
      <c r="B60" s="332">
        <v>45</v>
      </c>
      <c r="C60" s="350">
        <v>121504774.51434897</v>
      </c>
      <c r="D60" s="350">
        <v>122501356.73236947</v>
      </c>
      <c r="E60" s="350">
        <v>123456180.70004836</v>
      </c>
      <c r="F60" s="350">
        <v>124413273.59176826</v>
      </c>
      <c r="G60" s="350">
        <v>125375608.42945732</v>
      </c>
      <c r="H60" s="348">
        <v>617251193.96799242</v>
      </c>
      <c r="I60" s="369"/>
      <c r="J60" s="350">
        <v>155316141.80606195</v>
      </c>
      <c r="K60" s="350">
        <v>190775224.72524944</v>
      </c>
      <c r="L60" s="350">
        <v>226713834.83820581</v>
      </c>
      <c r="M60" s="350">
        <v>263190150.3409251</v>
      </c>
      <c r="N60" s="350">
        <v>300213189.66024828</v>
      </c>
      <c r="O60" s="348">
        <v>1136208541.3706906</v>
      </c>
      <c r="P60" s="369"/>
      <c r="Q60" s="350">
        <f t="shared" si="44"/>
        <v>33811367.291712984</v>
      </c>
      <c r="R60" s="350">
        <f t="shared" si="45"/>
        <v>68273867.992879972</v>
      </c>
      <c r="S60" s="350">
        <f t="shared" si="46"/>
        <v>103257654.13815746</v>
      </c>
      <c r="T60" s="350">
        <f t="shared" si="47"/>
        <v>138776876.74915683</v>
      </c>
      <c r="U60" s="350">
        <f t="shared" si="48"/>
        <v>174837581.23079097</v>
      </c>
      <c r="V60" s="350">
        <f t="shared" si="49"/>
        <v>518957347.40269816</v>
      </c>
      <c r="W60" s="365"/>
      <c r="X60" s="377">
        <f t="shared" si="28"/>
        <v>0</v>
      </c>
      <c r="Y60" s="377">
        <f t="shared" si="29"/>
        <v>0</v>
      </c>
      <c r="Z60" s="377">
        <f t="shared" si="30"/>
        <v>0</v>
      </c>
      <c r="AA60" s="377">
        <f t="shared" si="31"/>
        <v>0</v>
      </c>
      <c r="AB60" s="377">
        <f t="shared" si="32"/>
        <v>0</v>
      </c>
      <c r="AC60" s="377">
        <f t="shared" si="33"/>
        <v>0</v>
      </c>
      <c r="AD60" s="376"/>
      <c r="AE60" s="332">
        <v>45</v>
      </c>
      <c r="AF60" s="350">
        <v>136860123.85359082</v>
      </c>
      <c r="AG60" s="350">
        <v>137982650.6541526</v>
      </c>
      <c r="AH60" s="350">
        <v>139058141.94243509</v>
      </c>
      <c r="AI60" s="350">
        <v>140136188.89346012</v>
      </c>
      <c r="AJ60" s="350">
        <v>141220140.24929091</v>
      </c>
      <c r="AK60" s="348">
        <v>695257245.5929296</v>
      </c>
      <c r="AL60" s="369"/>
      <c r="AM60" s="350">
        <v>177309803.96572787</v>
      </c>
      <c r="AN60" s="350">
        <v>219661811.74012184</v>
      </c>
      <c r="AO60" s="350">
        <v>262590428.284089</v>
      </c>
      <c r="AP60" s="350">
        <v>306162174.16352898</v>
      </c>
      <c r="AQ60" s="350">
        <v>350387630.56887096</v>
      </c>
      <c r="AR60" s="348">
        <v>1316111848.7223387</v>
      </c>
      <c r="AS60" s="369"/>
      <c r="AT60" s="350">
        <f t="shared" si="50"/>
        <v>40449680.112137049</v>
      </c>
      <c r="AU60" s="350">
        <f t="shared" si="34"/>
        <v>81679161.085969239</v>
      </c>
      <c r="AV60" s="350">
        <f t="shared" si="35"/>
        <v>123532286.34165391</v>
      </c>
      <c r="AW60" s="350">
        <f t="shared" si="36"/>
        <v>166025985.27006885</v>
      </c>
      <c r="AX60" s="350">
        <f t="shared" si="37"/>
        <v>209167490.31958005</v>
      </c>
      <c r="AY60" s="350">
        <f t="shared" si="38"/>
        <v>620854603.12940907</v>
      </c>
      <c r="AZ60" s="365"/>
      <c r="BA60" s="377">
        <f t="shared" si="51"/>
        <v>0</v>
      </c>
      <c r="BB60" s="377">
        <f t="shared" si="39"/>
        <v>0</v>
      </c>
      <c r="BC60" s="377">
        <f t="shared" si="40"/>
        <v>0</v>
      </c>
      <c r="BD60" s="377">
        <f t="shared" si="41"/>
        <v>0</v>
      </c>
      <c r="BE60" s="377">
        <f t="shared" si="42"/>
        <v>0</v>
      </c>
      <c r="BF60" s="377">
        <f t="shared" si="43"/>
        <v>0</v>
      </c>
      <c r="BG60" s="328"/>
    </row>
    <row r="61" spans="2:59">
      <c r="B61" s="332">
        <v>46</v>
      </c>
      <c r="C61" s="350">
        <v>130237635.85067922</v>
      </c>
      <c r="D61" s="350">
        <v>131305845.00150964</v>
      </c>
      <c r="E61" s="350">
        <v>132329294.62890995</v>
      </c>
      <c r="F61" s="350">
        <v>133355176.25377047</v>
      </c>
      <c r="G61" s="350">
        <v>134386676.57676861</v>
      </c>
      <c r="H61" s="348">
        <v>661614628.31163788</v>
      </c>
      <c r="I61" s="369"/>
      <c r="J61" s="350">
        <v>165315759.29006901</v>
      </c>
      <c r="K61" s="350">
        <v>202168292.58312106</v>
      </c>
      <c r="L61" s="350">
        <v>239517360.10506883</v>
      </c>
      <c r="M61" s="350">
        <v>277424836.27629715</v>
      </c>
      <c r="N61" s="350">
        <v>315900184.37775099</v>
      </c>
      <c r="O61" s="348">
        <v>1200326432.6323071</v>
      </c>
      <c r="P61" s="369"/>
      <c r="Q61" s="350">
        <f t="shared" si="44"/>
        <v>35078123.439389795</v>
      </c>
      <c r="R61" s="350">
        <f t="shared" si="45"/>
        <v>70862447.581611425</v>
      </c>
      <c r="S61" s="350">
        <f t="shared" si="46"/>
        <v>107188065.47615889</v>
      </c>
      <c r="T61" s="350">
        <f t="shared" si="47"/>
        <v>144069660.02252668</v>
      </c>
      <c r="U61" s="350">
        <f t="shared" si="48"/>
        <v>181513507.80098239</v>
      </c>
      <c r="V61" s="350">
        <f t="shared" si="49"/>
        <v>538711804.32066917</v>
      </c>
      <c r="W61" s="365"/>
      <c r="X61" s="377">
        <f t="shared" si="28"/>
        <v>0</v>
      </c>
      <c r="Y61" s="377">
        <f t="shared" si="29"/>
        <v>0</v>
      </c>
      <c r="Z61" s="377">
        <f t="shared" si="30"/>
        <v>0</v>
      </c>
      <c r="AA61" s="377">
        <f t="shared" si="31"/>
        <v>0</v>
      </c>
      <c r="AB61" s="377">
        <f t="shared" si="32"/>
        <v>0</v>
      </c>
      <c r="AC61" s="377">
        <f t="shared" si="33"/>
        <v>0</v>
      </c>
      <c r="AD61" s="376"/>
      <c r="AE61" s="332">
        <v>46</v>
      </c>
      <c r="AF61" s="350">
        <v>116904907.8726377</v>
      </c>
      <c r="AG61" s="350">
        <v>117863761.98228781</v>
      </c>
      <c r="AH61" s="350">
        <v>118782438.7044351</v>
      </c>
      <c r="AI61" s="350">
        <v>119703298.45483823</v>
      </c>
      <c r="AJ61" s="350">
        <v>120629201.70425647</v>
      </c>
      <c r="AK61" s="348">
        <v>593883608.71845531</v>
      </c>
      <c r="AL61" s="369"/>
      <c r="AM61" s="350">
        <v>148416530.43148071</v>
      </c>
      <c r="AN61" s="350">
        <v>181532152.62609947</v>
      </c>
      <c r="AO61" s="350">
        <v>215094023.70585185</v>
      </c>
      <c r="AP61" s="350">
        <v>249157694.72748736</v>
      </c>
      <c r="AQ61" s="350">
        <v>283731666.22313631</v>
      </c>
      <c r="AR61" s="348">
        <v>1077932067.7140555</v>
      </c>
      <c r="AS61" s="369"/>
      <c r="AT61" s="350">
        <f t="shared" si="50"/>
        <v>31511622.558843002</v>
      </c>
      <c r="AU61" s="350">
        <f t="shared" si="34"/>
        <v>63668390.643811658</v>
      </c>
      <c r="AV61" s="350">
        <f t="shared" si="35"/>
        <v>96311585.001416758</v>
      </c>
      <c r="AW61" s="350">
        <f t="shared" si="36"/>
        <v>129454396.27264912</v>
      </c>
      <c r="AX61" s="350">
        <f t="shared" si="37"/>
        <v>163102464.51887983</v>
      </c>
      <c r="AY61" s="350">
        <f t="shared" si="38"/>
        <v>484048458.99560022</v>
      </c>
      <c r="AZ61" s="365"/>
      <c r="BA61" s="377">
        <f t="shared" si="51"/>
        <v>0</v>
      </c>
      <c r="BB61" s="377">
        <f t="shared" si="39"/>
        <v>0</v>
      </c>
      <c r="BC61" s="377">
        <f t="shared" si="40"/>
        <v>0</v>
      </c>
      <c r="BD61" s="377">
        <f t="shared" si="41"/>
        <v>0</v>
      </c>
      <c r="BE61" s="377">
        <f t="shared" si="42"/>
        <v>0</v>
      </c>
      <c r="BF61" s="377">
        <f t="shared" si="43"/>
        <v>0</v>
      </c>
      <c r="BG61" s="328"/>
    </row>
    <row r="62" spans="2:59">
      <c r="B62" s="332">
        <v>47</v>
      </c>
      <c r="C62" s="350">
        <v>128603622.15832274</v>
      </c>
      <c r="D62" s="350">
        <v>129658429.12807584</v>
      </c>
      <c r="E62" s="350">
        <v>130669038.1453584</v>
      </c>
      <c r="F62" s="350">
        <v>131682048.64728425</v>
      </c>
      <c r="G62" s="350">
        <v>132700607.35290399</v>
      </c>
      <c r="H62" s="348">
        <v>653313745.4319452</v>
      </c>
      <c r="I62" s="369"/>
      <c r="J62" s="350">
        <v>162846018.81843796</v>
      </c>
      <c r="K62" s="350">
        <v>198813198.65436172</v>
      </c>
      <c r="L62" s="350">
        <v>235264275.69921142</v>
      </c>
      <c r="M62" s="350">
        <v>272260181.39556801</v>
      </c>
      <c r="N62" s="350">
        <v>309810186.54375416</v>
      </c>
      <c r="O62" s="348">
        <v>1178993861.1113334</v>
      </c>
      <c r="P62" s="369"/>
      <c r="Q62" s="350">
        <f t="shared" si="44"/>
        <v>34242396.660115227</v>
      </c>
      <c r="R62" s="350">
        <f t="shared" si="45"/>
        <v>69154769.526285887</v>
      </c>
      <c r="S62" s="350">
        <f t="shared" si="46"/>
        <v>104595237.55385302</v>
      </c>
      <c r="T62" s="350">
        <f t="shared" si="47"/>
        <v>140578132.74828374</v>
      </c>
      <c r="U62" s="350">
        <f t="shared" si="48"/>
        <v>177109579.19085017</v>
      </c>
      <c r="V62" s="350">
        <f t="shared" si="49"/>
        <v>525680115.67938817</v>
      </c>
      <c r="W62" s="365"/>
      <c r="X62" s="377">
        <f t="shared" si="28"/>
        <v>0</v>
      </c>
      <c r="Y62" s="377">
        <f t="shared" si="29"/>
        <v>0</v>
      </c>
      <c r="Z62" s="377">
        <f t="shared" si="30"/>
        <v>0</v>
      </c>
      <c r="AA62" s="377">
        <f t="shared" si="31"/>
        <v>0</v>
      </c>
      <c r="AB62" s="377">
        <f t="shared" si="32"/>
        <v>0</v>
      </c>
      <c r="AC62" s="377">
        <f t="shared" si="33"/>
        <v>0</v>
      </c>
      <c r="AD62" s="376"/>
      <c r="AE62" s="332">
        <v>47</v>
      </c>
      <c r="AF62" s="350">
        <v>131699743.72976285</v>
      </c>
      <c r="AG62" s="350">
        <v>132779945.09010887</v>
      </c>
      <c r="AH62" s="350">
        <v>133814884.43593262</v>
      </c>
      <c r="AI62" s="350">
        <v>134852283.0819439</v>
      </c>
      <c r="AJ62" s="350">
        <v>135895363.50419432</v>
      </c>
      <c r="AK62" s="348">
        <v>669042219.84194255</v>
      </c>
      <c r="AL62" s="369"/>
      <c r="AM62" s="350">
        <v>164878063.09339133</v>
      </c>
      <c r="AN62" s="350">
        <v>199803649.82026884</v>
      </c>
      <c r="AO62" s="350">
        <v>235195938.39961779</v>
      </c>
      <c r="AP62" s="350">
        <v>271116537.78183603</v>
      </c>
      <c r="AQ62" s="350">
        <v>307574606.95304596</v>
      </c>
      <c r="AR62" s="348">
        <v>1178568796.0481601</v>
      </c>
      <c r="AS62" s="369"/>
      <c r="AT62" s="350">
        <f t="shared" si="50"/>
        <v>33178319.363628477</v>
      </c>
      <c r="AU62" s="350">
        <f t="shared" si="34"/>
        <v>67023704.730159968</v>
      </c>
      <c r="AV62" s="350">
        <f t="shared" si="35"/>
        <v>101381053.96368517</v>
      </c>
      <c r="AW62" s="350">
        <f t="shared" si="36"/>
        <v>136264254.69989213</v>
      </c>
      <c r="AX62" s="350">
        <f t="shared" si="37"/>
        <v>171679243.44885164</v>
      </c>
      <c r="AY62" s="350">
        <f t="shared" si="38"/>
        <v>509526576.20621753</v>
      </c>
      <c r="AZ62" s="365"/>
      <c r="BA62" s="377">
        <f t="shared" si="51"/>
        <v>0</v>
      </c>
      <c r="BB62" s="377">
        <f t="shared" si="39"/>
        <v>0</v>
      </c>
      <c r="BC62" s="377">
        <f t="shared" si="40"/>
        <v>0</v>
      </c>
      <c r="BD62" s="377">
        <f t="shared" si="41"/>
        <v>0</v>
      </c>
      <c r="BE62" s="377">
        <f t="shared" si="42"/>
        <v>0</v>
      </c>
      <c r="BF62" s="377">
        <f t="shared" si="43"/>
        <v>0</v>
      </c>
      <c r="BG62" s="328"/>
    </row>
    <row r="63" spans="2:59">
      <c r="B63" s="332">
        <v>48</v>
      </c>
      <c r="C63" s="350">
        <v>115008087.76798892</v>
      </c>
      <c r="D63" s="350">
        <v>115951384.15824379</v>
      </c>
      <c r="E63" s="350">
        <v>116855155.05215895</v>
      </c>
      <c r="F63" s="350">
        <v>117761073.55398743</v>
      </c>
      <c r="G63" s="350">
        <v>118671953.72242114</v>
      </c>
      <c r="H63" s="348">
        <v>584247654.2548002</v>
      </c>
      <c r="I63" s="369"/>
      <c r="J63" s="350">
        <v>141902823.39209154</v>
      </c>
      <c r="K63" s="350">
        <v>170280737.54100585</v>
      </c>
      <c r="L63" s="350">
        <v>199034116.88009068</v>
      </c>
      <c r="M63" s="350">
        <v>228215891.94711316</v>
      </c>
      <c r="N63" s="350">
        <v>257833688.87594578</v>
      </c>
      <c r="O63" s="348">
        <v>997267258.63624704</v>
      </c>
      <c r="P63" s="369"/>
      <c r="Q63" s="350">
        <f t="shared" si="44"/>
        <v>26894735.624102622</v>
      </c>
      <c r="R63" s="350">
        <f t="shared" si="45"/>
        <v>54329353.38276206</v>
      </c>
      <c r="S63" s="350">
        <f t="shared" si="46"/>
        <v>82178961.827931732</v>
      </c>
      <c r="T63" s="350">
        <f t="shared" si="47"/>
        <v>110454818.39312573</v>
      </c>
      <c r="U63" s="350">
        <f t="shared" si="48"/>
        <v>139161735.15352464</v>
      </c>
      <c r="V63" s="350">
        <f t="shared" si="49"/>
        <v>413019604.38144684</v>
      </c>
      <c r="W63" s="365"/>
      <c r="X63" s="377">
        <f t="shared" si="28"/>
        <v>0</v>
      </c>
      <c r="Y63" s="377">
        <f t="shared" si="29"/>
        <v>0</v>
      </c>
      <c r="Z63" s="377">
        <f t="shared" si="30"/>
        <v>0</v>
      </c>
      <c r="AA63" s="377">
        <f t="shared" si="31"/>
        <v>0</v>
      </c>
      <c r="AB63" s="377">
        <f t="shared" si="32"/>
        <v>0</v>
      </c>
      <c r="AC63" s="377">
        <f t="shared" si="33"/>
        <v>0</v>
      </c>
      <c r="AD63" s="376"/>
      <c r="AE63" s="332">
        <v>48</v>
      </c>
      <c r="AF63" s="350">
        <v>147831536.90252465</v>
      </c>
      <c r="AG63" s="350">
        <v>149044051.2381016</v>
      </c>
      <c r="AH63" s="350">
        <v>150205759.45226458</v>
      </c>
      <c r="AI63" s="350">
        <v>151370228.20427012</v>
      </c>
      <c r="AJ63" s="350">
        <v>152541074.68860811</v>
      </c>
      <c r="AK63" s="348">
        <v>750992650.48576903</v>
      </c>
      <c r="AL63" s="369"/>
      <c r="AM63" s="350">
        <v>178617981.69897857</v>
      </c>
      <c r="AN63" s="350">
        <v>211240729.51654184</v>
      </c>
      <c r="AO63" s="350">
        <v>244287801.86085051</v>
      </c>
      <c r="AP63" s="350">
        <v>277825652.11386687</v>
      </c>
      <c r="AQ63" s="350">
        <v>311863406.74286431</v>
      </c>
      <c r="AR63" s="348">
        <v>1223835571.9331021</v>
      </c>
      <c r="AS63" s="369"/>
      <c r="AT63" s="350">
        <f t="shared" si="50"/>
        <v>30786444.796453923</v>
      </c>
      <c r="AU63" s="350">
        <f t="shared" si="34"/>
        <v>62196678.278440237</v>
      </c>
      <c r="AV63" s="350">
        <f t="shared" si="35"/>
        <v>94082042.408585936</v>
      </c>
      <c r="AW63" s="350">
        <f t="shared" si="36"/>
        <v>126455423.90959674</v>
      </c>
      <c r="AX63" s="350">
        <f t="shared" si="37"/>
        <v>159322332.0542562</v>
      </c>
      <c r="AY63" s="350">
        <f t="shared" si="38"/>
        <v>472842921.4473331</v>
      </c>
      <c r="AZ63" s="365"/>
      <c r="BA63" s="377">
        <f t="shared" si="51"/>
        <v>0</v>
      </c>
      <c r="BB63" s="377">
        <f t="shared" si="39"/>
        <v>0</v>
      </c>
      <c r="BC63" s="377">
        <f t="shared" si="40"/>
        <v>0</v>
      </c>
      <c r="BD63" s="377">
        <f t="shared" si="41"/>
        <v>0</v>
      </c>
      <c r="BE63" s="377">
        <f t="shared" si="42"/>
        <v>0</v>
      </c>
      <c r="BF63" s="377">
        <f t="shared" si="43"/>
        <v>0</v>
      </c>
      <c r="BG63" s="328"/>
    </row>
    <row r="64" spans="2:59">
      <c r="B64" s="332">
        <v>49</v>
      </c>
      <c r="C64" s="350">
        <v>145406843.70271292</v>
      </c>
      <c r="D64" s="350">
        <v>146599470.70351848</v>
      </c>
      <c r="E64" s="350">
        <v>147742124.89128044</v>
      </c>
      <c r="F64" s="350">
        <v>148887494.33928397</v>
      </c>
      <c r="G64" s="350">
        <v>150039136.91376567</v>
      </c>
      <c r="H64" s="348">
        <v>738675070.55056143</v>
      </c>
      <c r="I64" s="369"/>
      <c r="J64" s="350">
        <v>187928986.99346614</v>
      </c>
      <c r="K64" s="350">
        <v>232457666.82539666</v>
      </c>
      <c r="L64" s="350">
        <v>277591879.79356802</v>
      </c>
      <c r="M64" s="350">
        <v>323402110.42468309</v>
      </c>
      <c r="N64" s="350">
        <v>369899518.69992149</v>
      </c>
      <c r="O64" s="348">
        <v>1391280162.7370353</v>
      </c>
      <c r="P64" s="369"/>
      <c r="Q64" s="350">
        <f t="shared" si="44"/>
        <v>42522143.290753216</v>
      </c>
      <c r="R64" s="350">
        <f t="shared" si="45"/>
        <v>85858196.121878177</v>
      </c>
      <c r="S64" s="350">
        <f t="shared" si="46"/>
        <v>129849754.90228757</v>
      </c>
      <c r="T64" s="350">
        <f t="shared" si="47"/>
        <v>174514616.08539912</v>
      </c>
      <c r="U64" s="350">
        <f t="shared" si="48"/>
        <v>219860381.78615582</v>
      </c>
      <c r="V64" s="350">
        <f t="shared" si="49"/>
        <v>652605092.18647385</v>
      </c>
      <c r="W64" s="365"/>
      <c r="X64" s="377">
        <f t="shared" si="28"/>
        <v>0</v>
      </c>
      <c r="Y64" s="377">
        <f t="shared" si="29"/>
        <v>0</v>
      </c>
      <c r="Z64" s="377">
        <f t="shared" si="30"/>
        <v>0</v>
      </c>
      <c r="AA64" s="377">
        <f t="shared" si="31"/>
        <v>0</v>
      </c>
      <c r="AB64" s="377">
        <f t="shared" si="32"/>
        <v>0</v>
      </c>
      <c r="AC64" s="377">
        <f t="shared" si="33"/>
        <v>0</v>
      </c>
      <c r="AD64" s="376"/>
      <c r="AE64" s="332">
        <v>49</v>
      </c>
      <c r="AF64" s="350">
        <v>122244384.96670987</v>
      </c>
      <c r="AG64" s="350">
        <v>123247033.47001036</v>
      </c>
      <c r="AH64" s="350">
        <v>124207669.53675681</v>
      </c>
      <c r="AI64" s="350">
        <v>125170588.3386883</v>
      </c>
      <c r="AJ64" s="350">
        <v>126138780.99478382</v>
      </c>
      <c r="AK64" s="348">
        <v>621008457.30694914</v>
      </c>
      <c r="AL64" s="369"/>
      <c r="AM64" s="350">
        <v>156827435.53802183</v>
      </c>
      <c r="AN64" s="350">
        <v>193081594.08457696</v>
      </c>
      <c r="AO64" s="350">
        <v>229826961.46397549</v>
      </c>
      <c r="AP64" s="350">
        <v>267122306.9780052</v>
      </c>
      <c r="AQ64" s="350">
        <v>304976805.50226736</v>
      </c>
      <c r="AR64" s="348">
        <v>1151835103.5668468</v>
      </c>
      <c r="AS64" s="369"/>
      <c r="AT64" s="350">
        <f t="shared" si="50"/>
        <v>34583050.571311966</v>
      </c>
      <c r="AU64" s="350">
        <f t="shared" si="34"/>
        <v>69834560.614566609</v>
      </c>
      <c r="AV64" s="350">
        <f t="shared" si="35"/>
        <v>105619291.92721868</v>
      </c>
      <c r="AW64" s="350">
        <f t="shared" si="36"/>
        <v>141951718.63931692</v>
      </c>
      <c r="AX64" s="350">
        <f t="shared" si="37"/>
        <v>178838024.50748354</v>
      </c>
      <c r="AY64" s="350">
        <f t="shared" si="38"/>
        <v>530826646.25989771</v>
      </c>
      <c r="AZ64" s="365"/>
      <c r="BA64" s="377">
        <f t="shared" si="51"/>
        <v>0</v>
      </c>
      <c r="BB64" s="377">
        <f t="shared" si="39"/>
        <v>0</v>
      </c>
      <c r="BC64" s="377">
        <f t="shared" si="40"/>
        <v>0</v>
      </c>
      <c r="BD64" s="377">
        <f t="shared" si="41"/>
        <v>0</v>
      </c>
      <c r="BE64" s="377">
        <f t="shared" si="42"/>
        <v>0</v>
      </c>
      <c r="BF64" s="377">
        <f t="shared" si="43"/>
        <v>0</v>
      </c>
      <c r="BG64" s="328"/>
    </row>
    <row r="65" spans="2:59">
      <c r="B65" s="332">
        <v>50</v>
      </c>
      <c r="C65" s="350">
        <v>131649151.01519826</v>
      </c>
      <c r="D65" s="350">
        <v>132728937.41407552</v>
      </c>
      <c r="E65" s="350">
        <v>133763479.18592209</v>
      </c>
      <c r="F65" s="350">
        <v>134800479.31321114</v>
      </c>
      <c r="G65" s="350">
        <v>135843159.03407383</v>
      </c>
      <c r="H65" s="348">
        <v>668785205.96248078</v>
      </c>
      <c r="I65" s="369"/>
      <c r="J65" s="350">
        <v>167730949.92900446</v>
      </c>
      <c r="K65" s="350">
        <v>205612720.96430129</v>
      </c>
      <c r="L65" s="350">
        <v>244005931.95253944</v>
      </c>
      <c r="M65" s="350">
        <v>282973388.54558468</v>
      </c>
      <c r="N65" s="350">
        <v>322524767.20134914</v>
      </c>
      <c r="O65" s="348">
        <v>1222847758.5927792</v>
      </c>
      <c r="P65" s="369"/>
      <c r="Q65" s="350">
        <f t="shared" si="44"/>
        <v>36081798.9138062</v>
      </c>
      <c r="R65" s="350">
        <f t="shared" si="45"/>
        <v>72883783.550225765</v>
      </c>
      <c r="S65" s="350">
        <f t="shared" si="46"/>
        <v>110242452.76661736</v>
      </c>
      <c r="T65" s="350">
        <f t="shared" si="47"/>
        <v>148172909.23237354</v>
      </c>
      <c r="U65" s="350">
        <f t="shared" si="48"/>
        <v>186681608.16727531</v>
      </c>
      <c r="V65" s="350">
        <f t="shared" si="49"/>
        <v>554062552.63029838</v>
      </c>
      <c r="W65" s="365"/>
      <c r="X65" s="377">
        <f t="shared" si="28"/>
        <v>0</v>
      </c>
      <c r="Y65" s="377">
        <f t="shared" si="29"/>
        <v>0</v>
      </c>
      <c r="Z65" s="377">
        <f t="shared" si="30"/>
        <v>0</v>
      </c>
      <c r="AA65" s="377">
        <f t="shared" si="31"/>
        <v>0</v>
      </c>
      <c r="AB65" s="377">
        <f t="shared" si="32"/>
        <v>0</v>
      </c>
      <c r="AC65" s="377">
        <f t="shared" si="33"/>
        <v>0</v>
      </c>
      <c r="AD65" s="376"/>
      <c r="AE65" s="332">
        <v>50</v>
      </c>
      <c r="AF65" s="350">
        <v>110156672.82933889</v>
      </c>
      <c r="AG65" s="350">
        <v>111060177.91197295</v>
      </c>
      <c r="AH65" s="350">
        <v>111925824.81216778</v>
      </c>
      <c r="AI65" s="350">
        <v>112793528.72719395</v>
      </c>
      <c r="AJ65" s="350">
        <v>113665985.00960174</v>
      </c>
      <c r="AK65" s="348">
        <v>559602189.29027534</v>
      </c>
      <c r="AL65" s="369"/>
      <c r="AM65" s="350">
        <v>144718587.85505861</v>
      </c>
      <c r="AN65" s="350">
        <v>180866369.29419726</v>
      </c>
      <c r="AO65" s="350">
        <v>217509411.02202052</v>
      </c>
      <c r="AP65" s="350">
        <v>254702094.31509039</v>
      </c>
      <c r="AQ65" s="350">
        <v>292453296.68772364</v>
      </c>
      <c r="AR65" s="348">
        <v>1090249759.1740904</v>
      </c>
      <c r="AS65" s="369"/>
      <c r="AT65" s="350">
        <f t="shared" si="50"/>
        <v>34561915.025719717</v>
      </c>
      <c r="AU65" s="350">
        <f t="shared" si="34"/>
        <v>69806191.382224306</v>
      </c>
      <c r="AV65" s="350">
        <f t="shared" si="35"/>
        <v>105583586.20985274</v>
      </c>
      <c r="AW65" s="350">
        <f t="shared" si="36"/>
        <v>141908565.58789644</v>
      </c>
      <c r="AX65" s="350">
        <f t="shared" si="37"/>
        <v>178787311.67812189</v>
      </c>
      <c r="AY65" s="350">
        <f t="shared" si="38"/>
        <v>530647569.88381505</v>
      </c>
      <c r="AZ65" s="365"/>
      <c r="BA65" s="377">
        <f t="shared" si="51"/>
        <v>0</v>
      </c>
      <c r="BB65" s="377">
        <f t="shared" si="39"/>
        <v>0</v>
      </c>
      <c r="BC65" s="377">
        <f t="shared" si="40"/>
        <v>0</v>
      </c>
      <c r="BD65" s="377">
        <f t="shared" si="41"/>
        <v>0</v>
      </c>
      <c r="BE65" s="377">
        <f t="shared" si="42"/>
        <v>0</v>
      </c>
      <c r="BF65" s="377">
        <f t="shared" si="43"/>
        <v>0</v>
      </c>
      <c r="BG65" s="328"/>
    </row>
    <row r="66" spans="2:59">
      <c r="B66" s="332">
        <v>51</v>
      </c>
      <c r="C66" s="350">
        <v>126848736.53904127</v>
      </c>
      <c r="D66" s="350">
        <v>127889149.93611519</v>
      </c>
      <c r="E66" s="350">
        <v>128885968.49243423</v>
      </c>
      <c r="F66" s="350">
        <v>129885155.76347299</v>
      </c>
      <c r="G66" s="350">
        <v>130889815.52911809</v>
      </c>
      <c r="H66" s="348">
        <v>644398826.26018178</v>
      </c>
      <c r="I66" s="369"/>
      <c r="J66" s="350">
        <v>159294028.89904302</v>
      </c>
      <c r="K66" s="350">
        <v>193412932.3807691</v>
      </c>
      <c r="L66" s="350">
        <v>227988595.56710029</v>
      </c>
      <c r="M66" s="350">
        <v>263080561.75898537</v>
      </c>
      <c r="N66" s="350">
        <v>298697737.16766685</v>
      </c>
      <c r="O66" s="348">
        <v>1142473855.7735646</v>
      </c>
      <c r="P66" s="369"/>
      <c r="Q66" s="350">
        <f t="shared" si="44"/>
        <v>32445292.360001758</v>
      </c>
      <c r="R66" s="350">
        <f t="shared" si="45"/>
        <v>65523782.444653913</v>
      </c>
      <c r="S66" s="350">
        <f t="shared" si="46"/>
        <v>99102627.074666053</v>
      </c>
      <c r="T66" s="350">
        <f t="shared" si="47"/>
        <v>133195405.99551238</v>
      </c>
      <c r="U66" s="350">
        <f t="shared" si="48"/>
        <v>167807921.63854876</v>
      </c>
      <c r="V66" s="350">
        <f t="shared" si="49"/>
        <v>498075029.51338279</v>
      </c>
      <c r="W66" s="365"/>
      <c r="X66" s="377">
        <f t="shared" si="28"/>
        <v>0</v>
      </c>
      <c r="Y66" s="377">
        <f t="shared" si="29"/>
        <v>0</v>
      </c>
      <c r="Z66" s="377">
        <f t="shared" si="30"/>
        <v>0</v>
      </c>
      <c r="AA66" s="377">
        <f t="shared" si="31"/>
        <v>0</v>
      </c>
      <c r="AB66" s="377">
        <f t="shared" si="32"/>
        <v>0</v>
      </c>
      <c r="AC66" s="377">
        <f t="shared" si="33"/>
        <v>0</v>
      </c>
      <c r="AD66" s="376"/>
      <c r="AE66" s="332">
        <v>51</v>
      </c>
      <c r="AF66" s="350">
        <v>128157168.60037746</v>
      </c>
      <c r="AG66" s="350">
        <v>129208313.75783718</v>
      </c>
      <c r="AH66" s="350">
        <v>130215414.39810917</v>
      </c>
      <c r="AI66" s="350">
        <v>131224908.18615682</v>
      </c>
      <c r="AJ66" s="350">
        <v>132239930.91704686</v>
      </c>
      <c r="AK66" s="348">
        <v>651045735.85952747</v>
      </c>
      <c r="AL66" s="369"/>
      <c r="AM66" s="350">
        <v>159848181.57403475</v>
      </c>
      <c r="AN66" s="350">
        <v>193213063.95657572</v>
      </c>
      <c r="AO66" s="350">
        <v>227022690.46467024</v>
      </c>
      <c r="AP66" s="350">
        <v>261336763.04648447</v>
      </c>
      <c r="AQ66" s="350">
        <v>296164085.68334657</v>
      </c>
      <c r="AR66" s="348">
        <v>1137584784.7251117</v>
      </c>
      <c r="AS66" s="369"/>
      <c r="AT66" s="350">
        <f t="shared" si="50"/>
        <v>31691012.973657295</v>
      </c>
      <c r="AU66" s="350">
        <f t="shared" si="34"/>
        <v>64004750.198738545</v>
      </c>
      <c r="AV66" s="350">
        <f t="shared" si="35"/>
        <v>96807276.066561073</v>
      </c>
      <c r="AW66" s="350">
        <f t="shared" si="36"/>
        <v>130111854.86032765</v>
      </c>
      <c r="AX66" s="350">
        <f t="shared" si="37"/>
        <v>163924154.76629972</v>
      </c>
      <c r="AY66" s="350">
        <f t="shared" si="38"/>
        <v>486539048.86558425</v>
      </c>
      <c r="AZ66" s="365"/>
      <c r="BA66" s="377">
        <f t="shared" si="51"/>
        <v>0</v>
      </c>
      <c r="BB66" s="377">
        <f t="shared" si="39"/>
        <v>0</v>
      </c>
      <c r="BC66" s="377">
        <f t="shared" si="40"/>
        <v>0</v>
      </c>
      <c r="BD66" s="377">
        <f t="shared" si="41"/>
        <v>0</v>
      </c>
      <c r="BE66" s="377">
        <f t="shared" si="42"/>
        <v>0</v>
      </c>
      <c r="BF66" s="377">
        <f t="shared" si="43"/>
        <v>0</v>
      </c>
      <c r="BG66" s="328"/>
    </row>
    <row r="67" spans="2:59">
      <c r="B67" s="332">
        <v>52</v>
      </c>
      <c r="C67" s="350">
        <v>131627888.51611048</v>
      </c>
      <c r="D67" s="350">
        <v>132707500.51996015</v>
      </c>
      <c r="E67" s="350">
        <v>133741875.20418547</v>
      </c>
      <c r="F67" s="350">
        <v>134778707.84680718</v>
      </c>
      <c r="G67" s="350">
        <v>135821219.16569814</v>
      </c>
      <c r="H67" s="348">
        <v>668677191.25276148</v>
      </c>
      <c r="I67" s="369"/>
      <c r="J67" s="350">
        <v>170329313.08120048</v>
      </c>
      <c r="K67" s="350">
        <v>210859090.38456345</v>
      </c>
      <c r="L67" s="350">
        <v>251940361.63539794</v>
      </c>
      <c r="M67" s="350">
        <v>293637019.95267451</v>
      </c>
      <c r="N67" s="350">
        <v>335959206.31604344</v>
      </c>
      <c r="O67" s="348">
        <v>1262724991.3698797</v>
      </c>
      <c r="P67" s="369"/>
      <c r="Q67" s="350">
        <f t="shared" si="44"/>
        <v>38701424.565090001</v>
      </c>
      <c r="R67" s="350">
        <f t="shared" si="45"/>
        <v>78151589.864603296</v>
      </c>
      <c r="S67" s="350">
        <f t="shared" si="46"/>
        <v>118198486.43121247</v>
      </c>
      <c r="T67" s="350">
        <f t="shared" si="47"/>
        <v>158858312.10586733</v>
      </c>
      <c r="U67" s="350">
        <f t="shared" si="48"/>
        <v>200137987.1503453</v>
      </c>
      <c r="V67" s="350">
        <f t="shared" si="49"/>
        <v>594047800.11711824</v>
      </c>
      <c r="W67" s="365"/>
      <c r="X67" s="377">
        <f t="shared" si="28"/>
        <v>0</v>
      </c>
      <c r="Y67" s="377">
        <f t="shared" si="29"/>
        <v>0</v>
      </c>
      <c r="Z67" s="377">
        <f t="shared" si="30"/>
        <v>0</v>
      </c>
      <c r="AA67" s="377">
        <f t="shared" si="31"/>
        <v>0</v>
      </c>
      <c r="AB67" s="377">
        <f t="shared" si="32"/>
        <v>0</v>
      </c>
      <c r="AC67" s="377">
        <f t="shared" si="33"/>
        <v>0</v>
      </c>
      <c r="AD67" s="376"/>
      <c r="AE67" s="332">
        <v>52</v>
      </c>
      <c r="AF67" s="350">
        <v>131589108.89000113</v>
      </c>
      <c r="AG67" s="350">
        <v>132668402.8233391</v>
      </c>
      <c r="AH67" s="350">
        <v>133702472.76467173</v>
      </c>
      <c r="AI67" s="350">
        <v>134738999.94024789</v>
      </c>
      <c r="AJ67" s="350">
        <v>135781204.11906683</v>
      </c>
      <c r="AK67" s="348">
        <v>668480188.53732669</v>
      </c>
      <c r="AL67" s="369"/>
      <c r="AM67" s="350">
        <v>163655160.72325906</v>
      </c>
      <c r="AN67" s="350">
        <v>197434640.51129359</v>
      </c>
      <c r="AO67" s="350">
        <v>231663532.3726584</v>
      </c>
      <c r="AP67" s="350">
        <v>266402939.01393396</v>
      </c>
      <c r="AQ67" s="350">
        <v>301661816.08574319</v>
      </c>
      <c r="AR67" s="348">
        <v>1160818088.7068882</v>
      </c>
      <c r="AS67" s="369"/>
      <c r="AT67" s="350">
        <f t="shared" si="50"/>
        <v>32066051.833257928</v>
      </c>
      <c r="AU67" s="350">
        <f t="shared" si="34"/>
        <v>64766237.687954485</v>
      </c>
      <c r="AV67" s="350">
        <f t="shared" si="35"/>
        <v>97961059.607986674</v>
      </c>
      <c r="AW67" s="350">
        <f t="shared" si="36"/>
        <v>131663939.07368606</v>
      </c>
      <c r="AX67" s="350">
        <f t="shared" si="37"/>
        <v>165880611.96667635</v>
      </c>
      <c r="AY67" s="350">
        <f t="shared" si="38"/>
        <v>492337900.16956151</v>
      </c>
      <c r="AZ67" s="365"/>
      <c r="BA67" s="377">
        <f t="shared" si="51"/>
        <v>0</v>
      </c>
      <c r="BB67" s="377">
        <f t="shared" si="39"/>
        <v>0</v>
      </c>
      <c r="BC67" s="377">
        <f t="shared" si="40"/>
        <v>0</v>
      </c>
      <c r="BD67" s="377">
        <f t="shared" si="41"/>
        <v>0</v>
      </c>
      <c r="BE67" s="377">
        <f t="shared" si="42"/>
        <v>0</v>
      </c>
      <c r="BF67" s="377">
        <f t="shared" si="43"/>
        <v>0</v>
      </c>
      <c r="BG67" s="328"/>
    </row>
    <row r="68" spans="2:59">
      <c r="B68" s="332">
        <v>53</v>
      </c>
      <c r="C68" s="350">
        <v>125449455.52166745</v>
      </c>
      <c r="D68" s="350">
        <v>126478392.01517522</v>
      </c>
      <c r="E68" s="350">
        <v>127464214.56694837</v>
      </c>
      <c r="F68" s="350">
        <v>128452379.70391378</v>
      </c>
      <c r="G68" s="350">
        <v>129445956.96785381</v>
      </c>
      <c r="H68" s="348">
        <v>637290398.77555859</v>
      </c>
      <c r="I68" s="369"/>
      <c r="J68" s="350">
        <v>158972850.24246809</v>
      </c>
      <c r="K68" s="350">
        <v>194198323.84743592</v>
      </c>
      <c r="L68" s="350">
        <v>229897958.69337305</v>
      </c>
      <c r="M68" s="350">
        <v>266131243.33515689</v>
      </c>
      <c r="N68" s="350">
        <v>302907245.43656969</v>
      </c>
      <c r="O68" s="348">
        <v>1152107621.5550036</v>
      </c>
      <c r="P68" s="369"/>
      <c r="Q68" s="350">
        <f t="shared" si="44"/>
        <v>33523394.720800638</v>
      </c>
      <c r="R68" s="350">
        <f t="shared" si="45"/>
        <v>67719931.832260698</v>
      </c>
      <c r="S68" s="350">
        <f t="shared" si="46"/>
        <v>102433744.12642469</v>
      </c>
      <c r="T68" s="350">
        <f t="shared" si="47"/>
        <v>137678863.63124311</v>
      </c>
      <c r="U68" s="350">
        <f t="shared" si="48"/>
        <v>173461288.46871588</v>
      </c>
      <c r="V68" s="350">
        <f t="shared" si="49"/>
        <v>514817222.77944505</v>
      </c>
      <c r="W68" s="365"/>
      <c r="X68" s="377">
        <f t="shared" si="28"/>
        <v>0</v>
      </c>
      <c r="Y68" s="377">
        <f t="shared" si="29"/>
        <v>0</v>
      </c>
      <c r="Z68" s="377">
        <f t="shared" si="30"/>
        <v>0</v>
      </c>
      <c r="AA68" s="377">
        <f t="shared" si="31"/>
        <v>0</v>
      </c>
      <c r="AB68" s="377">
        <f t="shared" si="32"/>
        <v>0</v>
      </c>
      <c r="AC68" s="377">
        <f t="shared" si="33"/>
        <v>0</v>
      </c>
      <c r="AD68" s="376"/>
      <c r="AE68" s="332">
        <v>53</v>
      </c>
      <c r="AF68" s="350">
        <v>119150798.91860721</v>
      </c>
      <c r="AG68" s="350">
        <v>120128073.82767835</v>
      </c>
      <c r="AH68" s="350">
        <v>121064399.49084921</v>
      </c>
      <c r="AI68" s="350">
        <v>122002950.12100804</v>
      </c>
      <c r="AJ68" s="350">
        <v>122946641.14217293</v>
      </c>
      <c r="AK68" s="348">
        <v>605292863.50031567</v>
      </c>
      <c r="AL68" s="369"/>
      <c r="AM68" s="350">
        <v>148880423.01434475</v>
      </c>
      <c r="AN68" s="350">
        <v>180188511.74963516</v>
      </c>
      <c r="AO68" s="350">
        <v>211914453.36877054</v>
      </c>
      <c r="AP68" s="350">
        <v>244113866.37288988</v>
      </c>
      <c r="AQ68" s="350">
        <v>276794986.15839577</v>
      </c>
      <c r="AR68" s="348">
        <v>1061892240.6640362</v>
      </c>
      <c r="AS68" s="369"/>
      <c r="AT68" s="350">
        <f t="shared" si="50"/>
        <v>29729624.095737547</v>
      </c>
      <c r="AU68" s="350">
        <f t="shared" si="34"/>
        <v>60060437.921956807</v>
      </c>
      <c r="AV68" s="350">
        <f t="shared" si="35"/>
        <v>90850053.877921328</v>
      </c>
      <c r="AW68" s="350">
        <f t="shared" si="36"/>
        <v>122110916.25188184</v>
      </c>
      <c r="AX68" s="350">
        <f t="shared" si="37"/>
        <v>153848345.01622283</v>
      </c>
      <c r="AY68" s="350">
        <f t="shared" si="38"/>
        <v>456599377.16372049</v>
      </c>
      <c r="AZ68" s="365"/>
      <c r="BA68" s="377">
        <f t="shared" si="51"/>
        <v>0</v>
      </c>
      <c r="BB68" s="377">
        <f t="shared" si="39"/>
        <v>0</v>
      </c>
      <c r="BC68" s="377">
        <f t="shared" si="40"/>
        <v>0</v>
      </c>
      <c r="BD68" s="377">
        <f t="shared" si="41"/>
        <v>0</v>
      </c>
      <c r="BE68" s="377">
        <f t="shared" si="42"/>
        <v>0</v>
      </c>
      <c r="BF68" s="377">
        <f t="shared" si="43"/>
        <v>0</v>
      </c>
      <c r="BG68" s="328"/>
    </row>
    <row r="69" spans="2:59">
      <c r="B69" s="332">
        <v>54</v>
      </c>
      <c r="C69" s="350">
        <v>115207748.68157014</v>
      </c>
      <c r="D69" s="350">
        <v>116152682.6907326</v>
      </c>
      <c r="E69" s="350">
        <v>117058022.58493155</v>
      </c>
      <c r="F69" s="350">
        <v>117965513.81541951</v>
      </c>
      <c r="G69" s="350">
        <v>118877975.3262625</v>
      </c>
      <c r="H69" s="348">
        <v>585261943.09891629</v>
      </c>
      <c r="I69" s="369"/>
      <c r="J69" s="350">
        <v>144801971.38609964</v>
      </c>
      <c r="K69" s="350">
        <v>175913576.23973182</v>
      </c>
      <c r="L69" s="350">
        <v>207441894.1641624</v>
      </c>
      <c r="M69" s="350">
        <v>239441056.77741522</v>
      </c>
      <c r="N69" s="350">
        <v>271919174.79728639</v>
      </c>
      <c r="O69" s="348">
        <v>1039517673.3646954</v>
      </c>
      <c r="P69" s="369"/>
      <c r="Q69" s="350">
        <f t="shared" si="44"/>
        <v>29594222.704529494</v>
      </c>
      <c r="R69" s="350">
        <f t="shared" si="45"/>
        <v>59760893.54899922</v>
      </c>
      <c r="S69" s="350">
        <f t="shared" si="46"/>
        <v>90383871.579230845</v>
      </c>
      <c r="T69" s="350">
        <f t="shared" si="47"/>
        <v>121475542.96199571</v>
      </c>
      <c r="U69" s="350">
        <f t="shared" si="48"/>
        <v>153041199.47102389</v>
      </c>
      <c r="V69" s="350">
        <f t="shared" si="49"/>
        <v>454255730.26577914</v>
      </c>
      <c r="W69" s="365"/>
      <c r="X69" s="377">
        <f t="shared" si="28"/>
        <v>0</v>
      </c>
      <c r="Y69" s="377">
        <f t="shared" si="29"/>
        <v>0</v>
      </c>
      <c r="Z69" s="377">
        <f t="shared" si="30"/>
        <v>0</v>
      </c>
      <c r="AA69" s="377">
        <f t="shared" si="31"/>
        <v>0</v>
      </c>
      <c r="AB69" s="377">
        <f t="shared" si="32"/>
        <v>0</v>
      </c>
      <c r="AC69" s="377">
        <f t="shared" si="33"/>
        <v>0</v>
      </c>
      <c r="AD69" s="376"/>
      <c r="AE69" s="332">
        <v>54</v>
      </c>
      <c r="AF69" s="350">
        <v>146231012.790039</v>
      </c>
      <c r="AG69" s="350">
        <v>147430399.62608856</v>
      </c>
      <c r="AH69" s="350">
        <v>148579530.40212566</v>
      </c>
      <c r="AI69" s="350">
        <v>149731391.82855734</v>
      </c>
      <c r="AJ69" s="350">
        <v>150889561.93768156</v>
      </c>
      <c r="AK69" s="348">
        <v>742861896.58449209</v>
      </c>
      <c r="AL69" s="369"/>
      <c r="AM69" s="350">
        <v>176834094.5078325</v>
      </c>
      <c r="AN69" s="350">
        <v>209256381.69666374</v>
      </c>
      <c r="AO69" s="350">
        <v>242100709.63893524</v>
      </c>
      <c r="AP69" s="350">
        <v>275432875.00069505</v>
      </c>
      <c r="AQ69" s="350">
        <v>309261932.23508161</v>
      </c>
      <c r="AR69" s="348">
        <v>1212885993.0792081</v>
      </c>
      <c r="AS69" s="369"/>
      <c r="AT69" s="350">
        <f t="shared" si="50"/>
        <v>30603081.717793494</v>
      </c>
      <c r="AU69" s="350">
        <f t="shared" si="34"/>
        <v>61825982.070575178</v>
      </c>
      <c r="AV69" s="350">
        <f t="shared" si="35"/>
        <v>93521179.236809582</v>
      </c>
      <c r="AW69" s="350">
        <f t="shared" si="36"/>
        <v>125701483.17213771</v>
      </c>
      <c r="AX69" s="350">
        <f t="shared" si="37"/>
        <v>158372370.29740006</v>
      </c>
      <c r="AY69" s="350">
        <f t="shared" si="38"/>
        <v>470024096.49471605</v>
      </c>
      <c r="AZ69" s="365"/>
      <c r="BA69" s="377">
        <f t="shared" si="51"/>
        <v>0</v>
      </c>
      <c r="BB69" s="377">
        <f t="shared" si="39"/>
        <v>0</v>
      </c>
      <c r="BC69" s="377">
        <f t="shared" si="40"/>
        <v>0</v>
      </c>
      <c r="BD69" s="377">
        <f t="shared" si="41"/>
        <v>0</v>
      </c>
      <c r="BE69" s="377">
        <f t="shared" si="42"/>
        <v>0</v>
      </c>
      <c r="BF69" s="377">
        <f t="shared" si="43"/>
        <v>0</v>
      </c>
      <c r="BG69" s="328"/>
    </row>
    <row r="70" spans="2:59">
      <c r="B70" s="332">
        <v>55</v>
      </c>
      <c r="C70" s="350">
        <v>123847068.3871453</v>
      </c>
      <c r="D70" s="350">
        <v>124862862.10061799</v>
      </c>
      <c r="E70" s="350">
        <v>125836092.57403325</v>
      </c>
      <c r="F70" s="350">
        <v>126811635.71040355</v>
      </c>
      <c r="G70" s="350">
        <v>127792521.84373426</v>
      </c>
      <c r="H70" s="348">
        <v>629150180.61593437</v>
      </c>
      <c r="I70" s="369"/>
      <c r="J70" s="350">
        <v>155809001.22133636</v>
      </c>
      <c r="K70" s="350">
        <v>189450258.47620705</v>
      </c>
      <c r="L70" s="350">
        <v>223542472.82165778</v>
      </c>
      <c r="M70" s="350">
        <v>258143899.80909809</v>
      </c>
      <c r="N70" s="350">
        <v>293263291.83112276</v>
      </c>
      <c r="O70" s="348">
        <v>1120208924.1594219</v>
      </c>
      <c r="P70" s="369"/>
      <c r="Q70" s="350">
        <f t="shared" si="44"/>
        <v>31961932.834191069</v>
      </c>
      <c r="R70" s="350">
        <f t="shared" si="45"/>
        <v>64587396.375589058</v>
      </c>
      <c r="S70" s="350">
        <f t="shared" si="46"/>
        <v>97706380.247624531</v>
      </c>
      <c r="T70" s="350">
        <f t="shared" si="47"/>
        <v>131332264.09869455</v>
      </c>
      <c r="U70" s="350">
        <f t="shared" si="48"/>
        <v>165470769.98738849</v>
      </c>
      <c r="V70" s="350">
        <f t="shared" si="49"/>
        <v>491058743.54348755</v>
      </c>
      <c r="W70" s="365"/>
      <c r="X70" s="377">
        <f t="shared" si="28"/>
        <v>0</v>
      </c>
      <c r="Y70" s="377">
        <f t="shared" si="29"/>
        <v>0</v>
      </c>
      <c r="Z70" s="377">
        <f t="shared" si="30"/>
        <v>0</v>
      </c>
      <c r="AA70" s="377">
        <f t="shared" si="31"/>
        <v>0</v>
      </c>
      <c r="AB70" s="377">
        <f t="shared" si="32"/>
        <v>0</v>
      </c>
      <c r="AC70" s="377">
        <f t="shared" si="33"/>
        <v>0</v>
      </c>
      <c r="AD70" s="376"/>
      <c r="AE70" s="332">
        <v>55</v>
      </c>
      <c r="AF70" s="350">
        <v>138078547.69556651</v>
      </c>
      <c r="AG70" s="350">
        <v>139211068.0090563</v>
      </c>
      <c r="AH70" s="350">
        <v>140296134.06748062</v>
      </c>
      <c r="AI70" s="350">
        <v>141383778.54093155</v>
      </c>
      <c r="AJ70" s="350">
        <v>142477379.98429924</v>
      </c>
      <c r="AK70" s="348">
        <v>701446908.29733419</v>
      </c>
      <c r="AL70" s="369"/>
      <c r="AM70" s="350">
        <v>173149098.33121395</v>
      </c>
      <c r="AN70" s="350">
        <v>210045717.54118645</v>
      </c>
      <c r="AO70" s="350">
        <v>247435864.53215146</v>
      </c>
      <c r="AP70" s="350">
        <v>285384251.00933325</v>
      </c>
      <c r="AQ70" s="350">
        <v>323900528.84485352</v>
      </c>
      <c r="AR70" s="348">
        <v>1239915460.2587385</v>
      </c>
      <c r="AS70" s="369"/>
      <c r="AT70" s="350">
        <f t="shared" si="50"/>
        <v>35070550.635647446</v>
      </c>
      <c r="AU70" s="350">
        <f t="shared" si="34"/>
        <v>70834649.532130152</v>
      </c>
      <c r="AV70" s="350">
        <f t="shared" si="35"/>
        <v>107139730.46467084</v>
      </c>
      <c r="AW70" s="350">
        <f t="shared" si="36"/>
        <v>144000472.4684017</v>
      </c>
      <c r="AX70" s="350">
        <f t="shared" si="37"/>
        <v>181423148.86055428</v>
      </c>
      <c r="AY70" s="350">
        <f t="shared" si="38"/>
        <v>538468551.96140432</v>
      </c>
      <c r="AZ70" s="365"/>
      <c r="BA70" s="377">
        <f t="shared" si="51"/>
        <v>0</v>
      </c>
      <c r="BB70" s="377">
        <f t="shared" si="39"/>
        <v>0</v>
      </c>
      <c r="BC70" s="377">
        <f t="shared" si="40"/>
        <v>0</v>
      </c>
      <c r="BD70" s="377">
        <f t="shared" si="41"/>
        <v>0</v>
      </c>
      <c r="BE70" s="377">
        <f t="shared" si="42"/>
        <v>0</v>
      </c>
      <c r="BF70" s="377">
        <f t="shared" si="43"/>
        <v>0</v>
      </c>
      <c r="BG70" s="328"/>
    </row>
    <row r="71" spans="2:59">
      <c r="B71" s="332">
        <v>56</v>
      </c>
      <c r="C71" s="350">
        <v>131605836.96248561</v>
      </c>
      <c r="D71" s="350">
        <v>132685268.09948197</v>
      </c>
      <c r="E71" s="350">
        <v>133719469.49543937</v>
      </c>
      <c r="F71" s="350">
        <v>134756128.4380126</v>
      </c>
      <c r="G71" s="350">
        <v>135798465.10550925</v>
      </c>
      <c r="H71" s="348">
        <v>668565168.10092878</v>
      </c>
      <c r="I71" s="369"/>
      <c r="J71" s="350">
        <v>163258909.20644629</v>
      </c>
      <c r="K71" s="350">
        <v>196632055.90335625</v>
      </c>
      <c r="L71" s="350">
        <v>230448467.27881733</v>
      </c>
      <c r="M71" s="350">
        <v>264769080.06067881</v>
      </c>
      <c r="N71" s="350">
        <v>299602778.67651498</v>
      </c>
      <c r="O71" s="348">
        <v>1154711291.1258137</v>
      </c>
      <c r="P71" s="369"/>
      <c r="Q71" s="350">
        <f t="shared" si="44"/>
        <v>31653072.243960679</v>
      </c>
      <c r="R71" s="350">
        <f t="shared" si="45"/>
        <v>63946787.803874284</v>
      </c>
      <c r="S71" s="350">
        <f t="shared" si="46"/>
        <v>96728997.78337796</v>
      </c>
      <c r="T71" s="350">
        <f t="shared" si="47"/>
        <v>130012951.62266621</v>
      </c>
      <c r="U71" s="350">
        <f t="shared" si="48"/>
        <v>163804313.57100573</v>
      </c>
      <c r="V71" s="350">
        <f t="shared" si="49"/>
        <v>486146123.02488494</v>
      </c>
      <c r="W71" s="365"/>
      <c r="X71" s="377">
        <f t="shared" si="28"/>
        <v>0</v>
      </c>
      <c r="Y71" s="377">
        <f t="shared" si="29"/>
        <v>0</v>
      </c>
      <c r="Z71" s="377">
        <f t="shared" si="30"/>
        <v>0</v>
      </c>
      <c r="AA71" s="377">
        <f t="shared" si="31"/>
        <v>0</v>
      </c>
      <c r="AB71" s="377">
        <f t="shared" si="32"/>
        <v>0</v>
      </c>
      <c r="AC71" s="377">
        <f t="shared" si="33"/>
        <v>0</v>
      </c>
      <c r="AD71" s="376"/>
      <c r="AE71" s="332">
        <v>56</v>
      </c>
      <c r="AF71" s="350">
        <v>114955772.98200494</v>
      </c>
      <c r="AG71" s="350">
        <v>115898640.28636046</v>
      </c>
      <c r="AH71" s="350">
        <v>116802000.07370207</v>
      </c>
      <c r="AI71" s="350">
        <v>117707506.49205479</v>
      </c>
      <c r="AJ71" s="350">
        <v>118617972.32005391</v>
      </c>
      <c r="AK71" s="348">
        <v>583981892.15417624</v>
      </c>
      <c r="AL71" s="369"/>
      <c r="AM71" s="350">
        <v>146989135.24996057</v>
      </c>
      <c r="AN71" s="350">
        <v>180584935.41507176</v>
      </c>
      <c r="AO71" s="350">
        <v>214635142.92577735</v>
      </c>
      <c r="AP71" s="350">
        <v>249194818.95468324</v>
      </c>
      <c r="AQ71" s="350">
        <v>284272504.19032055</v>
      </c>
      <c r="AR71" s="348">
        <v>1075676536.7358134</v>
      </c>
      <c r="AS71" s="369"/>
      <c r="AT71" s="350">
        <f t="shared" si="50"/>
        <v>32033362.267955631</v>
      </c>
      <c r="AU71" s="350">
        <f t="shared" si="34"/>
        <v>64686295.128711298</v>
      </c>
      <c r="AV71" s="350">
        <f t="shared" si="35"/>
        <v>97833142.852075279</v>
      </c>
      <c r="AW71" s="350">
        <f t="shared" si="36"/>
        <v>131487312.46262845</v>
      </c>
      <c r="AX71" s="350">
        <f t="shared" si="37"/>
        <v>165654531.87026665</v>
      </c>
      <c r="AY71" s="350">
        <f t="shared" si="38"/>
        <v>491694644.58163714</v>
      </c>
      <c r="AZ71" s="365"/>
      <c r="BA71" s="377">
        <f t="shared" si="51"/>
        <v>0</v>
      </c>
      <c r="BB71" s="377">
        <f t="shared" si="39"/>
        <v>0</v>
      </c>
      <c r="BC71" s="377">
        <f t="shared" si="40"/>
        <v>0</v>
      </c>
      <c r="BD71" s="377">
        <f t="shared" si="41"/>
        <v>0</v>
      </c>
      <c r="BE71" s="377">
        <f t="shared" si="42"/>
        <v>0</v>
      </c>
      <c r="BF71" s="377">
        <f t="shared" si="43"/>
        <v>0</v>
      </c>
      <c r="BG71" s="328"/>
    </row>
    <row r="72" spans="2:59">
      <c r="B72" s="332">
        <v>57</v>
      </c>
      <c r="C72" s="350">
        <v>132138166.05791079</v>
      </c>
      <c r="D72" s="350">
        <v>133221963.35839957</v>
      </c>
      <c r="E72" s="350">
        <v>134260347.96922264</v>
      </c>
      <c r="F72" s="350">
        <v>135301200.06712928</v>
      </c>
      <c r="G72" s="350">
        <v>136347752.85564417</v>
      </c>
      <c r="H72" s="348">
        <v>671269430.30830646</v>
      </c>
      <c r="I72" s="369"/>
      <c r="J72" s="350">
        <v>161291205.51338372</v>
      </c>
      <c r="K72" s="350">
        <v>192110018.28207615</v>
      </c>
      <c r="L72" s="350">
        <v>223333204.59518525</v>
      </c>
      <c r="M72" s="350">
        <v>255020847.14996487</v>
      </c>
      <c r="N72" s="350">
        <v>287181394.79222274</v>
      </c>
      <c r="O72" s="348">
        <v>1118936670.3328328</v>
      </c>
      <c r="P72" s="369"/>
      <c r="Q72" s="350">
        <f t="shared" si="44"/>
        <v>29153039.455472931</v>
      </c>
      <c r="R72" s="350">
        <f t="shared" si="45"/>
        <v>58888054.92367658</v>
      </c>
      <c r="S72" s="350">
        <f t="shared" si="46"/>
        <v>89072856.625962615</v>
      </c>
      <c r="T72" s="350">
        <f t="shared" si="47"/>
        <v>119719647.08283558</v>
      </c>
      <c r="U72" s="350">
        <f t="shared" si="48"/>
        <v>150833641.93657857</v>
      </c>
      <c r="V72" s="350">
        <f t="shared" si="49"/>
        <v>447667240.02452636</v>
      </c>
      <c r="W72" s="365"/>
      <c r="X72" s="377">
        <f t="shared" si="28"/>
        <v>0</v>
      </c>
      <c r="Y72" s="377">
        <f t="shared" si="29"/>
        <v>0</v>
      </c>
      <c r="Z72" s="377">
        <f t="shared" si="30"/>
        <v>0</v>
      </c>
      <c r="AA72" s="377">
        <f t="shared" si="31"/>
        <v>0</v>
      </c>
      <c r="AB72" s="377">
        <f t="shared" si="32"/>
        <v>0</v>
      </c>
      <c r="AC72" s="377">
        <f t="shared" si="33"/>
        <v>0</v>
      </c>
      <c r="AD72" s="376"/>
      <c r="AE72" s="332">
        <v>57</v>
      </c>
      <c r="AF72" s="350">
        <v>135999221.06820959</v>
      </c>
      <c r="AG72" s="350">
        <v>137114686.74371862</v>
      </c>
      <c r="AH72" s="350">
        <v>138183412.77840009</v>
      </c>
      <c r="AI72" s="350">
        <v>139254678.39972311</v>
      </c>
      <c r="AJ72" s="350">
        <v>140331811.28487614</v>
      </c>
      <c r="AK72" s="348">
        <v>690883810.27492762</v>
      </c>
      <c r="AL72" s="369"/>
      <c r="AM72" s="350">
        <v>170741620.583958</v>
      </c>
      <c r="AN72" s="350">
        <v>207256103.2754195</v>
      </c>
      <c r="AO72" s="350">
        <v>244259291.91207016</v>
      </c>
      <c r="AP72" s="350">
        <v>281815005.7149958</v>
      </c>
      <c r="AQ72" s="350">
        <v>319932782.33328211</v>
      </c>
      <c r="AR72" s="348">
        <v>1224004803.8197255</v>
      </c>
      <c r="AS72" s="369"/>
      <c r="AT72" s="350">
        <f t="shared" si="50"/>
        <v>34742399.515748411</v>
      </c>
      <c r="AU72" s="350">
        <f t="shared" si="34"/>
        <v>70141416.531700879</v>
      </c>
      <c r="AV72" s="350">
        <f t="shared" si="35"/>
        <v>106075879.13367006</v>
      </c>
      <c r="AW72" s="350">
        <f t="shared" si="36"/>
        <v>142560327.31527269</v>
      </c>
      <c r="AX72" s="350">
        <f t="shared" si="37"/>
        <v>179600971.04840598</v>
      </c>
      <c r="AY72" s="350">
        <f t="shared" si="38"/>
        <v>533120993.5447979</v>
      </c>
      <c r="AZ72" s="365"/>
      <c r="BA72" s="377">
        <f t="shared" si="51"/>
        <v>0</v>
      </c>
      <c r="BB72" s="377">
        <f t="shared" si="39"/>
        <v>0</v>
      </c>
      <c r="BC72" s="377">
        <f t="shared" si="40"/>
        <v>0</v>
      </c>
      <c r="BD72" s="377">
        <f t="shared" si="41"/>
        <v>0</v>
      </c>
      <c r="BE72" s="377">
        <f t="shared" si="42"/>
        <v>0</v>
      </c>
      <c r="BF72" s="377">
        <f t="shared" si="43"/>
        <v>0</v>
      </c>
      <c r="BG72" s="328"/>
    </row>
    <row r="73" spans="2:59">
      <c r="B73" s="332">
        <v>58</v>
      </c>
      <c r="C73" s="350">
        <v>110703692.69545802</v>
      </c>
      <c r="D73" s="350">
        <v>111611684.43529266</v>
      </c>
      <c r="E73" s="350">
        <v>112481629.99519904</v>
      </c>
      <c r="F73" s="350">
        <v>113353642.78473315</v>
      </c>
      <c r="G73" s="350">
        <v>114230431.5411213</v>
      </c>
      <c r="H73" s="348">
        <v>562381081.45180416</v>
      </c>
      <c r="I73" s="369"/>
      <c r="J73" s="350">
        <v>142900095.13468468</v>
      </c>
      <c r="K73" s="350">
        <v>176633504.10050821</v>
      </c>
      <c r="L73" s="350">
        <v>210825393.69241744</v>
      </c>
      <c r="M73" s="350">
        <v>245529352.93181387</v>
      </c>
      <c r="N73" s="350">
        <v>280753848.57939261</v>
      </c>
      <c r="O73" s="348">
        <v>1056642194.4388168</v>
      </c>
      <c r="P73" s="369"/>
      <c r="Q73" s="350">
        <f t="shared" si="44"/>
        <v>32196402.439226657</v>
      </c>
      <c r="R73" s="350">
        <f t="shared" si="45"/>
        <v>65021819.665215552</v>
      </c>
      <c r="S73" s="350">
        <f t="shared" si="46"/>
        <v>98343763.697218403</v>
      </c>
      <c r="T73" s="350">
        <f t="shared" si="47"/>
        <v>132175710.14708072</v>
      </c>
      <c r="U73" s="350">
        <f t="shared" si="48"/>
        <v>166523417.03827131</v>
      </c>
      <c r="V73" s="350">
        <f t="shared" si="49"/>
        <v>494261112.98701262</v>
      </c>
      <c r="W73" s="365"/>
      <c r="X73" s="377">
        <f t="shared" si="28"/>
        <v>0</v>
      </c>
      <c r="Y73" s="377">
        <f t="shared" si="29"/>
        <v>0</v>
      </c>
      <c r="Z73" s="377">
        <f t="shared" si="30"/>
        <v>0</v>
      </c>
      <c r="AA73" s="377">
        <f t="shared" si="31"/>
        <v>0</v>
      </c>
      <c r="AB73" s="377">
        <f t="shared" si="32"/>
        <v>0</v>
      </c>
      <c r="AC73" s="377">
        <f t="shared" si="33"/>
        <v>0</v>
      </c>
      <c r="AD73" s="376"/>
      <c r="AE73" s="332">
        <v>58</v>
      </c>
      <c r="AF73" s="350">
        <v>129110126.12829237</v>
      </c>
      <c r="AG73" s="350">
        <v>130169087.44384661</v>
      </c>
      <c r="AH73" s="350">
        <v>131183676.73377432</v>
      </c>
      <c r="AI73" s="350">
        <v>132200676.96656647</v>
      </c>
      <c r="AJ73" s="350">
        <v>133223247.25459255</v>
      </c>
      <c r="AK73" s="348">
        <v>655886814.52707231</v>
      </c>
      <c r="AL73" s="369"/>
      <c r="AM73" s="350">
        <v>166362941.81417203</v>
      </c>
      <c r="AN73" s="350">
        <v>205380108.98090667</v>
      </c>
      <c r="AO73" s="350">
        <v>244927060.61633086</v>
      </c>
      <c r="AP73" s="350">
        <v>285066170.3870784</v>
      </c>
      <c r="AQ73" s="350">
        <v>325807256.30006719</v>
      </c>
      <c r="AR73" s="348">
        <v>1227543538.0985551</v>
      </c>
      <c r="AS73" s="369"/>
      <c r="AT73" s="350">
        <f t="shared" si="50"/>
        <v>37252815.685879663</v>
      </c>
      <c r="AU73" s="350">
        <f t="shared" si="34"/>
        <v>75211021.537060052</v>
      </c>
      <c r="AV73" s="350">
        <f t="shared" si="35"/>
        <v>113743383.88255654</v>
      </c>
      <c r="AW73" s="350">
        <f t="shared" si="36"/>
        <v>152865493.42051193</v>
      </c>
      <c r="AX73" s="350">
        <f t="shared" si="37"/>
        <v>192584009.04547465</v>
      </c>
      <c r="AY73" s="350">
        <f t="shared" si="38"/>
        <v>571656723.57148278</v>
      </c>
      <c r="AZ73" s="365"/>
      <c r="BA73" s="377">
        <f t="shared" si="51"/>
        <v>0</v>
      </c>
      <c r="BB73" s="377">
        <f t="shared" si="39"/>
        <v>0</v>
      </c>
      <c r="BC73" s="377">
        <f t="shared" si="40"/>
        <v>0</v>
      </c>
      <c r="BD73" s="377">
        <f t="shared" si="41"/>
        <v>0</v>
      </c>
      <c r="BE73" s="377">
        <f t="shared" si="42"/>
        <v>0</v>
      </c>
      <c r="BF73" s="377">
        <f t="shared" si="43"/>
        <v>0</v>
      </c>
      <c r="BG73" s="328"/>
    </row>
    <row r="74" spans="2:59">
      <c r="B74" s="332">
        <v>59</v>
      </c>
      <c r="C74" s="350">
        <v>144260069.53204161</v>
      </c>
      <c r="D74" s="350">
        <v>145443290.69055709</v>
      </c>
      <c r="E74" s="350">
        <v>146576933.15455714</v>
      </c>
      <c r="F74" s="350">
        <v>147713269.46446759</v>
      </c>
      <c r="G74" s="350">
        <v>148855829.42684779</v>
      </c>
      <c r="H74" s="348">
        <v>732849392.26847112</v>
      </c>
      <c r="I74" s="369"/>
      <c r="J74" s="350">
        <v>174885147.43775278</v>
      </c>
      <c r="K74" s="350">
        <v>207286728.29121447</v>
      </c>
      <c r="L74" s="350">
        <v>240110946.10827765</v>
      </c>
      <c r="M74" s="350">
        <v>273422891.0929879</v>
      </c>
      <c r="N74" s="350">
        <v>307231569.29032117</v>
      </c>
      <c r="O74" s="348">
        <v>1202937282.2205539</v>
      </c>
      <c r="P74" s="369"/>
      <c r="Q74" s="350">
        <f t="shared" si="44"/>
        <v>30625077.905711174</v>
      </c>
      <c r="R74" s="350">
        <f t="shared" si="45"/>
        <v>61843437.600657374</v>
      </c>
      <c r="S74" s="350">
        <f t="shared" si="46"/>
        <v>93534012.95372051</v>
      </c>
      <c r="T74" s="350">
        <f t="shared" si="47"/>
        <v>125709621.62852031</v>
      </c>
      <c r="U74" s="350">
        <f t="shared" si="48"/>
        <v>158375739.86347339</v>
      </c>
      <c r="V74" s="350">
        <f t="shared" si="49"/>
        <v>470087889.95208275</v>
      </c>
      <c r="W74" s="365"/>
      <c r="X74" s="377">
        <f t="shared" si="28"/>
        <v>0</v>
      </c>
      <c r="Y74" s="377">
        <f t="shared" si="29"/>
        <v>0</v>
      </c>
      <c r="Z74" s="377">
        <f t="shared" si="30"/>
        <v>0</v>
      </c>
      <c r="AA74" s="377">
        <f t="shared" si="31"/>
        <v>0</v>
      </c>
      <c r="AB74" s="377">
        <f t="shared" si="32"/>
        <v>0</v>
      </c>
      <c r="AC74" s="377">
        <f t="shared" si="33"/>
        <v>0</v>
      </c>
      <c r="AD74" s="376"/>
      <c r="AE74" s="332">
        <v>59</v>
      </c>
      <c r="AF74" s="350">
        <v>145131326.43039492</v>
      </c>
      <c r="AG74" s="350">
        <v>146321693.63840264</v>
      </c>
      <c r="AH74" s="350">
        <v>147462182.72198516</v>
      </c>
      <c r="AI74" s="350">
        <v>148605381.92092705</v>
      </c>
      <c r="AJ74" s="350">
        <v>149754842.36001039</v>
      </c>
      <c r="AK74" s="348">
        <v>737275427.07172012</v>
      </c>
      <c r="AL74" s="369"/>
      <c r="AM74" s="350">
        <v>184308317.71565801</v>
      </c>
      <c r="AN74" s="350">
        <v>225419836.0826712</v>
      </c>
      <c r="AO74" s="350">
        <v>267085325.4456695</v>
      </c>
      <c r="AP74" s="350">
        <v>309373770.16020501</v>
      </c>
      <c r="AQ74" s="350">
        <v>352295724.54603034</v>
      </c>
      <c r="AR74" s="348">
        <v>1338482973.9502342</v>
      </c>
      <c r="AS74" s="369"/>
      <c r="AT74" s="350">
        <f t="shared" si="50"/>
        <v>39176991.285263091</v>
      </c>
      <c r="AU74" s="350">
        <f t="shared" si="34"/>
        <v>79098142.444268554</v>
      </c>
      <c r="AV74" s="350">
        <f t="shared" si="35"/>
        <v>119623142.72368434</v>
      </c>
      <c r="AW74" s="350">
        <f t="shared" si="36"/>
        <v>160768388.23927796</v>
      </c>
      <c r="AX74" s="350">
        <f t="shared" si="37"/>
        <v>202540882.18601996</v>
      </c>
      <c r="AY74" s="350">
        <f t="shared" si="38"/>
        <v>601207546.87851405</v>
      </c>
      <c r="AZ74" s="365"/>
      <c r="BA74" s="377">
        <f t="shared" si="51"/>
        <v>0</v>
      </c>
      <c r="BB74" s="377">
        <f t="shared" si="39"/>
        <v>0</v>
      </c>
      <c r="BC74" s="377">
        <f t="shared" si="40"/>
        <v>0</v>
      </c>
      <c r="BD74" s="377">
        <f t="shared" si="41"/>
        <v>0</v>
      </c>
      <c r="BE74" s="377">
        <f t="shared" si="42"/>
        <v>0</v>
      </c>
      <c r="BF74" s="377">
        <f t="shared" si="43"/>
        <v>0</v>
      </c>
      <c r="BG74" s="328"/>
    </row>
    <row r="75" spans="2:59">
      <c r="B75" s="332">
        <v>60</v>
      </c>
      <c r="C75" s="350">
        <v>131097753.65622026</v>
      </c>
      <c r="D75" s="350">
        <v>132173017.49369842</v>
      </c>
      <c r="E75" s="350">
        <v>133203226.20607328</v>
      </c>
      <c r="F75" s="350">
        <v>134235882.97735101</v>
      </c>
      <c r="G75" s="350">
        <v>135274195.55387661</v>
      </c>
      <c r="H75" s="348">
        <v>665984075.88721955</v>
      </c>
      <c r="I75" s="369"/>
      <c r="J75" s="350">
        <v>164201851.27928987</v>
      </c>
      <c r="K75" s="350">
        <v>199030895.14769173</v>
      </c>
      <c r="L75" s="350">
        <v>234325454.73978949</v>
      </c>
      <c r="M75" s="350">
        <v>270146888.92486638</v>
      </c>
      <c r="N75" s="350">
        <v>306504326.2533502</v>
      </c>
      <c r="O75" s="348">
        <v>1174209416.3449876</v>
      </c>
      <c r="P75" s="369"/>
      <c r="Q75" s="350">
        <f t="shared" si="44"/>
        <v>33104097.623069614</v>
      </c>
      <c r="R75" s="350">
        <f t="shared" si="45"/>
        <v>66857877.653993309</v>
      </c>
      <c r="S75" s="350">
        <f t="shared" si="46"/>
        <v>101122228.5337162</v>
      </c>
      <c r="T75" s="350">
        <f t="shared" si="47"/>
        <v>135911005.94751537</v>
      </c>
      <c r="U75" s="350">
        <f t="shared" si="48"/>
        <v>171230130.69947359</v>
      </c>
      <c r="V75" s="350">
        <f t="shared" si="49"/>
        <v>508225340.45776808</v>
      </c>
      <c r="W75" s="365"/>
      <c r="X75" s="377">
        <f t="shared" si="28"/>
        <v>0</v>
      </c>
      <c r="Y75" s="377">
        <f t="shared" si="29"/>
        <v>0</v>
      </c>
      <c r="Z75" s="377">
        <f t="shared" si="30"/>
        <v>0</v>
      </c>
      <c r="AA75" s="377">
        <f t="shared" si="31"/>
        <v>0</v>
      </c>
      <c r="AB75" s="377">
        <f t="shared" si="32"/>
        <v>0</v>
      </c>
      <c r="AC75" s="377">
        <f t="shared" si="33"/>
        <v>0</v>
      </c>
      <c r="AD75" s="376"/>
      <c r="AE75" s="332">
        <v>60</v>
      </c>
      <c r="AF75" s="350">
        <v>124605965.53688921</v>
      </c>
      <c r="AG75" s="350">
        <v>125627983.72514299</v>
      </c>
      <c r="AH75" s="350">
        <v>126607177.85875574</v>
      </c>
      <c r="AI75" s="350">
        <v>127588698.82661837</v>
      </c>
      <c r="AJ75" s="350">
        <v>128575595.53170106</v>
      </c>
      <c r="AK75" s="348">
        <v>633005421.47910738</v>
      </c>
      <c r="AL75" s="369"/>
      <c r="AM75" s="350">
        <v>155244698.11373237</v>
      </c>
      <c r="AN75" s="350">
        <v>187507295.24942923</v>
      </c>
      <c r="AO75" s="350">
        <v>220199623.92120895</v>
      </c>
      <c r="AP75" s="350">
        <v>253379658.85772979</v>
      </c>
      <c r="AQ75" s="350">
        <v>287055928.90898371</v>
      </c>
      <c r="AR75" s="348">
        <v>1103387205.051084</v>
      </c>
      <c r="AS75" s="369"/>
      <c r="AT75" s="350">
        <f t="shared" si="50"/>
        <v>30638732.576843157</v>
      </c>
      <c r="AU75" s="350">
        <f t="shared" si="34"/>
        <v>61879311.52428624</v>
      </c>
      <c r="AV75" s="350">
        <f t="shared" si="35"/>
        <v>93592446.06245321</v>
      </c>
      <c r="AW75" s="350">
        <f t="shared" si="36"/>
        <v>125790960.03111142</v>
      </c>
      <c r="AX75" s="350">
        <f t="shared" si="37"/>
        <v>158480333.37728265</v>
      </c>
      <c r="AY75" s="350">
        <f t="shared" si="38"/>
        <v>470381783.57197666</v>
      </c>
      <c r="AZ75" s="365"/>
      <c r="BA75" s="377">
        <f t="shared" si="51"/>
        <v>0</v>
      </c>
      <c r="BB75" s="377">
        <f t="shared" si="39"/>
        <v>0</v>
      </c>
      <c r="BC75" s="377">
        <f t="shared" si="40"/>
        <v>0</v>
      </c>
      <c r="BD75" s="377">
        <f t="shared" si="41"/>
        <v>0</v>
      </c>
      <c r="BE75" s="377">
        <f t="shared" si="42"/>
        <v>0</v>
      </c>
      <c r="BF75" s="377">
        <f t="shared" si="43"/>
        <v>0</v>
      </c>
      <c r="BG75" s="328"/>
    </row>
    <row r="76" spans="2:59">
      <c r="B76" s="332">
        <v>61</v>
      </c>
      <c r="C76" s="350">
        <v>103906743.44620928</v>
      </c>
      <c r="D76" s="350">
        <v>104758986.60508761</v>
      </c>
      <c r="E76" s="350">
        <v>105575519.53099488</v>
      </c>
      <c r="F76" s="350">
        <v>106393992.76343884</v>
      </c>
      <c r="G76" s="350">
        <v>107216948.72948027</v>
      </c>
      <c r="H76" s="348">
        <v>527852191.07521087</v>
      </c>
      <c r="I76" s="369"/>
      <c r="J76" s="350">
        <v>140009990.09784454</v>
      </c>
      <c r="K76" s="350">
        <v>177643603.04622591</v>
      </c>
      <c r="L76" s="350">
        <v>215797858.86772648</v>
      </c>
      <c r="M76" s="350">
        <v>254525517.38758436</v>
      </c>
      <c r="N76" s="350">
        <v>293835573.6038875</v>
      </c>
      <c r="O76" s="348">
        <v>1081812543.0032687</v>
      </c>
      <c r="P76" s="369"/>
      <c r="Q76" s="350">
        <f t="shared" si="44"/>
        <v>36103246.651635259</v>
      </c>
      <c r="R76" s="350">
        <f t="shared" si="45"/>
        <v>72884616.441138297</v>
      </c>
      <c r="S76" s="350">
        <f t="shared" si="46"/>
        <v>110222339.3367316</v>
      </c>
      <c r="T76" s="350">
        <f t="shared" si="47"/>
        <v>148131524.62414551</v>
      </c>
      <c r="U76" s="350">
        <f t="shared" si="48"/>
        <v>186618624.87440723</v>
      </c>
      <c r="V76" s="350">
        <f t="shared" si="49"/>
        <v>553960351.92805791</v>
      </c>
      <c r="W76" s="365"/>
      <c r="X76" s="377">
        <f t="shared" si="28"/>
        <v>0</v>
      </c>
      <c r="Y76" s="377">
        <f t="shared" si="29"/>
        <v>0</v>
      </c>
      <c r="Z76" s="377">
        <f t="shared" si="30"/>
        <v>0</v>
      </c>
      <c r="AA76" s="377">
        <f t="shared" si="31"/>
        <v>0</v>
      </c>
      <c r="AB76" s="377">
        <f t="shared" si="32"/>
        <v>0</v>
      </c>
      <c r="AC76" s="377">
        <f t="shared" si="33"/>
        <v>0</v>
      </c>
      <c r="AD76" s="376"/>
      <c r="AE76" s="332">
        <v>61</v>
      </c>
      <c r="AF76" s="350">
        <v>150032127.53135663</v>
      </c>
      <c r="AG76" s="350">
        <v>151262691.11231184</v>
      </c>
      <c r="AH76" s="350">
        <v>152441692.2821126</v>
      </c>
      <c r="AI76" s="350">
        <v>153623495.08256897</v>
      </c>
      <c r="AJ76" s="350">
        <v>154811770.55300307</v>
      </c>
      <c r="AK76" s="348">
        <v>762171776.56135309</v>
      </c>
      <c r="AL76" s="369"/>
      <c r="AM76" s="350">
        <v>190246274.85850936</v>
      </c>
      <c r="AN76" s="350">
        <v>232487680.22355384</v>
      </c>
      <c r="AO76" s="350">
        <v>275297870.20082921</v>
      </c>
      <c r="AP76" s="350">
        <v>318748040.83655882</v>
      </c>
      <c r="AQ76" s="350">
        <v>362849056.77667439</v>
      </c>
      <c r="AR76" s="348">
        <v>1379628922.8961258</v>
      </c>
      <c r="AS76" s="369"/>
      <c r="AT76" s="350">
        <f t="shared" si="50"/>
        <v>40214147.327152729</v>
      </c>
      <c r="AU76" s="350">
        <f t="shared" si="34"/>
        <v>81224989.111241996</v>
      </c>
      <c r="AV76" s="350">
        <f t="shared" si="35"/>
        <v>122856177.91871661</v>
      </c>
      <c r="AW76" s="350">
        <f t="shared" si="36"/>
        <v>165124545.75398985</v>
      </c>
      <c r="AX76" s="350">
        <f t="shared" si="37"/>
        <v>208037286.22367132</v>
      </c>
      <c r="AY76" s="350">
        <f t="shared" si="38"/>
        <v>617457146.33477271</v>
      </c>
      <c r="AZ76" s="365"/>
      <c r="BA76" s="377">
        <f t="shared" si="51"/>
        <v>0</v>
      </c>
      <c r="BB76" s="377">
        <f t="shared" si="39"/>
        <v>0</v>
      </c>
      <c r="BC76" s="377">
        <f t="shared" si="40"/>
        <v>0</v>
      </c>
      <c r="BD76" s="377">
        <f t="shared" si="41"/>
        <v>0</v>
      </c>
      <c r="BE76" s="377">
        <f t="shared" si="42"/>
        <v>0</v>
      </c>
      <c r="BF76" s="377">
        <f t="shared" si="43"/>
        <v>0</v>
      </c>
      <c r="BG76" s="328"/>
    </row>
    <row r="77" spans="2:59">
      <c r="B77" s="332">
        <v>62</v>
      </c>
      <c r="C77" s="350">
        <v>134367606.39820758</v>
      </c>
      <c r="D77" s="350">
        <v>135469689.56942171</v>
      </c>
      <c r="E77" s="350">
        <v>136525593.84628206</v>
      </c>
      <c r="F77" s="350">
        <v>137584007.24176517</v>
      </c>
      <c r="G77" s="350">
        <v>138648217.51013294</v>
      </c>
      <c r="H77" s="348">
        <v>682595114.56580949</v>
      </c>
      <c r="I77" s="369"/>
      <c r="J77" s="350">
        <v>166323004.92285243</v>
      </c>
      <c r="K77" s="350">
        <v>200028999.77016482</v>
      </c>
      <c r="L77" s="350">
        <v>234182003.16741294</v>
      </c>
      <c r="M77" s="350">
        <v>268844079.21371889</v>
      </c>
      <c r="N77" s="350">
        <v>304024234.28050971</v>
      </c>
      <c r="O77" s="348">
        <v>1173402321.3546588</v>
      </c>
      <c r="P77" s="369"/>
      <c r="Q77" s="350">
        <f t="shared" si="44"/>
        <v>31955398.524644852</v>
      </c>
      <c r="R77" s="350">
        <f t="shared" si="45"/>
        <v>64559310.200743109</v>
      </c>
      <c r="S77" s="350">
        <f t="shared" si="46"/>
        <v>97656409.321130872</v>
      </c>
      <c r="T77" s="350">
        <f t="shared" si="47"/>
        <v>131260071.97195372</v>
      </c>
      <c r="U77" s="350">
        <f t="shared" si="48"/>
        <v>165376016.77037677</v>
      </c>
      <c r="V77" s="350">
        <f t="shared" si="49"/>
        <v>490807206.78884935</v>
      </c>
      <c r="W77" s="365"/>
      <c r="X77" s="377">
        <f t="shared" si="28"/>
        <v>0</v>
      </c>
      <c r="Y77" s="377">
        <f t="shared" si="29"/>
        <v>0</v>
      </c>
      <c r="Z77" s="377">
        <f t="shared" si="30"/>
        <v>0</v>
      </c>
      <c r="AA77" s="377">
        <f t="shared" si="31"/>
        <v>0</v>
      </c>
      <c r="AB77" s="377">
        <f t="shared" si="32"/>
        <v>0</v>
      </c>
      <c r="AC77" s="377">
        <f t="shared" si="33"/>
        <v>0</v>
      </c>
      <c r="AD77" s="376"/>
      <c r="AE77" s="332">
        <v>62</v>
      </c>
      <c r="AF77" s="350">
        <v>125820588.20600948</v>
      </c>
      <c r="AG77" s="350">
        <v>126852568.7299697</v>
      </c>
      <c r="AH77" s="350">
        <v>127841307.76287383</v>
      </c>
      <c r="AI77" s="350">
        <v>128832396.3113306</v>
      </c>
      <c r="AJ77" s="350">
        <v>129828912.9981285</v>
      </c>
      <c r="AK77" s="348">
        <v>639175774.00831211</v>
      </c>
      <c r="AL77" s="369"/>
      <c r="AM77" s="350">
        <v>155663638.69069088</v>
      </c>
      <c r="AN77" s="350">
        <v>187141778.82217816</v>
      </c>
      <c r="AO77" s="350">
        <v>219037224.20900732</v>
      </c>
      <c r="AP77" s="350">
        <v>251408057.60349494</v>
      </c>
      <c r="AQ77" s="350">
        <v>284262697.84078246</v>
      </c>
      <c r="AR77" s="348">
        <v>1097513397.1661537</v>
      </c>
      <c r="AS77" s="369"/>
      <c r="AT77" s="350">
        <f t="shared" si="50"/>
        <v>29843050.484681398</v>
      </c>
      <c r="AU77" s="350">
        <f t="shared" si="34"/>
        <v>60289210.09220846</v>
      </c>
      <c r="AV77" s="350">
        <f t="shared" si="35"/>
        <v>91195916.446133494</v>
      </c>
      <c r="AW77" s="350">
        <f t="shared" si="36"/>
        <v>122575661.29216434</v>
      </c>
      <c r="AX77" s="350">
        <f t="shared" si="37"/>
        <v>154433784.84265396</v>
      </c>
      <c r="AY77" s="350">
        <f t="shared" si="38"/>
        <v>458337623.15784156</v>
      </c>
      <c r="AZ77" s="365"/>
      <c r="BA77" s="377">
        <f t="shared" si="51"/>
        <v>0</v>
      </c>
      <c r="BB77" s="377">
        <f t="shared" si="39"/>
        <v>0</v>
      </c>
      <c r="BC77" s="377">
        <f t="shared" si="40"/>
        <v>0</v>
      </c>
      <c r="BD77" s="377">
        <f t="shared" si="41"/>
        <v>0</v>
      </c>
      <c r="BE77" s="377">
        <f t="shared" si="42"/>
        <v>0</v>
      </c>
      <c r="BF77" s="377">
        <f t="shared" si="43"/>
        <v>0</v>
      </c>
      <c r="BG77" s="328"/>
    </row>
    <row r="78" spans="2:59">
      <c r="B78" s="332">
        <v>63</v>
      </c>
      <c r="C78" s="350">
        <v>125839188.04091282</v>
      </c>
      <c r="D78" s="350">
        <v>126871321.12072775</v>
      </c>
      <c r="E78" s="350">
        <v>127860206.31717345</v>
      </c>
      <c r="F78" s="350">
        <v>128851441.37649649</v>
      </c>
      <c r="G78" s="350">
        <v>129848105.37659284</v>
      </c>
      <c r="H78" s="348">
        <v>639270262.23190331</v>
      </c>
      <c r="I78" s="369"/>
      <c r="J78" s="350">
        <v>158101833.43543655</v>
      </c>
      <c r="K78" s="350">
        <v>192043749.45689952</v>
      </c>
      <c r="L78" s="350">
        <v>226440228.32456309</v>
      </c>
      <c r="M78" s="350">
        <v>261350372.0571906</v>
      </c>
      <c r="N78" s="350">
        <v>296783032.17182559</v>
      </c>
      <c r="O78" s="348">
        <v>1134719215.4459155</v>
      </c>
      <c r="P78" s="369"/>
      <c r="Q78" s="350">
        <f t="shared" si="44"/>
        <v>32262645.394523725</v>
      </c>
      <c r="R78" s="350">
        <f t="shared" si="45"/>
        <v>65172428.336171776</v>
      </c>
      <c r="S78" s="350">
        <f t="shared" si="46"/>
        <v>98580022.007389635</v>
      </c>
      <c r="T78" s="350">
        <f t="shared" si="47"/>
        <v>132498930.6806941</v>
      </c>
      <c r="U78" s="350">
        <f t="shared" si="48"/>
        <v>166934926.79523274</v>
      </c>
      <c r="V78" s="350">
        <f t="shared" si="49"/>
        <v>495448953.21401215</v>
      </c>
      <c r="W78" s="365"/>
      <c r="X78" s="377">
        <f t="shared" si="28"/>
        <v>0</v>
      </c>
      <c r="Y78" s="377">
        <f t="shared" si="29"/>
        <v>0</v>
      </c>
      <c r="Z78" s="377">
        <f t="shared" si="30"/>
        <v>0</v>
      </c>
      <c r="AA78" s="377">
        <f t="shared" si="31"/>
        <v>0</v>
      </c>
      <c r="AB78" s="377">
        <f t="shared" si="32"/>
        <v>0</v>
      </c>
      <c r="AC78" s="377">
        <f t="shared" si="33"/>
        <v>0</v>
      </c>
      <c r="AD78" s="376"/>
      <c r="AE78" s="332">
        <v>63</v>
      </c>
      <c r="AF78" s="350">
        <v>110399043.22547165</v>
      </c>
      <c r="AG78" s="350">
        <v>111304536.23020938</v>
      </c>
      <c r="AH78" s="350">
        <v>112172087.75566857</v>
      </c>
      <c r="AI78" s="350">
        <v>113041700.821872</v>
      </c>
      <c r="AJ78" s="350">
        <v>113916076.71177469</v>
      </c>
      <c r="AK78" s="348">
        <v>560833444.74499631</v>
      </c>
      <c r="AL78" s="369"/>
      <c r="AM78" s="350">
        <v>145723016.35384402</v>
      </c>
      <c r="AN78" s="350">
        <v>182640178.75180137</v>
      </c>
      <c r="AO78" s="350">
        <v>220064121.53345251</v>
      </c>
      <c r="AP78" s="350">
        <v>258049632.22215179</v>
      </c>
      <c r="AQ78" s="350">
        <v>296605729.09131104</v>
      </c>
      <c r="AR78" s="348">
        <v>1103082677.9525607</v>
      </c>
      <c r="AS78" s="369"/>
      <c r="AT78" s="350">
        <f t="shared" si="50"/>
        <v>35323973.128372371</v>
      </c>
      <c r="AU78" s="350">
        <f t="shared" si="34"/>
        <v>71335642.521591991</v>
      </c>
      <c r="AV78" s="350">
        <f t="shared" si="35"/>
        <v>107892033.77778395</v>
      </c>
      <c r="AW78" s="350">
        <f t="shared" si="36"/>
        <v>145007931.40027979</v>
      </c>
      <c r="AX78" s="350">
        <f t="shared" si="37"/>
        <v>182689652.37953633</v>
      </c>
      <c r="AY78" s="350">
        <f t="shared" si="38"/>
        <v>542249233.20756435</v>
      </c>
      <c r="AZ78" s="365"/>
      <c r="BA78" s="377">
        <f t="shared" si="51"/>
        <v>0</v>
      </c>
      <c r="BB78" s="377">
        <f t="shared" si="39"/>
        <v>0</v>
      </c>
      <c r="BC78" s="377">
        <f t="shared" si="40"/>
        <v>0</v>
      </c>
      <c r="BD78" s="377">
        <f t="shared" si="41"/>
        <v>0</v>
      </c>
      <c r="BE78" s="377">
        <f t="shared" si="42"/>
        <v>0</v>
      </c>
      <c r="BF78" s="377">
        <f t="shared" si="43"/>
        <v>0</v>
      </c>
      <c r="BG78" s="328"/>
    </row>
    <row r="79" spans="2:59">
      <c r="B79" s="332">
        <v>64</v>
      </c>
      <c r="C79" s="350">
        <v>114003835.11739281</v>
      </c>
      <c r="D79" s="350">
        <v>114938894.62693265</v>
      </c>
      <c r="E79" s="350">
        <v>115834773.77746385</v>
      </c>
      <c r="F79" s="350">
        <v>116732781.78295818</v>
      </c>
      <c r="G79" s="350">
        <v>117635708.12969743</v>
      </c>
      <c r="H79" s="348">
        <v>579145993.4344449</v>
      </c>
      <c r="I79" s="369"/>
      <c r="J79" s="350">
        <v>143509520.30482569</v>
      </c>
      <c r="K79" s="350">
        <v>174541118.20308214</v>
      </c>
      <c r="L79" s="350">
        <v>205988791.39650452</v>
      </c>
      <c r="M79" s="350">
        <v>237906199.32777485</v>
      </c>
      <c r="N79" s="350">
        <v>270301410.49622107</v>
      </c>
      <c r="O79" s="348">
        <v>1032247039.7284083</v>
      </c>
      <c r="P79" s="369"/>
      <c r="Q79" s="350">
        <f t="shared" si="44"/>
        <v>29505685.187432885</v>
      </c>
      <c r="R79" s="350">
        <f t="shared" si="45"/>
        <v>59602223.576149493</v>
      </c>
      <c r="S79" s="350">
        <f t="shared" si="46"/>
        <v>90154017.619040668</v>
      </c>
      <c r="T79" s="350">
        <f t="shared" si="47"/>
        <v>121173417.54481667</v>
      </c>
      <c r="U79" s="350">
        <f t="shared" si="48"/>
        <v>152665702.36652362</v>
      </c>
      <c r="V79" s="350">
        <f t="shared" si="49"/>
        <v>453101046.29396343</v>
      </c>
      <c r="W79" s="365"/>
      <c r="X79" s="377">
        <f t="shared" si="28"/>
        <v>0</v>
      </c>
      <c r="Y79" s="377">
        <f t="shared" si="29"/>
        <v>0</v>
      </c>
      <c r="Z79" s="377">
        <f t="shared" si="30"/>
        <v>0</v>
      </c>
      <c r="AA79" s="377">
        <f t="shared" si="31"/>
        <v>0</v>
      </c>
      <c r="AB79" s="377">
        <f t="shared" si="32"/>
        <v>0</v>
      </c>
      <c r="AC79" s="377">
        <f t="shared" si="33"/>
        <v>0</v>
      </c>
      <c r="AD79" s="376"/>
      <c r="AE79" s="332">
        <v>64</v>
      </c>
      <c r="AF79" s="350">
        <v>143661563.45591921</v>
      </c>
      <c r="AG79" s="350">
        <v>144839875.66731536</v>
      </c>
      <c r="AH79" s="350">
        <v>145968814.87624937</v>
      </c>
      <c r="AI79" s="350">
        <v>147100436.75486776</v>
      </c>
      <c r="AJ79" s="350">
        <v>148238256.46527079</v>
      </c>
      <c r="AK79" s="348">
        <v>729808947.21962249</v>
      </c>
      <c r="AL79" s="369"/>
      <c r="AM79" s="350">
        <v>176116105.47986257</v>
      </c>
      <c r="AN79" s="350">
        <v>210401347.35992593</v>
      </c>
      <c r="AO79" s="350">
        <v>245138009.76005149</v>
      </c>
      <c r="AP79" s="350">
        <v>280391733.02549607</v>
      </c>
      <c r="AQ79" s="350">
        <v>316171839.30553645</v>
      </c>
      <c r="AR79" s="348">
        <v>1228219034.9308724</v>
      </c>
      <c r="AS79" s="369"/>
      <c r="AT79" s="350">
        <f t="shared" si="50"/>
        <v>32454542.023943365</v>
      </c>
      <c r="AU79" s="350">
        <f t="shared" si="34"/>
        <v>65561471.692610562</v>
      </c>
      <c r="AV79" s="350">
        <f t="shared" si="35"/>
        <v>99169194.883802116</v>
      </c>
      <c r="AW79" s="350">
        <f t="shared" si="36"/>
        <v>133291296.2706283</v>
      </c>
      <c r="AX79" s="350">
        <f t="shared" si="37"/>
        <v>167933582.84026566</v>
      </c>
      <c r="AY79" s="350">
        <f t="shared" si="38"/>
        <v>498410087.71124995</v>
      </c>
      <c r="AZ79" s="365"/>
      <c r="BA79" s="377">
        <f t="shared" si="51"/>
        <v>0</v>
      </c>
      <c r="BB79" s="377">
        <f t="shared" si="39"/>
        <v>0</v>
      </c>
      <c r="BC79" s="377">
        <f t="shared" si="40"/>
        <v>0</v>
      </c>
      <c r="BD79" s="377">
        <f t="shared" si="41"/>
        <v>0</v>
      </c>
      <c r="BE79" s="377">
        <f t="shared" si="42"/>
        <v>0</v>
      </c>
      <c r="BF79" s="377">
        <f t="shared" si="43"/>
        <v>0</v>
      </c>
      <c r="BG79" s="328"/>
    </row>
    <row r="80" spans="2:59">
      <c r="B80" s="332">
        <v>65</v>
      </c>
      <c r="C80" s="350">
        <v>139067006.49317136</v>
      </c>
      <c r="D80" s="350">
        <v>140207634.1461865</v>
      </c>
      <c r="E80" s="350">
        <v>141300467.83477011</v>
      </c>
      <c r="F80" s="350">
        <v>142395898.39640343</v>
      </c>
      <c r="G80" s="350">
        <v>143497328.57193696</v>
      </c>
      <c r="H80" s="348">
        <v>706468335.4424684</v>
      </c>
      <c r="I80" s="369"/>
      <c r="J80" s="350">
        <v>180780110.45637089</v>
      </c>
      <c r="K80" s="350">
        <v>224434485.26741445</v>
      </c>
      <c r="L80" s="350">
        <v>268684134.80319577</v>
      </c>
      <c r="M80" s="350">
        <v>313596907.8771556</v>
      </c>
      <c r="N80" s="350">
        <v>359183665.04368472</v>
      </c>
      <c r="O80" s="348">
        <v>1346679303.4478214</v>
      </c>
      <c r="P80" s="369"/>
      <c r="Q80" s="350">
        <f t="shared" si="44"/>
        <v>41713103.963199526</v>
      </c>
      <c r="R80" s="350">
        <f t="shared" si="45"/>
        <v>84226851.12122795</v>
      </c>
      <c r="S80" s="350">
        <f t="shared" si="46"/>
        <v>127383666.96842566</v>
      </c>
      <c r="T80" s="350">
        <f t="shared" si="47"/>
        <v>171201009.48075217</v>
      </c>
      <c r="U80" s="350">
        <f t="shared" si="48"/>
        <v>215686336.47174776</v>
      </c>
      <c r="V80" s="350">
        <f t="shared" si="49"/>
        <v>640210968.00535297</v>
      </c>
      <c r="W80" s="365"/>
      <c r="X80" s="377">
        <f t="shared" ref="X80:X143" si="52">IF(Q80&lt;Q$8,1,0)</f>
        <v>0</v>
      </c>
      <c r="Y80" s="377">
        <f t="shared" ref="Y80:Y143" si="53">IF(R80&lt;R$8,1,0)</f>
        <v>0</v>
      </c>
      <c r="Z80" s="377">
        <f t="shared" ref="Z80:Z143" si="54">IF(S80&lt;S$8,1,0)</f>
        <v>0</v>
      </c>
      <c r="AA80" s="377">
        <f t="shared" ref="AA80:AA143" si="55">IF(T80&lt;T$8,1,0)</f>
        <v>0</v>
      </c>
      <c r="AB80" s="377">
        <f t="shared" ref="AB80:AB143" si="56">IF(U80&lt;U$8,1,0)</f>
        <v>0</v>
      </c>
      <c r="AC80" s="377">
        <f t="shared" ref="AC80:AC143" si="57">IF(V80&lt;V$8,1,0)</f>
        <v>0</v>
      </c>
      <c r="AD80" s="376"/>
      <c r="AE80" s="332">
        <v>65</v>
      </c>
      <c r="AF80" s="350">
        <v>147021781.95934215</v>
      </c>
      <c r="AG80" s="350">
        <v>148227654.68449226</v>
      </c>
      <c r="AH80" s="350">
        <v>149382999.58140463</v>
      </c>
      <c r="AI80" s="350">
        <v>150541089.89516973</v>
      </c>
      <c r="AJ80" s="350">
        <v>151705523.00690633</v>
      </c>
      <c r="AK80" s="348">
        <v>746879049.12731504</v>
      </c>
      <c r="AL80" s="369"/>
      <c r="AM80" s="350">
        <v>175636256.05169356</v>
      </c>
      <c r="AN80" s="350">
        <v>206039713.85477221</v>
      </c>
      <c r="AO80" s="350">
        <v>236834306.12660742</v>
      </c>
      <c r="AP80" s="350">
        <v>268085283.86718935</v>
      </c>
      <c r="AQ80" s="350">
        <v>299801365.56189561</v>
      </c>
      <c r="AR80" s="348">
        <v>1186396925.4621582</v>
      </c>
      <c r="AS80" s="369"/>
      <c r="AT80" s="350">
        <f t="shared" si="50"/>
        <v>28614474.092351407</v>
      </c>
      <c r="AU80" s="350">
        <f t="shared" ref="AU80:AU143" si="58">AN80-AG80</f>
        <v>57812059.17027995</v>
      </c>
      <c r="AV80" s="350">
        <f t="shared" ref="AV80:AV143" si="59">AO80-AH80</f>
        <v>87451306.545202792</v>
      </c>
      <c r="AW80" s="350">
        <f t="shared" ref="AW80:AW143" si="60">AP80-AI80</f>
        <v>117544193.97201961</v>
      </c>
      <c r="AX80" s="350">
        <f t="shared" ref="AX80:AX143" si="61">AQ80-AJ80</f>
        <v>148095842.55498928</v>
      </c>
      <c r="AY80" s="350">
        <f t="shared" ref="AY80:AY143" si="62">AR80-AK80</f>
        <v>439517876.33484316</v>
      </c>
      <c r="AZ80" s="365"/>
      <c r="BA80" s="377">
        <f t="shared" ref="BA80:BA143" si="63">IF(AT80&lt;AT$8,1,0)</f>
        <v>0</v>
      </c>
      <c r="BB80" s="377">
        <f t="shared" ref="BB80:BB143" si="64">IF(AU80&lt;AU$8,1,0)</f>
        <v>0</v>
      </c>
      <c r="BC80" s="377">
        <f t="shared" ref="BC80:BC143" si="65">IF(AV80&lt;AV$8,1,0)</f>
        <v>0</v>
      </c>
      <c r="BD80" s="377">
        <f t="shared" ref="BD80:BD143" si="66">IF(AW80&lt;AW$8,1,0)</f>
        <v>0</v>
      </c>
      <c r="BE80" s="377">
        <f t="shared" ref="BE80:BE143" si="67">IF(AX80&lt;AX$8,1,0)</f>
        <v>0</v>
      </c>
      <c r="BF80" s="377">
        <f t="shared" ref="BF80:BF143" si="68">IF(AY80&lt;AY$8,1,0)</f>
        <v>0</v>
      </c>
      <c r="BG80" s="328"/>
    </row>
    <row r="81" spans="2:59">
      <c r="B81" s="332">
        <v>66</v>
      </c>
      <c r="C81" s="350">
        <v>141045083.28364739</v>
      </c>
      <c r="D81" s="350">
        <v>142201935.12343335</v>
      </c>
      <c r="E81" s="350">
        <v>143310313.18166831</v>
      </c>
      <c r="F81" s="350">
        <v>144421325.05064535</v>
      </c>
      <c r="G81" s="350">
        <v>145538421.87149972</v>
      </c>
      <c r="H81" s="348">
        <v>716517078.51089406</v>
      </c>
      <c r="I81" s="369"/>
      <c r="J81" s="350">
        <v>178975541.80102414</v>
      </c>
      <c r="K81" s="350">
        <v>218815072.07351965</v>
      </c>
      <c r="L81" s="350">
        <v>259191259.17742249</v>
      </c>
      <c r="M81" s="350">
        <v>300171086.89299351</v>
      </c>
      <c r="N81" s="350">
        <v>341764791.57332218</v>
      </c>
      <c r="O81" s="348">
        <v>1298917751.5182819</v>
      </c>
      <c r="P81" s="369"/>
      <c r="Q81" s="350">
        <f t="shared" ref="Q81:Q144" si="69">J81-C81</f>
        <v>37930458.517376751</v>
      </c>
      <c r="R81" s="350">
        <f t="shared" ref="R81:R144" si="70">K81-D81</f>
        <v>76613136.950086296</v>
      </c>
      <c r="S81" s="350">
        <f t="shared" ref="S81:S144" si="71">L81-E81</f>
        <v>115880945.99575418</v>
      </c>
      <c r="T81" s="350">
        <f t="shared" ref="T81:T144" si="72">M81-F81</f>
        <v>155749761.84234816</v>
      </c>
      <c r="U81" s="350">
        <f t="shared" ref="U81:U144" si="73">N81-G81</f>
        <v>196226369.70182246</v>
      </c>
      <c r="V81" s="350">
        <f t="shared" ref="V81:V144" si="74">O81-H81</f>
        <v>582400673.00738788</v>
      </c>
      <c r="W81" s="365"/>
      <c r="X81" s="377">
        <f t="shared" si="52"/>
        <v>0</v>
      </c>
      <c r="Y81" s="377">
        <f t="shared" si="53"/>
        <v>0</v>
      </c>
      <c r="Z81" s="377">
        <f t="shared" si="54"/>
        <v>0</v>
      </c>
      <c r="AA81" s="377">
        <f t="shared" si="55"/>
        <v>0</v>
      </c>
      <c r="AB81" s="377">
        <f t="shared" si="56"/>
        <v>0</v>
      </c>
      <c r="AC81" s="377">
        <f t="shared" si="57"/>
        <v>0</v>
      </c>
      <c r="AD81" s="376"/>
      <c r="AE81" s="332">
        <v>66</v>
      </c>
      <c r="AF81" s="350">
        <v>110517474.45997578</v>
      </c>
      <c r="AG81" s="350">
        <v>111423938.83775494</v>
      </c>
      <c r="AH81" s="350">
        <v>112292421.03430648</v>
      </c>
      <c r="AI81" s="350">
        <v>113162966.98313248</v>
      </c>
      <c r="AJ81" s="350">
        <v>114038280.86500534</v>
      </c>
      <c r="AK81" s="348">
        <v>561435082.18017507</v>
      </c>
      <c r="AL81" s="369"/>
      <c r="AM81" s="350">
        <v>136051260.00484878</v>
      </c>
      <c r="AN81" s="350">
        <v>163018482.83380789</v>
      </c>
      <c r="AO81" s="350">
        <v>190341939.0993771</v>
      </c>
      <c r="AP81" s="350">
        <v>218072363.31114277</v>
      </c>
      <c r="AQ81" s="350">
        <v>246217030.41999841</v>
      </c>
      <c r="AR81" s="348">
        <v>953701075.66917491</v>
      </c>
      <c r="AS81" s="369"/>
      <c r="AT81" s="350">
        <f t="shared" ref="AT81:AT144" si="75">AM81-AF81</f>
        <v>25533785.544872999</v>
      </c>
      <c r="AU81" s="350">
        <f t="shared" si="58"/>
        <v>51594543.996052951</v>
      </c>
      <c r="AV81" s="350">
        <f t="shared" si="59"/>
        <v>78049518.065070614</v>
      </c>
      <c r="AW81" s="350">
        <f t="shared" si="60"/>
        <v>104909396.32801029</v>
      </c>
      <c r="AX81" s="350">
        <f t="shared" si="61"/>
        <v>132178749.55499306</v>
      </c>
      <c r="AY81" s="350">
        <f t="shared" si="62"/>
        <v>392265993.48899984</v>
      </c>
      <c r="AZ81" s="365"/>
      <c r="BA81" s="377">
        <f t="shared" si="63"/>
        <v>0</v>
      </c>
      <c r="BB81" s="377">
        <f t="shared" si="64"/>
        <v>0</v>
      </c>
      <c r="BC81" s="377">
        <f t="shared" si="65"/>
        <v>0</v>
      </c>
      <c r="BD81" s="377">
        <f t="shared" si="66"/>
        <v>0</v>
      </c>
      <c r="BE81" s="377">
        <f t="shared" si="67"/>
        <v>0</v>
      </c>
      <c r="BF81" s="377">
        <f t="shared" si="68"/>
        <v>0</v>
      </c>
      <c r="BG81" s="328"/>
    </row>
    <row r="82" spans="2:59">
      <c r="B82" s="332">
        <v>67</v>
      </c>
      <c r="C82" s="350">
        <v>151344252.84125766</v>
      </c>
      <c r="D82" s="350">
        <v>152585578.47462511</v>
      </c>
      <c r="E82" s="350">
        <v>153774890.75112519</v>
      </c>
      <c r="F82" s="350">
        <v>154967029.16030288</v>
      </c>
      <c r="G82" s="350">
        <v>156165696.84702784</v>
      </c>
      <c r="H82" s="348">
        <v>768837448.07433867</v>
      </c>
      <c r="I82" s="369"/>
      <c r="J82" s="350">
        <v>187037221.61232167</v>
      </c>
      <c r="K82" s="350">
        <v>224678526.32215098</v>
      </c>
      <c r="L82" s="350">
        <v>262818418.82184252</v>
      </c>
      <c r="M82" s="350">
        <v>301526678.21780938</v>
      </c>
      <c r="N82" s="350">
        <v>340813392.48451412</v>
      </c>
      <c r="O82" s="348">
        <v>1316874237.4586387</v>
      </c>
      <c r="P82" s="369"/>
      <c r="Q82" s="350">
        <f t="shared" si="69"/>
        <v>35692968.771064013</v>
      </c>
      <c r="R82" s="350">
        <f t="shared" si="70"/>
        <v>72092947.847525865</v>
      </c>
      <c r="S82" s="350">
        <f t="shared" si="71"/>
        <v>109043528.07071733</v>
      </c>
      <c r="T82" s="350">
        <f t="shared" si="72"/>
        <v>146559649.0575065</v>
      </c>
      <c r="U82" s="350">
        <f t="shared" si="73"/>
        <v>184647695.63748628</v>
      </c>
      <c r="V82" s="350">
        <f t="shared" si="74"/>
        <v>548036789.38429999</v>
      </c>
      <c r="W82" s="365"/>
      <c r="X82" s="377">
        <f t="shared" si="52"/>
        <v>0</v>
      </c>
      <c r="Y82" s="377">
        <f t="shared" si="53"/>
        <v>0</v>
      </c>
      <c r="Z82" s="377">
        <f t="shared" si="54"/>
        <v>0</v>
      </c>
      <c r="AA82" s="377">
        <f t="shared" si="55"/>
        <v>0</v>
      </c>
      <c r="AB82" s="377">
        <f t="shared" si="56"/>
        <v>0</v>
      </c>
      <c r="AC82" s="377">
        <f t="shared" si="57"/>
        <v>0</v>
      </c>
      <c r="AD82" s="376"/>
      <c r="AE82" s="332">
        <v>67</v>
      </c>
      <c r="AF82" s="350">
        <v>129642402.75622636</v>
      </c>
      <c r="AG82" s="350">
        <v>130705729.80493461</v>
      </c>
      <c r="AH82" s="350">
        <v>131724501.89742143</v>
      </c>
      <c r="AI82" s="350">
        <v>132745694.87226063</v>
      </c>
      <c r="AJ82" s="350">
        <v>133772480.86575502</v>
      </c>
      <c r="AK82" s="348">
        <v>658590810.19659805</v>
      </c>
      <c r="AL82" s="369"/>
      <c r="AM82" s="350">
        <v>168690626.80428284</v>
      </c>
      <c r="AN82" s="350">
        <v>209567531.25992289</v>
      </c>
      <c r="AO82" s="350">
        <v>251002113.65337902</v>
      </c>
      <c r="AP82" s="350">
        <v>293057693.36163288</v>
      </c>
      <c r="AQ82" s="350">
        <v>335744426.30616868</v>
      </c>
      <c r="AR82" s="348">
        <v>1258062391.3853865</v>
      </c>
      <c r="AS82" s="369"/>
      <c r="AT82" s="350">
        <f t="shared" si="75"/>
        <v>39048224.048056483</v>
      </c>
      <c r="AU82" s="350">
        <f t="shared" si="58"/>
        <v>78861801.454988286</v>
      </c>
      <c r="AV82" s="350">
        <f t="shared" si="59"/>
        <v>119277611.75595759</v>
      </c>
      <c r="AW82" s="350">
        <f t="shared" si="60"/>
        <v>160311998.48937225</v>
      </c>
      <c r="AX82" s="350">
        <f t="shared" si="61"/>
        <v>201971945.44041365</v>
      </c>
      <c r="AY82" s="350">
        <f t="shared" si="62"/>
        <v>599471581.18878841</v>
      </c>
      <c r="AZ82" s="365"/>
      <c r="BA82" s="377">
        <f t="shared" si="63"/>
        <v>0</v>
      </c>
      <c r="BB82" s="377">
        <f t="shared" si="64"/>
        <v>0</v>
      </c>
      <c r="BC82" s="377">
        <f t="shared" si="65"/>
        <v>0</v>
      </c>
      <c r="BD82" s="377">
        <f t="shared" si="66"/>
        <v>0</v>
      </c>
      <c r="BE82" s="377">
        <f t="shared" si="67"/>
        <v>0</v>
      </c>
      <c r="BF82" s="377">
        <f t="shared" si="68"/>
        <v>0</v>
      </c>
      <c r="BG82" s="328"/>
    </row>
    <row r="83" spans="2:59">
      <c r="B83" s="332">
        <v>68</v>
      </c>
      <c r="C83" s="350">
        <v>120145292.57885852</v>
      </c>
      <c r="D83" s="350">
        <v>121130724.32540128</v>
      </c>
      <c r="E83" s="350">
        <v>122074865.04264149</v>
      </c>
      <c r="F83" s="350">
        <v>123021249.29758495</v>
      </c>
      <c r="G83" s="350">
        <v>123972816.84787343</v>
      </c>
      <c r="H83" s="348">
        <v>610344948.09235966</v>
      </c>
      <c r="I83" s="369"/>
      <c r="J83" s="350">
        <v>151492269.13594547</v>
      </c>
      <c r="K83" s="350">
        <v>184431711.31788802</v>
      </c>
      <c r="L83" s="350">
        <v>217813205.63308972</v>
      </c>
      <c r="M83" s="350">
        <v>251693406.43901107</v>
      </c>
      <c r="N83" s="350">
        <v>286080858.78283435</v>
      </c>
      <c r="O83" s="348">
        <v>1091511451.3087685</v>
      </c>
      <c r="P83" s="369"/>
      <c r="Q83" s="350">
        <f t="shared" si="69"/>
        <v>31346976.557086945</v>
      </c>
      <c r="R83" s="350">
        <f t="shared" si="70"/>
        <v>63300986.992486745</v>
      </c>
      <c r="S83" s="350">
        <f t="shared" si="71"/>
        <v>95738340.590448231</v>
      </c>
      <c r="T83" s="350">
        <f t="shared" si="72"/>
        <v>128672157.14142612</v>
      </c>
      <c r="U83" s="350">
        <f t="shared" si="73"/>
        <v>162108041.9349609</v>
      </c>
      <c r="V83" s="350">
        <f t="shared" si="74"/>
        <v>481166503.21640885</v>
      </c>
      <c r="W83" s="365"/>
      <c r="X83" s="377">
        <f t="shared" si="52"/>
        <v>0</v>
      </c>
      <c r="Y83" s="377">
        <f t="shared" si="53"/>
        <v>0</v>
      </c>
      <c r="Z83" s="377">
        <f t="shared" si="54"/>
        <v>0</v>
      </c>
      <c r="AA83" s="377">
        <f t="shared" si="55"/>
        <v>0</v>
      </c>
      <c r="AB83" s="377">
        <f t="shared" si="56"/>
        <v>0</v>
      </c>
      <c r="AC83" s="377">
        <f t="shared" si="57"/>
        <v>0</v>
      </c>
      <c r="AD83" s="376"/>
      <c r="AE83" s="332">
        <v>68</v>
      </c>
      <c r="AF83" s="350">
        <v>139536009.01819268</v>
      </c>
      <c r="AG83" s="350">
        <v>140680483.43013978</v>
      </c>
      <c r="AH83" s="350">
        <v>141777002.69283834</v>
      </c>
      <c r="AI83" s="350">
        <v>142876127.58652312</v>
      </c>
      <c r="AJ83" s="350">
        <v>143981272.32776487</v>
      </c>
      <c r="AK83" s="348">
        <v>708850895.05545866</v>
      </c>
      <c r="AL83" s="369"/>
      <c r="AM83" s="350">
        <v>171949156.87071335</v>
      </c>
      <c r="AN83" s="350">
        <v>206155228.67293242</v>
      </c>
      <c r="AO83" s="350">
        <v>240813451.69185841</v>
      </c>
      <c r="AP83" s="350">
        <v>275987953.88166881</v>
      </c>
      <c r="AQ83" s="350">
        <v>311687948.56547523</v>
      </c>
      <c r="AR83" s="348">
        <v>1206593739.6826482</v>
      </c>
      <c r="AS83" s="369"/>
      <c r="AT83" s="350">
        <f t="shared" si="75"/>
        <v>32413147.852520674</v>
      </c>
      <c r="AU83" s="350">
        <f t="shared" si="58"/>
        <v>65474745.242792636</v>
      </c>
      <c r="AV83" s="350">
        <f t="shared" si="59"/>
        <v>99036448.99902007</v>
      </c>
      <c r="AW83" s="350">
        <f t="shared" si="60"/>
        <v>133111826.29514569</v>
      </c>
      <c r="AX83" s="350">
        <f t="shared" si="61"/>
        <v>167706676.23771036</v>
      </c>
      <c r="AY83" s="350">
        <f t="shared" si="62"/>
        <v>497742844.62718952</v>
      </c>
      <c r="AZ83" s="365"/>
      <c r="BA83" s="377">
        <f t="shared" si="63"/>
        <v>0</v>
      </c>
      <c r="BB83" s="377">
        <f t="shared" si="64"/>
        <v>0</v>
      </c>
      <c r="BC83" s="377">
        <f t="shared" si="65"/>
        <v>0</v>
      </c>
      <c r="BD83" s="377">
        <f t="shared" si="66"/>
        <v>0</v>
      </c>
      <c r="BE83" s="377">
        <f t="shared" si="67"/>
        <v>0</v>
      </c>
      <c r="BF83" s="377">
        <f t="shared" si="68"/>
        <v>0</v>
      </c>
      <c r="BG83" s="328"/>
    </row>
    <row r="84" spans="2:59">
      <c r="B84" s="332">
        <v>69</v>
      </c>
      <c r="C84" s="350">
        <v>119350857.83054504</v>
      </c>
      <c r="D84" s="350">
        <v>120329773.62290649</v>
      </c>
      <c r="E84" s="350">
        <v>121267671.41396147</v>
      </c>
      <c r="F84" s="350">
        <v>122207797.9078121</v>
      </c>
      <c r="G84" s="350">
        <v>123153073.42358901</v>
      </c>
      <c r="H84" s="348">
        <v>606309174.19881415</v>
      </c>
      <c r="I84" s="369"/>
      <c r="J84" s="350">
        <v>147277992.23249352</v>
      </c>
      <c r="K84" s="350">
        <v>176718498.30184159</v>
      </c>
      <c r="L84" s="350">
        <v>206548499.50318441</v>
      </c>
      <c r="M84" s="350">
        <v>236822930.65623724</v>
      </c>
      <c r="N84" s="350">
        <v>267549704.88308218</v>
      </c>
      <c r="O84" s="348">
        <v>1034917625.576839</v>
      </c>
      <c r="P84" s="369"/>
      <c r="Q84" s="350">
        <f t="shared" si="69"/>
        <v>27927134.401948482</v>
      </c>
      <c r="R84" s="350">
        <f t="shared" si="70"/>
        <v>56388724.678935096</v>
      </c>
      <c r="S84" s="350">
        <f t="shared" si="71"/>
        <v>85280828.089222938</v>
      </c>
      <c r="T84" s="350">
        <f t="shared" si="72"/>
        <v>114615132.74842514</v>
      </c>
      <c r="U84" s="350">
        <f t="shared" si="73"/>
        <v>144396631.45949316</v>
      </c>
      <c r="V84" s="350">
        <f t="shared" si="74"/>
        <v>428608451.37802482</v>
      </c>
      <c r="W84" s="365"/>
      <c r="X84" s="377">
        <f t="shared" si="52"/>
        <v>0</v>
      </c>
      <c r="Y84" s="377">
        <f t="shared" si="53"/>
        <v>0</v>
      </c>
      <c r="Z84" s="377">
        <f t="shared" si="54"/>
        <v>0</v>
      </c>
      <c r="AA84" s="377">
        <f t="shared" si="55"/>
        <v>0</v>
      </c>
      <c r="AB84" s="377">
        <f t="shared" si="56"/>
        <v>0</v>
      </c>
      <c r="AC84" s="377">
        <f t="shared" si="57"/>
        <v>0</v>
      </c>
      <c r="AD84" s="376"/>
      <c r="AE84" s="332">
        <v>69</v>
      </c>
      <c r="AF84" s="350">
        <v>124449156.49698272</v>
      </c>
      <c r="AG84" s="350">
        <v>125469888.53741702</v>
      </c>
      <c r="AH84" s="350">
        <v>126447850.41468224</v>
      </c>
      <c r="AI84" s="350">
        <v>127428136.19801778</v>
      </c>
      <c r="AJ84" s="350">
        <v>128413790.95353451</v>
      </c>
      <c r="AK84" s="348">
        <v>632208822.60063434</v>
      </c>
      <c r="AL84" s="369"/>
      <c r="AM84" s="350">
        <v>155574744.23052365</v>
      </c>
      <c r="AN84" s="350">
        <v>188343060.68969926</v>
      </c>
      <c r="AO84" s="350">
        <v>221548836.609018</v>
      </c>
      <c r="AP84" s="350">
        <v>255250194.25894228</v>
      </c>
      <c r="AQ84" s="350">
        <v>289455747.34598219</v>
      </c>
      <c r="AR84" s="348">
        <v>1110172583.1341653</v>
      </c>
      <c r="AS84" s="369"/>
      <c r="AT84" s="350">
        <f t="shared" si="75"/>
        <v>31125587.733540922</v>
      </c>
      <c r="AU84" s="350">
        <f t="shared" si="58"/>
        <v>62873172.152282238</v>
      </c>
      <c r="AV84" s="350">
        <f t="shared" si="59"/>
        <v>95100986.194335759</v>
      </c>
      <c r="AW84" s="350">
        <f t="shared" si="60"/>
        <v>127822058.0609245</v>
      </c>
      <c r="AX84" s="350">
        <f t="shared" si="61"/>
        <v>161041956.39244768</v>
      </c>
      <c r="AY84" s="350">
        <f t="shared" si="62"/>
        <v>477963760.53353095</v>
      </c>
      <c r="AZ84" s="365"/>
      <c r="BA84" s="377">
        <f t="shared" si="63"/>
        <v>0</v>
      </c>
      <c r="BB84" s="377">
        <f t="shared" si="64"/>
        <v>0</v>
      </c>
      <c r="BC84" s="377">
        <f t="shared" si="65"/>
        <v>0</v>
      </c>
      <c r="BD84" s="377">
        <f t="shared" si="66"/>
        <v>0</v>
      </c>
      <c r="BE84" s="377">
        <f t="shared" si="67"/>
        <v>0</v>
      </c>
      <c r="BF84" s="377">
        <f t="shared" si="68"/>
        <v>0</v>
      </c>
      <c r="BG84" s="328"/>
    </row>
    <row r="85" spans="2:59">
      <c r="B85" s="332">
        <v>70</v>
      </c>
      <c r="C85" s="350">
        <v>142924553.70479465</v>
      </c>
      <c r="D85" s="350">
        <v>144096820.96186355</v>
      </c>
      <c r="E85" s="350">
        <v>145219968.50888473</v>
      </c>
      <c r="F85" s="350">
        <v>146345784.96301052</v>
      </c>
      <c r="G85" s="350">
        <v>147477767.45292521</v>
      </c>
      <c r="H85" s="348">
        <v>726064895.59147859</v>
      </c>
      <c r="I85" s="369"/>
      <c r="J85" s="350">
        <v>177876269.57289141</v>
      </c>
      <c r="K85" s="350">
        <v>214688223.03125024</v>
      </c>
      <c r="L85" s="350">
        <v>251990155.40698925</v>
      </c>
      <c r="M85" s="350">
        <v>289848484.43387693</v>
      </c>
      <c r="N85" s="350">
        <v>328272958.80830449</v>
      </c>
      <c r="O85" s="348">
        <v>1262676091.2533123</v>
      </c>
      <c r="P85" s="369"/>
      <c r="Q85" s="350">
        <f t="shared" si="69"/>
        <v>34951715.868096769</v>
      </c>
      <c r="R85" s="350">
        <f t="shared" si="70"/>
        <v>70591402.069386691</v>
      </c>
      <c r="S85" s="350">
        <f t="shared" si="71"/>
        <v>106770186.89810452</v>
      </c>
      <c r="T85" s="350">
        <f t="shared" si="72"/>
        <v>143502699.47086641</v>
      </c>
      <c r="U85" s="350">
        <f t="shared" si="73"/>
        <v>180795191.35537928</v>
      </c>
      <c r="V85" s="350">
        <f t="shared" si="74"/>
        <v>536611195.66183376</v>
      </c>
      <c r="W85" s="365"/>
      <c r="X85" s="377">
        <f t="shared" si="52"/>
        <v>0</v>
      </c>
      <c r="Y85" s="377">
        <f t="shared" si="53"/>
        <v>0</v>
      </c>
      <c r="Z85" s="377">
        <f t="shared" si="54"/>
        <v>0</v>
      </c>
      <c r="AA85" s="377">
        <f t="shared" si="55"/>
        <v>0</v>
      </c>
      <c r="AB85" s="377">
        <f t="shared" si="56"/>
        <v>0</v>
      </c>
      <c r="AC85" s="377">
        <f t="shared" si="57"/>
        <v>0</v>
      </c>
      <c r="AD85" s="376"/>
      <c r="AE85" s="332">
        <v>70</v>
      </c>
      <c r="AF85" s="350">
        <v>134860478.83601946</v>
      </c>
      <c r="AG85" s="350">
        <v>135966604.54720157</v>
      </c>
      <c r="AH85" s="350">
        <v>137026381.97570154</v>
      </c>
      <c r="AI85" s="350">
        <v>138088677.72649652</v>
      </c>
      <c r="AJ85" s="350">
        <v>139156791.61362612</v>
      </c>
      <c r="AK85" s="348">
        <v>685098934.6990453</v>
      </c>
      <c r="AL85" s="369"/>
      <c r="AM85" s="350">
        <v>175852706.57508087</v>
      </c>
      <c r="AN85" s="350">
        <v>218774609.99116954</v>
      </c>
      <c r="AO85" s="350">
        <v>262282693.23286876</v>
      </c>
      <c r="AP85" s="350">
        <v>306442981.21804577</v>
      </c>
      <c r="AQ85" s="350">
        <v>351266108.29864347</v>
      </c>
      <c r="AR85" s="348">
        <v>1314619099.3158083</v>
      </c>
      <c r="AS85" s="369"/>
      <c r="AT85" s="350">
        <f t="shared" si="75"/>
        <v>40992227.739061415</v>
      </c>
      <c r="AU85" s="350">
        <f t="shared" si="58"/>
        <v>82808005.443967968</v>
      </c>
      <c r="AV85" s="350">
        <f t="shared" si="59"/>
        <v>125256311.25716722</v>
      </c>
      <c r="AW85" s="350">
        <f t="shared" si="60"/>
        <v>168354303.49154925</v>
      </c>
      <c r="AX85" s="350">
        <f t="shared" si="61"/>
        <v>212109316.68501735</v>
      </c>
      <c r="AY85" s="350">
        <f t="shared" si="62"/>
        <v>629520164.616763</v>
      </c>
      <c r="AZ85" s="365"/>
      <c r="BA85" s="377">
        <f t="shared" si="63"/>
        <v>0</v>
      </c>
      <c r="BB85" s="377">
        <f t="shared" si="64"/>
        <v>0</v>
      </c>
      <c r="BC85" s="377">
        <f t="shared" si="65"/>
        <v>0</v>
      </c>
      <c r="BD85" s="377">
        <f t="shared" si="66"/>
        <v>0</v>
      </c>
      <c r="BE85" s="377">
        <f t="shared" si="67"/>
        <v>0</v>
      </c>
      <c r="BF85" s="377">
        <f t="shared" si="68"/>
        <v>0</v>
      </c>
      <c r="BG85" s="328"/>
    </row>
    <row r="86" spans="2:59">
      <c r="B86" s="332">
        <v>71</v>
      </c>
      <c r="C86" s="350">
        <v>132142142.28623514</v>
      </c>
      <c r="D86" s="350">
        <v>133225972.19975053</v>
      </c>
      <c r="E86" s="350">
        <v>134264388.05706677</v>
      </c>
      <c r="F86" s="350">
        <v>135305271.4757168</v>
      </c>
      <c r="G86" s="350">
        <v>136351855.75651711</v>
      </c>
      <c r="H86" s="348">
        <v>671289629.77528644</v>
      </c>
      <c r="I86" s="369"/>
      <c r="J86" s="350">
        <v>164525402.28188306</v>
      </c>
      <c r="K86" s="350">
        <v>198634575.98093918</v>
      </c>
      <c r="L86" s="350">
        <v>233197890.93309018</v>
      </c>
      <c r="M86" s="350">
        <v>268276783.09916058</v>
      </c>
      <c r="N86" s="350">
        <v>303880278.65879512</v>
      </c>
      <c r="O86" s="348">
        <v>1168514930.9538682</v>
      </c>
      <c r="P86" s="369"/>
      <c r="Q86" s="350">
        <f t="shared" si="69"/>
        <v>32383259.995647922</v>
      </c>
      <c r="R86" s="350">
        <f t="shared" si="70"/>
        <v>65408603.781188652</v>
      </c>
      <c r="S86" s="350">
        <f t="shared" si="71"/>
        <v>98933502.876023412</v>
      </c>
      <c r="T86" s="350">
        <f t="shared" si="72"/>
        <v>132971511.62344378</v>
      </c>
      <c r="U86" s="350">
        <f t="shared" si="73"/>
        <v>167528422.90227801</v>
      </c>
      <c r="V86" s="350">
        <f t="shared" si="74"/>
        <v>497225301.17858171</v>
      </c>
      <c r="W86" s="365"/>
      <c r="X86" s="377">
        <f t="shared" si="52"/>
        <v>0</v>
      </c>
      <c r="Y86" s="377">
        <f t="shared" si="53"/>
        <v>0</v>
      </c>
      <c r="Z86" s="377">
        <f t="shared" si="54"/>
        <v>0</v>
      </c>
      <c r="AA86" s="377">
        <f t="shared" si="55"/>
        <v>0</v>
      </c>
      <c r="AB86" s="377">
        <f t="shared" si="56"/>
        <v>0</v>
      </c>
      <c r="AC86" s="377">
        <f t="shared" si="57"/>
        <v>0</v>
      </c>
      <c r="AD86" s="376"/>
      <c r="AE86" s="332">
        <v>71</v>
      </c>
      <c r="AF86" s="350">
        <v>140277467.57085222</v>
      </c>
      <c r="AG86" s="350">
        <v>141428023.42619887</v>
      </c>
      <c r="AH86" s="350">
        <v>142530369.3109372</v>
      </c>
      <c r="AI86" s="350">
        <v>143635334.67231628</v>
      </c>
      <c r="AJ86" s="350">
        <v>144746351.86917782</v>
      </c>
      <c r="AK86" s="348">
        <v>712617546.84948242</v>
      </c>
      <c r="AL86" s="369"/>
      <c r="AM86" s="350">
        <v>176370594.14652735</v>
      </c>
      <c r="AN86" s="350">
        <v>214308893.30409712</v>
      </c>
      <c r="AO86" s="350">
        <v>252755439.72447145</v>
      </c>
      <c r="AP86" s="350">
        <v>291776168.83238238</v>
      </c>
      <c r="AQ86" s="350">
        <v>331380966.29561347</v>
      </c>
      <c r="AR86" s="348">
        <v>1266592062.3030918</v>
      </c>
      <c r="AS86" s="369"/>
      <c r="AT86" s="350">
        <f t="shared" si="75"/>
        <v>36093126.57567513</v>
      </c>
      <c r="AU86" s="350">
        <f t="shared" si="58"/>
        <v>72880869.877898246</v>
      </c>
      <c r="AV86" s="350">
        <f t="shared" si="59"/>
        <v>110225070.41353425</v>
      </c>
      <c r="AW86" s="350">
        <f t="shared" si="60"/>
        <v>148140834.1600661</v>
      </c>
      <c r="AX86" s="350">
        <f t="shared" si="61"/>
        <v>186634614.42643565</v>
      </c>
      <c r="AY86" s="350">
        <f t="shared" si="62"/>
        <v>553974515.45360935</v>
      </c>
      <c r="AZ86" s="365"/>
      <c r="BA86" s="377">
        <f t="shared" si="63"/>
        <v>0</v>
      </c>
      <c r="BB86" s="377">
        <f t="shared" si="64"/>
        <v>0</v>
      </c>
      <c r="BC86" s="377">
        <f t="shared" si="65"/>
        <v>0</v>
      </c>
      <c r="BD86" s="377">
        <f t="shared" si="66"/>
        <v>0</v>
      </c>
      <c r="BE86" s="377">
        <f t="shared" si="67"/>
        <v>0</v>
      </c>
      <c r="BF86" s="377">
        <f t="shared" si="68"/>
        <v>0</v>
      </c>
      <c r="BG86" s="328"/>
    </row>
    <row r="87" spans="2:59">
      <c r="B87" s="332">
        <v>72</v>
      </c>
      <c r="C87" s="350">
        <v>158403925.69493794</v>
      </c>
      <c r="D87" s="350">
        <v>159703154.7683894</v>
      </c>
      <c r="E87" s="350">
        <v>160947944.24627203</v>
      </c>
      <c r="F87" s="350">
        <v>162195691.68590245</v>
      </c>
      <c r="G87" s="350">
        <v>163450272.97073039</v>
      </c>
      <c r="H87" s="348">
        <v>804700989.36623228</v>
      </c>
      <c r="I87" s="369"/>
      <c r="J87" s="350">
        <v>194329071.01886678</v>
      </c>
      <c r="K87" s="350">
        <v>232262719.87041354</v>
      </c>
      <c r="L87" s="350">
        <v>270696075.44062132</v>
      </c>
      <c r="M87" s="350">
        <v>309701571.95354909</v>
      </c>
      <c r="N87" s="350">
        <v>349289511.29805207</v>
      </c>
      <c r="O87" s="348">
        <v>1356278949.5815029</v>
      </c>
      <c r="P87" s="369"/>
      <c r="Q87" s="350">
        <f t="shared" si="69"/>
        <v>35925145.323928833</v>
      </c>
      <c r="R87" s="350">
        <f t="shared" si="70"/>
        <v>72559565.102024138</v>
      </c>
      <c r="S87" s="350">
        <f t="shared" si="71"/>
        <v>109748131.19434929</v>
      </c>
      <c r="T87" s="350">
        <f t="shared" si="72"/>
        <v>147505880.26764664</v>
      </c>
      <c r="U87" s="350">
        <f t="shared" si="73"/>
        <v>185839238.32732168</v>
      </c>
      <c r="V87" s="350">
        <f t="shared" si="74"/>
        <v>551577960.21527064</v>
      </c>
      <c r="W87" s="365"/>
      <c r="X87" s="377">
        <f t="shared" si="52"/>
        <v>0</v>
      </c>
      <c r="Y87" s="377">
        <f t="shared" si="53"/>
        <v>0</v>
      </c>
      <c r="Z87" s="377">
        <f t="shared" si="54"/>
        <v>0</v>
      </c>
      <c r="AA87" s="377">
        <f t="shared" si="55"/>
        <v>0</v>
      </c>
      <c r="AB87" s="377">
        <f t="shared" si="56"/>
        <v>0</v>
      </c>
      <c r="AC87" s="377">
        <f t="shared" si="57"/>
        <v>0</v>
      </c>
      <c r="AD87" s="376"/>
      <c r="AE87" s="332">
        <v>72</v>
      </c>
      <c r="AF87" s="350">
        <v>125387160.06916484</v>
      </c>
      <c r="AG87" s="350">
        <v>126415585.61534172</v>
      </c>
      <c r="AH87" s="350">
        <v>127400918.62922335</v>
      </c>
      <c r="AI87" s="350">
        <v>128388593.06502068</v>
      </c>
      <c r="AJ87" s="350">
        <v>129381676.94024898</v>
      </c>
      <c r="AK87" s="348">
        <v>636973934.31899953</v>
      </c>
      <c r="AL87" s="369"/>
      <c r="AM87" s="350">
        <v>158070754.45495543</v>
      </c>
      <c r="AN87" s="350">
        <v>192432731.97464815</v>
      </c>
      <c r="AO87" s="350">
        <v>227255835.24588966</v>
      </c>
      <c r="AP87" s="350">
        <v>262599178.38082245</v>
      </c>
      <c r="AQ87" s="350">
        <v>298471676.29400194</v>
      </c>
      <c r="AR87" s="348">
        <v>1138830176.3503175</v>
      </c>
      <c r="AS87" s="369"/>
      <c r="AT87" s="350">
        <f t="shared" si="75"/>
        <v>32683594.385790586</v>
      </c>
      <c r="AU87" s="350">
        <f t="shared" si="58"/>
        <v>66017146.359306425</v>
      </c>
      <c r="AV87" s="350">
        <f t="shared" si="59"/>
        <v>99854916.616666317</v>
      </c>
      <c r="AW87" s="350">
        <f t="shared" si="60"/>
        <v>134210585.31580177</v>
      </c>
      <c r="AX87" s="350">
        <f t="shared" si="61"/>
        <v>169089999.35375297</v>
      </c>
      <c r="AY87" s="350">
        <f t="shared" si="62"/>
        <v>501856242.03131795</v>
      </c>
      <c r="AZ87" s="365"/>
      <c r="BA87" s="377">
        <f t="shared" si="63"/>
        <v>0</v>
      </c>
      <c r="BB87" s="377">
        <f t="shared" si="64"/>
        <v>0</v>
      </c>
      <c r="BC87" s="377">
        <f t="shared" si="65"/>
        <v>0</v>
      </c>
      <c r="BD87" s="377">
        <f t="shared" si="66"/>
        <v>0</v>
      </c>
      <c r="BE87" s="377">
        <f t="shared" si="67"/>
        <v>0</v>
      </c>
      <c r="BF87" s="377">
        <f t="shared" si="68"/>
        <v>0</v>
      </c>
      <c r="BG87" s="328"/>
    </row>
    <row r="88" spans="2:59">
      <c r="B88" s="332">
        <v>73</v>
      </c>
      <c r="C88" s="350">
        <v>131859208.49049151</v>
      </c>
      <c r="D88" s="350">
        <v>132940717.78088048</v>
      </c>
      <c r="E88" s="350">
        <v>133976910.2525682</v>
      </c>
      <c r="F88" s="350">
        <v>135015565.00221479</v>
      </c>
      <c r="G88" s="350">
        <v>136059908.40771213</v>
      </c>
      <c r="H88" s="348">
        <v>669852309.9338671</v>
      </c>
      <c r="I88" s="369"/>
      <c r="J88" s="350">
        <v>169365464.3961727</v>
      </c>
      <c r="K88" s="350">
        <v>208686537.51456234</v>
      </c>
      <c r="L88" s="350">
        <v>248540716.83305663</v>
      </c>
      <c r="M88" s="350">
        <v>288991479.49847037</v>
      </c>
      <c r="N88" s="350">
        <v>330048759.61427128</v>
      </c>
      <c r="O88" s="348">
        <v>1245632957.8565331</v>
      </c>
      <c r="P88" s="369"/>
      <c r="Q88" s="350">
        <f t="shared" si="69"/>
        <v>37506255.905681193</v>
      </c>
      <c r="R88" s="350">
        <f t="shared" si="70"/>
        <v>75745819.733681858</v>
      </c>
      <c r="S88" s="350">
        <f t="shared" si="71"/>
        <v>114563806.58048843</v>
      </c>
      <c r="T88" s="350">
        <f t="shared" si="72"/>
        <v>153975914.49625558</v>
      </c>
      <c r="U88" s="350">
        <f t="shared" si="73"/>
        <v>193988851.20655915</v>
      </c>
      <c r="V88" s="350">
        <f t="shared" si="74"/>
        <v>575780647.92266595</v>
      </c>
      <c r="W88" s="365"/>
      <c r="X88" s="377">
        <f t="shared" si="52"/>
        <v>0</v>
      </c>
      <c r="Y88" s="377">
        <f t="shared" si="53"/>
        <v>0</v>
      </c>
      <c r="Z88" s="377">
        <f t="shared" si="54"/>
        <v>0</v>
      </c>
      <c r="AA88" s="377">
        <f t="shared" si="55"/>
        <v>0</v>
      </c>
      <c r="AB88" s="377">
        <f t="shared" si="56"/>
        <v>0</v>
      </c>
      <c r="AC88" s="377">
        <f t="shared" si="57"/>
        <v>0</v>
      </c>
      <c r="AD88" s="376"/>
      <c r="AE88" s="332">
        <v>73</v>
      </c>
      <c r="AF88" s="350">
        <v>129754036.50350651</v>
      </c>
      <c r="AG88" s="350">
        <v>130818279.17226279</v>
      </c>
      <c r="AH88" s="350">
        <v>131837928.51898043</v>
      </c>
      <c r="AI88" s="350">
        <v>132860000.83264747</v>
      </c>
      <c r="AJ88" s="350">
        <v>133887670.98106086</v>
      </c>
      <c r="AK88" s="348">
        <v>659157916.00845802</v>
      </c>
      <c r="AL88" s="369"/>
      <c r="AM88" s="350">
        <v>170247104.91051173</v>
      </c>
      <c r="AN88" s="350">
        <v>212586753.39630681</v>
      </c>
      <c r="AO88" s="350">
        <v>255506148.29555389</v>
      </c>
      <c r="AP88" s="350">
        <v>299069253.54187256</v>
      </c>
      <c r="AQ88" s="350">
        <v>343286484.46880841</v>
      </c>
      <c r="AR88" s="348">
        <v>1280695744.6130533</v>
      </c>
      <c r="AS88" s="369"/>
      <c r="AT88" s="350">
        <f t="shared" si="75"/>
        <v>40493068.407005221</v>
      </c>
      <c r="AU88" s="350">
        <f t="shared" si="58"/>
        <v>81768474.224044025</v>
      </c>
      <c r="AV88" s="350">
        <f t="shared" si="59"/>
        <v>123668219.77657346</v>
      </c>
      <c r="AW88" s="350">
        <f t="shared" si="60"/>
        <v>166209252.70922509</v>
      </c>
      <c r="AX88" s="350">
        <f t="shared" si="61"/>
        <v>209398813.48774755</v>
      </c>
      <c r="AY88" s="350">
        <f t="shared" si="62"/>
        <v>621537828.6045953</v>
      </c>
      <c r="AZ88" s="365"/>
      <c r="BA88" s="377">
        <f t="shared" si="63"/>
        <v>0</v>
      </c>
      <c r="BB88" s="377">
        <f t="shared" si="64"/>
        <v>0</v>
      </c>
      <c r="BC88" s="377">
        <f t="shared" si="65"/>
        <v>0</v>
      </c>
      <c r="BD88" s="377">
        <f t="shared" si="66"/>
        <v>0</v>
      </c>
      <c r="BE88" s="377">
        <f t="shared" si="67"/>
        <v>0</v>
      </c>
      <c r="BF88" s="377">
        <f t="shared" si="68"/>
        <v>0</v>
      </c>
      <c r="BG88" s="328"/>
    </row>
    <row r="89" spans="2:59">
      <c r="B89" s="332">
        <v>74</v>
      </c>
      <c r="C89" s="350">
        <v>100986370.43800099</v>
      </c>
      <c r="D89" s="350">
        <v>101814660.6960851</v>
      </c>
      <c r="E89" s="350">
        <v>102608244.38272218</v>
      </c>
      <c r="F89" s="350">
        <v>103403713.84219919</v>
      </c>
      <c r="G89" s="350">
        <v>104203540.04485415</v>
      </c>
      <c r="H89" s="348">
        <v>513016529.40386164</v>
      </c>
      <c r="I89" s="369"/>
      <c r="J89" s="350">
        <v>128728813.23556614</v>
      </c>
      <c r="K89" s="350">
        <v>157851754.65422443</v>
      </c>
      <c r="L89" s="350">
        <v>187367987.34446099</v>
      </c>
      <c r="M89" s="350">
        <v>217325715.65151718</v>
      </c>
      <c r="N89" s="350">
        <v>247732373.57888001</v>
      </c>
      <c r="O89" s="348">
        <v>939006644.46464872</v>
      </c>
      <c r="P89" s="369"/>
      <c r="Q89" s="350">
        <f t="shared" si="69"/>
        <v>27742442.797565147</v>
      </c>
      <c r="R89" s="350">
        <f t="shared" si="70"/>
        <v>56037093.95813933</v>
      </c>
      <c r="S89" s="350">
        <f t="shared" si="71"/>
        <v>84759742.96173881</v>
      </c>
      <c r="T89" s="350">
        <f t="shared" si="72"/>
        <v>113922001.80931799</v>
      </c>
      <c r="U89" s="350">
        <f t="shared" si="73"/>
        <v>143528833.53402585</v>
      </c>
      <c r="V89" s="350">
        <f t="shared" si="74"/>
        <v>425990115.06078708</v>
      </c>
      <c r="W89" s="365"/>
      <c r="X89" s="377">
        <f t="shared" si="52"/>
        <v>0</v>
      </c>
      <c r="Y89" s="377">
        <f t="shared" si="53"/>
        <v>0</v>
      </c>
      <c r="Z89" s="377">
        <f t="shared" si="54"/>
        <v>0</v>
      </c>
      <c r="AA89" s="377">
        <f t="shared" si="55"/>
        <v>0</v>
      </c>
      <c r="AB89" s="377">
        <f t="shared" si="56"/>
        <v>0</v>
      </c>
      <c r="AC89" s="377">
        <f t="shared" si="57"/>
        <v>0</v>
      </c>
      <c r="AD89" s="376"/>
      <c r="AE89" s="332">
        <v>74</v>
      </c>
      <c r="AF89" s="350">
        <v>113530746.46473089</v>
      </c>
      <c r="AG89" s="350">
        <v>114461925.70091787</v>
      </c>
      <c r="AH89" s="350">
        <v>115354087.16721648</v>
      </c>
      <c r="AI89" s="350">
        <v>116248368.65423918</v>
      </c>
      <c r="AJ89" s="350">
        <v>117147548.07256687</v>
      </c>
      <c r="AK89" s="348">
        <v>576742676.05967128</v>
      </c>
      <c r="AL89" s="369"/>
      <c r="AM89" s="350">
        <v>143398975.77196875</v>
      </c>
      <c r="AN89" s="350">
        <v>174781231.36069375</v>
      </c>
      <c r="AO89" s="350">
        <v>206585080.6993365</v>
      </c>
      <c r="AP89" s="350">
        <v>238864162.70947036</v>
      </c>
      <c r="AQ89" s="350">
        <v>271626596.84909236</v>
      </c>
      <c r="AR89" s="348">
        <v>1035256047.3905618</v>
      </c>
      <c r="AS89" s="369"/>
      <c r="AT89" s="350">
        <f t="shared" si="75"/>
        <v>29868229.307237864</v>
      </c>
      <c r="AU89" s="350">
        <f t="shared" si="58"/>
        <v>60319305.659775883</v>
      </c>
      <c r="AV89" s="350">
        <f t="shared" si="59"/>
        <v>91230993.532120019</v>
      </c>
      <c r="AW89" s="350">
        <f t="shared" si="60"/>
        <v>122615794.05523118</v>
      </c>
      <c r="AX89" s="350">
        <f t="shared" si="61"/>
        <v>154479048.7765255</v>
      </c>
      <c r="AY89" s="350">
        <f t="shared" si="62"/>
        <v>458513371.33089054</v>
      </c>
      <c r="AZ89" s="365"/>
      <c r="BA89" s="377">
        <f t="shared" si="63"/>
        <v>0</v>
      </c>
      <c r="BB89" s="377">
        <f t="shared" si="64"/>
        <v>0</v>
      </c>
      <c r="BC89" s="377">
        <f t="shared" si="65"/>
        <v>0</v>
      </c>
      <c r="BD89" s="377">
        <f t="shared" si="66"/>
        <v>0</v>
      </c>
      <c r="BE89" s="377">
        <f t="shared" si="67"/>
        <v>0</v>
      </c>
      <c r="BF89" s="377">
        <f t="shared" si="68"/>
        <v>0</v>
      </c>
      <c r="BG89" s="328"/>
    </row>
    <row r="90" spans="2:59">
      <c r="B90" s="332">
        <v>75</v>
      </c>
      <c r="C90" s="350">
        <v>126533460.00493568</v>
      </c>
      <c r="D90" s="350">
        <v>127571287.50372773</v>
      </c>
      <c r="E90" s="350">
        <v>128565628.5146794</v>
      </c>
      <c r="F90" s="350">
        <v>129562332.3530224</v>
      </c>
      <c r="G90" s="350">
        <v>130564495.08434534</v>
      </c>
      <c r="H90" s="348">
        <v>642797203.46071053</v>
      </c>
      <c r="I90" s="369"/>
      <c r="J90" s="350">
        <v>157501992.18117034</v>
      </c>
      <c r="K90" s="350">
        <v>190125071.69478515</v>
      </c>
      <c r="L90" s="350">
        <v>223182437.83530471</v>
      </c>
      <c r="M90" s="350">
        <v>256732902.26180473</v>
      </c>
      <c r="N90" s="350">
        <v>290785101.25525784</v>
      </c>
      <c r="O90" s="348">
        <v>1118327505.2283227</v>
      </c>
      <c r="P90" s="369"/>
      <c r="Q90" s="350">
        <f t="shared" si="69"/>
        <v>30968532.176234663</v>
      </c>
      <c r="R90" s="350">
        <f t="shared" si="70"/>
        <v>62553784.191057414</v>
      </c>
      <c r="S90" s="350">
        <f t="shared" si="71"/>
        <v>94616809.320625305</v>
      </c>
      <c r="T90" s="350">
        <f t="shared" si="72"/>
        <v>127170569.90878233</v>
      </c>
      <c r="U90" s="350">
        <f t="shared" si="73"/>
        <v>160220606.1709125</v>
      </c>
      <c r="V90" s="350">
        <f t="shared" si="74"/>
        <v>475530301.76761222</v>
      </c>
      <c r="W90" s="365"/>
      <c r="X90" s="377">
        <f t="shared" si="52"/>
        <v>0</v>
      </c>
      <c r="Y90" s="377">
        <f t="shared" si="53"/>
        <v>0</v>
      </c>
      <c r="Z90" s="377">
        <f t="shared" si="54"/>
        <v>0</v>
      </c>
      <c r="AA90" s="377">
        <f t="shared" si="55"/>
        <v>0</v>
      </c>
      <c r="AB90" s="377">
        <f t="shared" si="56"/>
        <v>0</v>
      </c>
      <c r="AC90" s="377">
        <f t="shared" si="57"/>
        <v>0</v>
      </c>
      <c r="AD90" s="376"/>
      <c r="AE90" s="332">
        <v>75</v>
      </c>
      <c r="AF90" s="350">
        <v>119299689.07250826</v>
      </c>
      <c r="AG90" s="350">
        <v>120278185.1786921</v>
      </c>
      <c r="AH90" s="350">
        <v>121215680.86903317</v>
      </c>
      <c r="AI90" s="350">
        <v>122155404.30666824</v>
      </c>
      <c r="AJ90" s="350">
        <v>123100274.55871239</v>
      </c>
      <c r="AK90" s="348">
        <v>606049233.98561418</v>
      </c>
      <c r="AL90" s="369"/>
      <c r="AM90" s="350">
        <v>153911819.70593947</v>
      </c>
      <c r="AN90" s="350">
        <v>190186782.94410324</v>
      </c>
      <c r="AO90" s="350">
        <v>226954654.15017182</v>
      </c>
      <c r="AP90" s="350">
        <v>264273148.63925356</v>
      </c>
      <c r="AQ90" s="350">
        <v>302151376.77256274</v>
      </c>
      <c r="AR90" s="348">
        <v>1137477782.2120309</v>
      </c>
      <c r="AS90" s="369"/>
      <c r="AT90" s="350">
        <f t="shared" si="75"/>
        <v>34612130.633431211</v>
      </c>
      <c r="AU90" s="350">
        <f t="shared" si="58"/>
        <v>69908597.765411139</v>
      </c>
      <c r="AV90" s="350">
        <f t="shared" si="59"/>
        <v>105738973.28113864</v>
      </c>
      <c r="AW90" s="350">
        <f t="shared" si="60"/>
        <v>142117744.33258533</v>
      </c>
      <c r="AX90" s="350">
        <f t="shared" si="61"/>
        <v>179051102.21385035</v>
      </c>
      <c r="AY90" s="350">
        <f t="shared" si="62"/>
        <v>531428548.22641671</v>
      </c>
      <c r="AZ90" s="365"/>
      <c r="BA90" s="377">
        <f t="shared" si="63"/>
        <v>0</v>
      </c>
      <c r="BB90" s="377">
        <f t="shared" si="64"/>
        <v>0</v>
      </c>
      <c r="BC90" s="377">
        <f t="shared" si="65"/>
        <v>0</v>
      </c>
      <c r="BD90" s="377">
        <f t="shared" si="66"/>
        <v>0</v>
      </c>
      <c r="BE90" s="377">
        <f t="shared" si="67"/>
        <v>0</v>
      </c>
      <c r="BF90" s="377">
        <f t="shared" si="68"/>
        <v>0</v>
      </c>
      <c r="BG90" s="328"/>
    </row>
    <row r="91" spans="2:59">
      <c r="B91" s="332">
        <v>76</v>
      </c>
      <c r="C91" s="350">
        <v>138487877.72095314</v>
      </c>
      <c r="D91" s="350">
        <v>139623755.3595047</v>
      </c>
      <c r="E91" s="350">
        <v>140712038.06616768</v>
      </c>
      <c r="F91" s="350">
        <v>141802906.83149713</v>
      </c>
      <c r="G91" s="350">
        <v>142899750.22601536</v>
      </c>
      <c r="H91" s="348">
        <v>703526328.20413804</v>
      </c>
      <c r="I91" s="369"/>
      <c r="J91" s="350">
        <v>170726614.50319022</v>
      </c>
      <c r="K91" s="350">
        <v>204743888.0264844</v>
      </c>
      <c r="L91" s="350">
        <v>239210946.10133737</v>
      </c>
      <c r="M91" s="350">
        <v>274191463.76112449</v>
      </c>
      <c r="N91" s="350">
        <v>309694597.12738484</v>
      </c>
      <c r="O91" s="348">
        <v>1198567509.5195212</v>
      </c>
      <c r="P91" s="369"/>
      <c r="Q91" s="350">
        <f t="shared" si="69"/>
        <v>32238736.782237083</v>
      </c>
      <c r="R91" s="350">
        <f t="shared" si="70"/>
        <v>65120132.6669797</v>
      </c>
      <c r="S91" s="350">
        <f t="shared" si="71"/>
        <v>98498908.035169691</v>
      </c>
      <c r="T91" s="350">
        <f t="shared" si="72"/>
        <v>132388556.92962736</v>
      </c>
      <c r="U91" s="350">
        <f t="shared" si="73"/>
        <v>166794846.90136948</v>
      </c>
      <c r="V91" s="350">
        <f t="shared" si="74"/>
        <v>495041181.3153832</v>
      </c>
      <c r="W91" s="365"/>
      <c r="X91" s="377">
        <f t="shared" si="52"/>
        <v>0</v>
      </c>
      <c r="Y91" s="377">
        <f t="shared" si="53"/>
        <v>0</v>
      </c>
      <c r="Z91" s="377">
        <f t="shared" si="54"/>
        <v>0</v>
      </c>
      <c r="AA91" s="377">
        <f t="shared" si="55"/>
        <v>0</v>
      </c>
      <c r="AB91" s="377">
        <f t="shared" si="56"/>
        <v>0</v>
      </c>
      <c r="AC91" s="377">
        <f t="shared" si="57"/>
        <v>0</v>
      </c>
      <c r="AD91" s="376"/>
      <c r="AE91" s="332">
        <v>76</v>
      </c>
      <c r="AF91" s="350">
        <v>147843773.79645813</v>
      </c>
      <c r="AG91" s="350">
        <v>149056388.49904495</v>
      </c>
      <c r="AH91" s="350">
        <v>150218192.87469345</v>
      </c>
      <c r="AI91" s="350">
        <v>151382758.01669061</v>
      </c>
      <c r="AJ91" s="350">
        <v>152553701.41894302</v>
      </c>
      <c r="AK91" s="348">
        <v>751054814.60583019</v>
      </c>
      <c r="AL91" s="369"/>
      <c r="AM91" s="350">
        <v>189743518.24012816</v>
      </c>
      <c r="AN91" s="350">
        <v>233667974.47349665</v>
      </c>
      <c r="AO91" s="350">
        <v>278187689.11315948</v>
      </c>
      <c r="AP91" s="350">
        <v>323373769.77944601</v>
      </c>
      <c r="AQ91" s="350">
        <v>369237326.35045373</v>
      </c>
      <c r="AR91" s="348">
        <v>1394210277.9566841</v>
      </c>
      <c r="AS91" s="369"/>
      <c r="AT91" s="350">
        <f t="shared" si="75"/>
        <v>41899744.443670034</v>
      </c>
      <c r="AU91" s="350">
        <f t="shared" si="58"/>
        <v>84611585.974451691</v>
      </c>
      <c r="AV91" s="350">
        <f t="shared" si="59"/>
        <v>127969496.23846602</v>
      </c>
      <c r="AW91" s="350">
        <f t="shared" si="60"/>
        <v>171991011.76275539</v>
      </c>
      <c r="AX91" s="350">
        <f t="shared" si="61"/>
        <v>216683624.93151072</v>
      </c>
      <c r="AY91" s="350">
        <f t="shared" si="62"/>
        <v>643155463.35085392</v>
      </c>
      <c r="AZ91" s="365"/>
      <c r="BA91" s="377">
        <f t="shared" si="63"/>
        <v>0</v>
      </c>
      <c r="BB91" s="377">
        <f t="shared" si="64"/>
        <v>0</v>
      </c>
      <c r="BC91" s="377">
        <f t="shared" si="65"/>
        <v>0</v>
      </c>
      <c r="BD91" s="377">
        <f t="shared" si="66"/>
        <v>0</v>
      </c>
      <c r="BE91" s="377">
        <f t="shared" si="67"/>
        <v>0</v>
      </c>
      <c r="BF91" s="377">
        <f t="shared" si="68"/>
        <v>0</v>
      </c>
      <c r="BG91" s="328"/>
    </row>
    <row r="92" spans="2:59">
      <c r="B92" s="332">
        <v>77</v>
      </c>
      <c r="C92" s="350">
        <v>142088097.57441992</v>
      </c>
      <c r="D92" s="350">
        <v>143253504.21791196</v>
      </c>
      <c r="E92" s="350">
        <v>144370078.62108436</v>
      </c>
      <c r="F92" s="350">
        <v>145489306.31176597</v>
      </c>
      <c r="G92" s="350">
        <v>146614663.95193568</v>
      </c>
      <c r="H92" s="348">
        <v>721815650.67711794</v>
      </c>
      <c r="I92" s="369"/>
      <c r="J92" s="350">
        <v>184406811.85760283</v>
      </c>
      <c r="K92" s="350">
        <v>228721820.05386761</v>
      </c>
      <c r="L92" s="350">
        <v>273640691.33316708</v>
      </c>
      <c r="M92" s="350">
        <v>319232623.69695252</v>
      </c>
      <c r="N92" s="350">
        <v>365508662.73895162</v>
      </c>
      <c r="O92" s="348">
        <v>1371510609.6805418</v>
      </c>
      <c r="P92" s="369"/>
      <c r="Q92" s="350">
        <f t="shared" si="69"/>
        <v>42318714.283182919</v>
      </c>
      <c r="R92" s="350">
        <f t="shared" si="70"/>
        <v>85468315.83595565</v>
      </c>
      <c r="S92" s="350">
        <f t="shared" si="71"/>
        <v>129270612.71208271</v>
      </c>
      <c r="T92" s="350">
        <f t="shared" si="72"/>
        <v>173743317.38518655</v>
      </c>
      <c r="U92" s="350">
        <f t="shared" si="73"/>
        <v>218893998.78701594</v>
      </c>
      <c r="V92" s="350">
        <f t="shared" si="74"/>
        <v>649694959.00342381</v>
      </c>
      <c r="W92" s="365"/>
      <c r="X92" s="377">
        <f t="shared" si="52"/>
        <v>0</v>
      </c>
      <c r="Y92" s="377">
        <f t="shared" si="53"/>
        <v>0</v>
      </c>
      <c r="Z92" s="377">
        <f t="shared" si="54"/>
        <v>0</v>
      </c>
      <c r="AA92" s="377">
        <f t="shared" si="55"/>
        <v>0</v>
      </c>
      <c r="AB92" s="377">
        <f t="shared" si="56"/>
        <v>0</v>
      </c>
      <c r="AC92" s="377">
        <f t="shared" si="57"/>
        <v>0</v>
      </c>
      <c r="AD92" s="376"/>
      <c r="AE92" s="332">
        <v>77</v>
      </c>
      <c r="AF92" s="350">
        <v>156043111.88774648</v>
      </c>
      <c r="AG92" s="350">
        <v>157322977.56523514</v>
      </c>
      <c r="AH92" s="350">
        <v>158549215.00172386</v>
      </c>
      <c r="AI92" s="350">
        <v>159778366.31521392</v>
      </c>
      <c r="AJ92" s="350">
        <v>161014249.62392491</v>
      </c>
      <c r="AK92" s="348">
        <v>792707920.39384437</v>
      </c>
      <c r="AL92" s="369"/>
      <c r="AM92" s="350">
        <v>193102184.98781097</v>
      </c>
      <c r="AN92" s="350">
        <v>232175532.00961238</v>
      </c>
      <c r="AO92" s="350">
        <v>271766930.78539264</v>
      </c>
      <c r="AP92" s="350">
        <v>311948434.8641991</v>
      </c>
      <c r="AQ92" s="350">
        <v>352730491.61690885</v>
      </c>
      <c r="AR92" s="348">
        <v>1361723574.2639239</v>
      </c>
      <c r="AS92" s="369"/>
      <c r="AT92" s="350">
        <f t="shared" si="75"/>
        <v>37059073.100064486</v>
      </c>
      <c r="AU92" s="350">
        <f t="shared" si="58"/>
        <v>74852554.444377244</v>
      </c>
      <c r="AV92" s="350">
        <f t="shared" si="59"/>
        <v>113217715.78366879</v>
      </c>
      <c r="AW92" s="350">
        <f t="shared" si="60"/>
        <v>152170068.54898518</v>
      </c>
      <c r="AX92" s="350">
        <f t="shared" si="61"/>
        <v>191716241.99298394</v>
      </c>
      <c r="AY92" s="350">
        <f t="shared" si="62"/>
        <v>569015653.87007952</v>
      </c>
      <c r="AZ92" s="365"/>
      <c r="BA92" s="377">
        <f t="shared" si="63"/>
        <v>0</v>
      </c>
      <c r="BB92" s="377">
        <f t="shared" si="64"/>
        <v>0</v>
      </c>
      <c r="BC92" s="377">
        <f t="shared" si="65"/>
        <v>0</v>
      </c>
      <c r="BD92" s="377">
        <f t="shared" si="66"/>
        <v>0</v>
      </c>
      <c r="BE92" s="377">
        <f t="shared" si="67"/>
        <v>0</v>
      </c>
      <c r="BF92" s="377">
        <f t="shared" si="68"/>
        <v>0</v>
      </c>
      <c r="BG92" s="328"/>
    </row>
    <row r="93" spans="2:59">
      <c r="B93" s="332">
        <v>78</v>
      </c>
      <c r="C93" s="350">
        <v>125382844.58900321</v>
      </c>
      <c r="D93" s="350">
        <v>126411234.73960975</v>
      </c>
      <c r="E93" s="350">
        <v>127396533.84104714</v>
      </c>
      <c r="F93" s="350">
        <v>128384174.28381497</v>
      </c>
      <c r="G93" s="350">
        <v>129377223.97983572</v>
      </c>
      <c r="H93" s="348">
        <v>636952011.43331075</v>
      </c>
      <c r="I93" s="369"/>
      <c r="J93" s="350">
        <v>160679693.9097991</v>
      </c>
      <c r="K93" s="350">
        <v>197701029.38385656</v>
      </c>
      <c r="L93" s="350">
        <v>235223716.57595026</v>
      </c>
      <c r="M93" s="350">
        <v>273307961.52357864</v>
      </c>
      <c r="N93" s="350">
        <v>311963145.64132375</v>
      </c>
      <c r="O93" s="348">
        <v>1178875547.0345082</v>
      </c>
      <c r="P93" s="369"/>
      <c r="Q93" s="350">
        <f t="shared" si="69"/>
        <v>35296849.320795894</v>
      </c>
      <c r="R93" s="350">
        <f t="shared" si="70"/>
        <v>71289794.644246817</v>
      </c>
      <c r="S93" s="350">
        <f t="shared" si="71"/>
        <v>107827182.73490313</v>
      </c>
      <c r="T93" s="350">
        <f t="shared" si="72"/>
        <v>144923787.23976368</v>
      </c>
      <c r="U93" s="350">
        <f t="shared" si="73"/>
        <v>182585921.66148803</v>
      </c>
      <c r="V93" s="350">
        <f t="shared" si="74"/>
        <v>541923535.60119748</v>
      </c>
      <c r="W93" s="365"/>
      <c r="X93" s="377">
        <f t="shared" si="52"/>
        <v>0</v>
      </c>
      <c r="Y93" s="377">
        <f t="shared" si="53"/>
        <v>0</v>
      </c>
      <c r="Z93" s="377">
        <f t="shared" si="54"/>
        <v>0</v>
      </c>
      <c r="AA93" s="377">
        <f t="shared" si="55"/>
        <v>0</v>
      </c>
      <c r="AB93" s="377">
        <f t="shared" si="56"/>
        <v>0</v>
      </c>
      <c r="AC93" s="377">
        <f t="shared" si="57"/>
        <v>0</v>
      </c>
      <c r="AD93" s="376"/>
      <c r="AE93" s="332">
        <v>78</v>
      </c>
      <c r="AF93" s="350">
        <v>117438519.31745049</v>
      </c>
      <c r="AG93" s="350">
        <v>118401750.10842329</v>
      </c>
      <c r="AH93" s="350">
        <v>119324620.12255412</v>
      </c>
      <c r="AI93" s="350">
        <v>120249683.12935448</v>
      </c>
      <c r="AJ93" s="350">
        <v>121179812.65617774</v>
      </c>
      <c r="AK93" s="348">
        <v>596594385.33396018</v>
      </c>
      <c r="AL93" s="369"/>
      <c r="AM93" s="350">
        <v>151690781.09882775</v>
      </c>
      <c r="AN93" s="350">
        <v>187564925.11955038</v>
      </c>
      <c r="AO93" s="350">
        <v>223926776.11911121</v>
      </c>
      <c r="AP93" s="350">
        <v>260833223.36150864</v>
      </c>
      <c r="AQ93" s="350">
        <v>298293264.46159822</v>
      </c>
      <c r="AR93" s="348">
        <v>1122308970.1605961</v>
      </c>
      <c r="AS93" s="369"/>
      <c r="AT93" s="350">
        <f t="shared" si="75"/>
        <v>34252261.781377256</v>
      </c>
      <c r="AU93" s="350">
        <f t="shared" si="58"/>
        <v>69163175.011127084</v>
      </c>
      <c r="AV93" s="350">
        <f t="shared" si="59"/>
        <v>104602155.99655709</v>
      </c>
      <c r="AW93" s="350">
        <f t="shared" si="60"/>
        <v>140583540.23215416</v>
      </c>
      <c r="AX93" s="350">
        <f t="shared" si="61"/>
        <v>177113451.80542046</v>
      </c>
      <c r="AY93" s="350">
        <f t="shared" si="62"/>
        <v>525714584.82663596</v>
      </c>
      <c r="AZ93" s="365"/>
      <c r="BA93" s="377">
        <f t="shared" si="63"/>
        <v>0</v>
      </c>
      <c r="BB93" s="377">
        <f t="shared" si="64"/>
        <v>0</v>
      </c>
      <c r="BC93" s="377">
        <f t="shared" si="65"/>
        <v>0</v>
      </c>
      <c r="BD93" s="377">
        <f t="shared" si="66"/>
        <v>0</v>
      </c>
      <c r="BE93" s="377">
        <f t="shared" si="67"/>
        <v>0</v>
      </c>
      <c r="BF93" s="377">
        <f t="shared" si="68"/>
        <v>0</v>
      </c>
      <c r="BG93" s="328"/>
    </row>
    <row r="94" spans="2:59">
      <c r="B94" s="332">
        <v>79</v>
      </c>
      <c r="C94" s="350">
        <v>116622770.78744529</v>
      </c>
      <c r="D94" s="350">
        <v>117579310.80858921</v>
      </c>
      <c r="E94" s="350">
        <v>118495770.40591826</v>
      </c>
      <c r="F94" s="350">
        <v>119414407.76300551</v>
      </c>
      <c r="G94" s="350">
        <v>120338076.44717996</v>
      </c>
      <c r="H94" s="348">
        <v>592450336.21213818</v>
      </c>
      <c r="I94" s="369"/>
      <c r="J94" s="350">
        <v>143448175.18958339</v>
      </c>
      <c r="K94" s="350">
        <v>171764681.96074468</v>
      </c>
      <c r="L94" s="350">
        <v>200454967.96779978</v>
      </c>
      <c r="M94" s="350">
        <v>229572519.58933735</v>
      </c>
      <c r="N94" s="350">
        <v>259124989.46336257</v>
      </c>
      <c r="O94" s="348">
        <v>1004365334.1708277</v>
      </c>
      <c r="P94" s="369"/>
      <c r="Q94" s="350">
        <f t="shared" si="69"/>
        <v>26825404.402138099</v>
      </c>
      <c r="R94" s="350">
        <f t="shared" si="70"/>
        <v>54185371.152155474</v>
      </c>
      <c r="S94" s="350">
        <f t="shared" si="71"/>
        <v>81959197.561881527</v>
      </c>
      <c r="T94" s="350">
        <f t="shared" si="72"/>
        <v>110158111.82633184</v>
      </c>
      <c r="U94" s="350">
        <f t="shared" si="73"/>
        <v>138786913.0161826</v>
      </c>
      <c r="V94" s="350">
        <f t="shared" si="74"/>
        <v>411914997.95868957</v>
      </c>
      <c r="W94" s="365"/>
      <c r="X94" s="377">
        <f t="shared" si="52"/>
        <v>0</v>
      </c>
      <c r="Y94" s="377">
        <f t="shared" si="53"/>
        <v>0</v>
      </c>
      <c r="Z94" s="377">
        <f t="shared" si="54"/>
        <v>0</v>
      </c>
      <c r="AA94" s="377">
        <f t="shared" si="55"/>
        <v>0</v>
      </c>
      <c r="AB94" s="377">
        <f t="shared" si="56"/>
        <v>0</v>
      </c>
      <c r="AC94" s="377">
        <f t="shared" si="57"/>
        <v>0</v>
      </c>
      <c r="AD94" s="376"/>
      <c r="AE94" s="332">
        <v>79</v>
      </c>
      <c r="AF94" s="350">
        <v>121814735.33479269</v>
      </c>
      <c r="AG94" s="350">
        <v>122813859.85160905</v>
      </c>
      <c r="AH94" s="350">
        <v>123771119.59205146</v>
      </c>
      <c r="AI94" s="350">
        <v>124730654.0446001</v>
      </c>
      <c r="AJ94" s="350">
        <v>125695443.81541441</v>
      </c>
      <c r="AK94" s="348">
        <v>618825812.63846767</v>
      </c>
      <c r="AL94" s="369"/>
      <c r="AM94" s="350">
        <v>151965390.00987253</v>
      </c>
      <c r="AN94" s="350">
        <v>183710387.07956806</v>
      </c>
      <c r="AO94" s="350">
        <v>215878593.23531789</v>
      </c>
      <c r="AP94" s="350">
        <v>248526767.68480691</v>
      </c>
      <c r="AQ94" s="350">
        <v>281663284.13680714</v>
      </c>
      <c r="AR94" s="348">
        <v>1081744422.1463726</v>
      </c>
      <c r="AS94" s="369"/>
      <c r="AT94" s="350">
        <f t="shared" si="75"/>
        <v>30150654.675079837</v>
      </c>
      <c r="AU94" s="350">
        <f t="shared" si="58"/>
        <v>60896527.227959007</v>
      </c>
      <c r="AV94" s="350">
        <f t="shared" si="59"/>
        <v>92107473.643266425</v>
      </c>
      <c r="AW94" s="350">
        <f t="shared" si="60"/>
        <v>123796113.64020681</v>
      </c>
      <c r="AX94" s="350">
        <f t="shared" si="61"/>
        <v>155967840.32139271</v>
      </c>
      <c r="AY94" s="350">
        <f t="shared" si="62"/>
        <v>462918609.50790489</v>
      </c>
      <c r="AZ94" s="365"/>
      <c r="BA94" s="377">
        <f t="shared" si="63"/>
        <v>0</v>
      </c>
      <c r="BB94" s="377">
        <f t="shared" si="64"/>
        <v>0</v>
      </c>
      <c r="BC94" s="377">
        <f t="shared" si="65"/>
        <v>0</v>
      </c>
      <c r="BD94" s="377">
        <f t="shared" si="66"/>
        <v>0</v>
      </c>
      <c r="BE94" s="377">
        <f t="shared" si="67"/>
        <v>0</v>
      </c>
      <c r="BF94" s="377">
        <f t="shared" si="68"/>
        <v>0</v>
      </c>
      <c r="BG94" s="328"/>
    </row>
    <row r="95" spans="2:59">
      <c r="B95" s="332">
        <v>80</v>
      </c>
      <c r="C95" s="350">
        <v>130350934.33845443</v>
      </c>
      <c r="D95" s="350">
        <v>131420072.76353517</v>
      </c>
      <c r="E95" s="350">
        <v>132444412.72723755</v>
      </c>
      <c r="F95" s="350">
        <v>133471186.80408381</v>
      </c>
      <c r="G95" s="350">
        <v>134503584.46697891</v>
      </c>
      <c r="H95" s="348">
        <v>662190191.10028982</v>
      </c>
      <c r="I95" s="369"/>
      <c r="J95" s="350">
        <v>161556918.1181547</v>
      </c>
      <c r="K95" s="350">
        <v>194452335.99087217</v>
      </c>
      <c r="L95" s="350">
        <v>227784373.87625515</v>
      </c>
      <c r="M95" s="350">
        <v>261613326.017542</v>
      </c>
      <c r="N95" s="350">
        <v>295947964.40671414</v>
      </c>
      <c r="O95" s="348">
        <v>1141354918.4095383</v>
      </c>
      <c r="P95" s="369"/>
      <c r="Q95" s="350">
        <f t="shared" si="69"/>
        <v>31205983.779700279</v>
      </c>
      <c r="R95" s="350">
        <f t="shared" si="70"/>
        <v>63032263.227337003</v>
      </c>
      <c r="S95" s="350">
        <f t="shared" si="71"/>
        <v>95339961.149017602</v>
      </c>
      <c r="T95" s="350">
        <f t="shared" si="72"/>
        <v>128142139.2134582</v>
      </c>
      <c r="U95" s="350">
        <f t="shared" si="73"/>
        <v>161444379.93973523</v>
      </c>
      <c r="V95" s="350">
        <f t="shared" si="74"/>
        <v>479164727.30924845</v>
      </c>
      <c r="W95" s="365"/>
      <c r="X95" s="377">
        <f t="shared" si="52"/>
        <v>0</v>
      </c>
      <c r="Y95" s="377">
        <f t="shared" si="53"/>
        <v>0</v>
      </c>
      <c r="Z95" s="377">
        <f t="shared" si="54"/>
        <v>0</v>
      </c>
      <c r="AA95" s="377">
        <f t="shared" si="55"/>
        <v>0</v>
      </c>
      <c r="AB95" s="377">
        <f t="shared" si="56"/>
        <v>0</v>
      </c>
      <c r="AC95" s="377">
        <f t="shared" si="57"/>
        <v>0</v>
      </c>
      <c r="AD95" s="376"/>
      <c r="AE95" s="332">
        <v>80</v>
      </c>
      <c r="AF95" s="350">
        <v>141945955.34827787</v>
      </c>
      <c r="AG95" s="350">
        <v>143110196.14116383</v>
      </c>
      <c r="AH95" s="350">
        <v>144225653.54457319</v>
      </c>
      <c r="AI95" s="350">
        <v>145343761.58119348</v>
      </c>
      <c r="AJ95" s="350">
        <v>146467993.4350172</v>
      </c>
      <c r="AK95" s="348">
        <v>721093560.05022562</v>
      </c>
      <c r="AL95" s="369"/>
      <c r="AM95" s="350">
        <v>171695413.12515736</v>
      </c>
      <c r="AN95" s="350">
        <v>203217360.66603589</v>
      </c>
      <c r="AO95" s="350">
        <v>235149736.82301918</v>
      </c>
      <c r="AP95" s="350">
        <v>267556428.57902947</v>
      </c>
      <c r="AQ95" s="350">
        <v>300446233.65590137</v>
      </c>
      <c r="AR95" s="348">
        <v>1178065172.8491433</v>
      </c>
      <c r="AS95" s="369"/>
      <c r="AT95" s="350">
        <f t="shared" si="75"/>
        <v>29749457.776879489</v>
      </c>
      <c r="AU95" s="350">
        <f t="shared" si="58"/>
        <v>60107164.524872065</v>
      </c>
      <c r="AV95" s="350">
        <f t="shared" si="59"/>
        <v>90924083.278445989</v>
      </c>
      <c r="AW95" s="350">
        <f t="shared" si="60"/>
        <v>122212666.99783599</v>
      </c>
      <c r="AX95" s="350">
        <f t="shared" si="61"/>
        <v>153978240.22088417</v>
      </c>
      <c r="AY95" s="350">
        <f t="shared" si="62"/>
        <v>456971612.79891765</v>
      </c>
      <c r="AZ95" s="365"/>
      <c r="BA95" s="377">
        <f t="shared" si="63"/>
        <v>0</v>
      </c>
      <c r="BB95" s="377">
        <f t="shared" si="64"/>
        <v>0</v>
      </c>
      <c r="BC95" s="377">
        <f t="shared" si="65"/>
        <v>0</v>
      </c>
      <c r="BD95" s="377">
        <f t="shared" si="66"/>
        <v>0</v>
      </c>
      <c r="BE95" s="377">
        <f t="shared" si="67"/>
        <v>0</v>
      </c>
      <c r="BF95" s="377">
        <f t="shared" si="68"/>
        <v>0</v>
      </c>
      <c r="BG95" s="328"/>
    </row>
    <row r="96" spans="2:59">
      <c r="B96" s="332">
        <v>81</v>
      </c>
      <c r="C96" s="350">
        <v>122532442.03216682</v>
      </c>
      <c r="D96" s="350">
        <v>123537453.17965434</v>
      </c>
      <c r="E96" s="350">
        <v>124500352.89234607</v>
      </c>
      <c r="F96" s="350">
        <v>125465540.7192674</v>
      </c>
      <c r="G96" s="350">
        <v>126436014.82767981</v>
      </c>
      <c r="H96" s="348">
        <v>622471803.65111446</v>
      </c>
      <c r="I96" s="369"/>
      <c r="J96" s="350">
        <v>154008563.86861232</v>
      </c>
      <c r="K96" s="350">
        <v>187117009.54098687</v>
      </c>
      <c r="L96" s="350">
        <v>220668955.3853648</v>
      </c>
      <c r="M96" s="350">
        <v>254721975.78080586</v>
      </c>
      <c r="N96" s="350">
        <v>289284699.99079973</v>
      </c>
      <c r="O96" s="348">
        <v>1105801204.5665696</v>
      </c>
      <c r="P96" s="369"/>
      <c r="Q96" s="350">
        <f t="shared" si="69"/>
        <v>31476121.836445495</v>
      </c>
      <c r="R96" s="350">
        <f t="shared" si="70"/>
        <v>63579556.361332521</v>
      </c>
      <c r="S96" s="350">
        <f t="shared" si="71"/>
        <v>96168602.493018731</v>
      </c>
      <c r="T96" s="350">
        <f t="shared" si="72"/>
        <v>129256435.06153846</v>
      </c>
      <c r="U96" s="350">
        <f t="shared" si="73"/>
        <v>162848685.16311991</v>
      </c>
      <c r="V96" s="350">
        <f t="shared" si="74"/>
        <v>483329400.9154551</v>
      </c>
      <c r="W96" s="365"/>
      <c r="X96" s="377">
        <f t="shared" si="52"/>
        <v>0</v>
      </c>
      <c r="Y96" s="377">
        <f t="shared" si="53"/>
        <v>0</v>
      </c>
      <c r="Z96" s="377">
        <f t="shared" si="54"/>
        <v>0</v>
      </c>
      <c r="AA96" s="377">
        <f t="shared" si="55"/>
        <v>0</v>
      </c>
      <c r="AB96" s="377">
        <f t="shared" si="56"/>
        <v>0</v>
      </c>
      <c r="AC96" s="377">
        <f t="shared" si="57"/>
        <v>0</v>
      </c>
      <c r="AD96" s="376"/>
      <c r="AE96" s="332">
        <v>81</v>
      </c>
      <c r="AF96" s="350">
        <v>116833254.43797639</v>
      </c>
      <c r="AG96" s="350">
        <v>117791520.84612155</v>
      </c>
      <c r="AH96" s="350">
        <v>118709634.49231517</v>
      </c>
      <c r="AI96" s="350">
        <v>119629929.82874155</v>
      </c>
      <c r="AJ96" s="350">
        <v>120555265.57291821</v>
      </c>
      <c r="AK96" s="348">
        <v>593519605.17807281</v>
      </c>
      <c r="AL96" s="369"/>
      <c r="AM96" s="350">
        <v>152345981.27192408</v>
      </c>
      <c r="AN96" s="350">
        <v>189500542.4167031</v>
      </c>
      <c r="AO96" s="350">
        <v>227162461.74423572</v>
      </c>
      <c r="AP96" s="350">
        <v>265388936.77747798</v>
      </c>
      <c r="AQ96" s="350">
        <v>304189175.78817636</v>
      </c>
      <c r="AR96" s="348">
        <v>1138587097.9985173</v>
      </c>
      <c r="AS96" s="369"/>
      <c r="AT96" s="350">
        <f t="shared" si="75"/>
        <v>35512726.833947688</v>
      </c>
      <c r="AU96" s="350">
        <f t="shared" si="58"/>
        <v>71709021.570581555</v>
      </c>
      <c r="AV96" s="350">
        <f t="shared" si="59"/>
        <v>108452827.25192055</v>
      </c>
      <c r="AW96" s="350">
        <f t="shared" si="60"/>
        <v>145759006.94873643</v>
      </c>
      <c r="AX96" s="350">
        <f t="shared" si="61"/>
        <v>183633910.21525815</v>
      </c>
      <c r="AY96" s="350">
        <f t="shared" si="62"/>
        <v>545067492.82044446</v>
      </c>
      <c r="AZ96" s="365"/>
      <c r="BA96" s="377">
        <f t="shared" si="63"/>
        <v>0</v>
      </c>
      <c r="BB96" s="377">
        <f t="shared" si="64"/>
        <v>0</v>
      </c>
      <c r="BC96" s="377">
        <f t="shared" si="65"/>
        <v>0</v>
      </c>
      <c r="BD96" s="377">
        <f t="shared" si="66"/>
        <v>0</v>
      </c>
      <c r="BE96" s="377">
        <f t="shared" si="67"/>
        <v>0</v>
      </c>
      <c r="BF96" s="377">
        <f t="shared" si="68"/>
        <v>0</v>
      </c>
      <c r="BG96" s="328"/>
    </row>
    <row r="97" spans="2:59">
      <c r="B97" s="332">
        <v>82</v>
      </c>
      <c r="C97" s="350">
        <v>146372365.63356751</v>
      </c>
      <c r="D97" s="350">
        <v>147572911.84570652</v>
      </c>
      <c r="E97" s="350">
        <v>148723153.41828176</v>
      </c>
      <c r="F97" s="350">
        <v>149876128.28080928</v>
      </c>
      <c r="G97" s="350">
        <v>151035417.92425871</v>
      </c>
      <c r="H97" s="348">
        <v>743579977.10262382</v>
      </c>
      <c r="I97" s="369"/>
      <c r="J97" s="350">
        <v>177630651.34091231</v>
      </c>
      <c r="K97" s="350">
        <v>210733186.38169193</v>
      </c>
      <c r="L97" s="350">
        <v>244267990.8124069</v>
      </c>
      <c r="M97" s="350">
        <v>278301187.3658042</v>
      </c>
      <c r="N97" s="350">
        <v>312841952.82262743</v>
      </c>
      <c r="O97" s="348">
        <v>1223774968.7234428</v>
      </c>
      <c r="P97" s="369"/>
      <c r="Q97" s="350">
        <f t="shared" si="69"/>
        <v>31258285.7073448</v>
      </c>
      <c r="R97" s="350">
        <f t="shared" si="70"/>
        <v>63160274.53598541</v>
      </c>
      <c r="S97" s="350">
        <f t="shared" si="71"/>
        <v>95544837.394125134</v>
      </c>
      <c r="T97" s="350">
        <f t="shared" si="72"/>
        <v>128425059.08499491</v>
      </c>
      <c r="U97" s="350">
        <f t="shared" si="73"/>
        <v>161806534.89836872</v>
      </c>
      <c r="V97" s="350">
        <f t="shared" si="74"/>
        <v>480194991.62081897</v>
      </c>
      <c r="W97" s="365"/>
      <c r="X97" s="377">
        <f t="shared" si="52"/>
        <v>0</v>
      </c>
      <c r="Y97" s="377">
        <f t="shared" si="53"/>
        <v>0</v>
      </c>
      <c r="Z97" s="377">
        <f t="shared" si="54"/>
        <v>0</v>
      </c>
      <c r="AA97" s="377">
        <f t="shared" si="55"/>
        <v>0</v>
      </c>
      <c r="AB97" s="377">
        <f t="shared" si="56"/>
        <v>0</v>
      </c>
      <c r="AC97" s="377">
        <f t="shared" si="57"/>
        <v>0</v>
      </c>
      <c r="AD97" s="376"/>
      <c r="AE97" s="332">
        <v>82</v>
      </c>
      <c r="AF97" s="350">
        <v>120370458.96468723</v>
      </c>
      <c r="AG97" s="350">
        <v>121357737.526033</v>
      </c>
      <c r="AH97" s="350">
        <v>122303647.67383894</v>
      </c>
      <c r="AI97" s="350">
        <v>123251805.5640012</v>
      </c>
      <c r="AJ97" s="350">
        <v>124205156.46361265</v>
      </c>
      <c r="AK97" s="348">
        <v>611488806.192173</v>
      </c>
      <c r="AL97" s="369"/>
      <c r="AM97" s="350">
        <v>150772829.25074214</v>
      </c>
      <c r="AN97" s="350">
        <v>182775730.15920609</v>
      </c>
      <c r="AO97" s="350">
        <v>215206422.89674041</v>
      </c>
      <c r="AP97" s="350">
        <v>248121249.42132559</v>
      </c>
      <c r="AQ97" s="350">
        <v>281528595.12175858</v>
      </c>
      <c r="AR97" s="348">
        <v>1078404826.8497729</v>
      </c>
      <c r="AS97" s="369"/>
      <c r="AT97" s="350">
        <f t="shared" si="75"/>
        <v>30402370.286054909</v>
      </c>
      <c r="AU97" s="350">
        <f t="shared" si="58"/>
        <v>61417992.633173093</v>
      </c>
      <c r="AV97" s="350">
        <f t="shared" si="59"/>
        <v>92902775.222901464</v>
      </c>
      <c r="AW97" s="350">
        <f t="shared" si="60"/>
        <v>124869443.85732439</v>
      </c>
      <c r="AX97" s="350">
        <f t="shared" si="61"/>
        <v>157323438.65814593</v>
      </c>
      <c r="AY97" s="350">
        <f t="shared" si="62"/>
        <v>466916020.65759993</v>
      </c>
      <c r="AZ97" s="365"/>
      <c r="BA97" s="377">
        <f t="shared" si="63"/>
        <v>0</v>
      </c>
      <c r="BB97" s="377">
        <f t="shared" si="64"/>
        <v>0</v>
      </c>
      <c r="BC97" s="377">
        <f t="shared" si="65"/>
        <v>0</v>
      </c>
      <c r="BD97" s="377">
        <f t="shared" si="66"/>
        <v>0</v>
      </c>
      <c r="BE97" s="377">
        <f t="shared" si="67"/>
        <v>0</v>
      </c>
      <c r="BF97" s="377">
        <f t="shared" si="68"/>
        <v>0</v>
      </c>
      <c r="BG97" s="328"/>
    </row>
    <row r="98" spans="2:59">
      <c r="B98" s="332">
        <v>83</v>
      </c>
      <c r="C98" s="350">
        <v>141371931.95479736</v>
      </c>
      <c r="D98" s="350">
        <v>142531464.60753861</v>
      </c>
      <c r="E98" s="350">
        <v>143642411.14875102</v>
      </c>
      <c r="F98" s="350">
        <v>144755997.60412669</v>
      </c>
      <c r="G98" s="350">
        <v>145875683.11224997</v>
      </c>
      <c r="H98" s="348">
        <v>718177488.42746365</v>
      </c>
      <c r="I98" s="369"/>
      <c r="J98" s="350">
        <v>181022108.42803711</v>
      </c>
      <c r="K98" s="350">
        <v>222633209.35488817</v>
      </c>
      <c r="L98" s="350">
        <v>264807618.72827929</v>
      </c>
      <c r="M98" s="350">
        <v>307613159.4049167</v>
      </c>
      <c r="N98" s="350">
        <v>351060385.66796762</v>
      </c>
      <c r="O98" s="348">
        <v>1327136481.5840888</v>
      </c>
      <c r="P98" s="369"/>
      <c r="Q98" s="350">
        <f t="shared" si="69"/>
        <v>39650176.47323975</v>
      </c>
      <c r="R98" s="350">
        <f t="shared" si="70"/>
        <v>80101744.74734956</v>
      </c>
      <c r="S98" s="350">
        <f t="shared" si="71"/>
        <v>121165207.57952827</v>
      </c>
      <c r="T98" s="350">
        <f t="shared" si="72"/>
        <v>162857161.80079001</v>
      </c>
      <c r="U98" s="350">
        <f t="shared" si="73"/>
        <v>205184702.55571765</v>
      </c>
      <c r="V98" s="350">
        <f t="shared" si="74"/>
        <v>608958993.15662515</v>
      </c>
      <c r="W98" s="365"/>
      <c r="X98" s="377">
        <f t="shared" si="52"/>
        <v>0</v>
      </c>
      <c r="Y98" s="377">
        <f t="shared" si="53"/>
        <v>0</v>
      </c>
      <c r="Z98" s="377">
        <f t="shared" si="54"/>
        <v>0</v>
      </c>
      <c r="AA98" s="377">
        <f t="shared" si="55"/>
        <v>0</v>
      </c>
      <c r="AB98" s="377">
        <f t="shared" si="56"/>
        <v>0</v>
      </c>
      <c r="AC98" s="377">
        <f t="shared" si="57"/>
        <v>0</v>
      </c>
      <c r="AD98" s="376"/>
      <c r="AE98" s="332">
        <v>83</v>
      </c>
      <c r="AF98" s="350">
        <v>130717737.65432855</v>
      </c>
      <c r="AG98" s="350">
        <v>131789884.60037954</v>
      </c>
      <c r="AH98" s="350">
        <v>132817107.02362987</v>
      </c>
      <c r="AI98" s="350">
        <v>133846770.40953977</v>
      </c>
      <c r="AJ98" s="350">
        <v>134882073.20608795</v>
      </c>
      <c r="AK98" s="348">
        <v>664053572.89396572</v>
      </c>
      <c r="AL98" s="369"/>
      <c r="AM98" s="350">
        <v>161287362.4095524</v>
      </c>
      <c r="AN98" s="350">
        <v>193546561.15731096</v>
      </c>
      <c r="AO98" s="350">
        <v>226232589.13631487</v>
      </c>
      <c r="AP98" s="350">
        <v>259405607.68788499</v>
      </c>
      <c r="AQ98" s="350">
        <v>293074285.43209386</v>
      </c>
      <c r="AR98" s="348">
        <v>1133546405.8231571</v>
      </c>
      <c r="AS98" s="369"/>
      <c r="AT98" s="350">
        <f t="shared" si="75"/>
        <v>30569624.75522384</v>
      </c>
      <c r="AU98" s="350">
        <f t="shared" si="58"/>
        <v>61756676.556931421</v>
      </c>
      <c r="AV98" s="350">
        <f t="shared" si="59"/>
        <v>93415482.112684995</v>
      </c>
      <c r="AW98" s="350">
        <f t="shared" si="60"/>
        <v>125558837.27834521</v>
      </c>
      <c r="AX98" s="350">
        <f t="shared" si="61"/>
        <v>158192212.22600591</v>
      </c>
      <c r="AY98" s="350">
        <f t="shared" si="62"/>
        <v>469492832.92919135</v>
      </c>
      <c r="AZ98" s="365"/>
      <c r="BA98" s="377">
        <f t="shared" si="63"/>
        <v>0</v>
      </c>
      <c r="BB98" s="377">
        <f t="shared" si="64"/>
        <v>0</v>
      </c>
      <c r="BC98" s="377">
        <f t="shared" si="65"/>
        <v>0</v>
      </c>
      <c r="BD98" s="377">
        <f t="shared" si="66"/>
        <v>0</v>
      </c>
      <c r="BE98" s="377">
        <f t="shared" si="67"/>
        <v>0</v>
      </c>
      <c r="BF98" s="377">
        <f t="shared" si="68"/>
        <v>0</v>
      </c>
      <c r="BG98" s="328"/>
    </row>
    <row r="99" spans="2:59">
      <c r="B99" s="332">
        <v>84</v>
      </c>
      <c r="C99" s="350">
        <v>125792126.63656858</v>
      </c>
      <c r="D99" s="350">
        <v>126823873.71872279</v>
      </c>
      <c r="E99" s="350">
        <v>127812389.09137353</v>
      </c>
      <c r="F99" s="350">
        <v>128803253.44809864</v>
      </c>
      <c r="G99" s="350">
        <v>129799544.71527895</v>
      </c>
      <c r="H99" s="348">
        <v>639031187.61004257</v>
      </c>
      <c r="I99" s="369"/>
      <c r="J99" s="350">
        <v>157506628.15345961</v>
      </c>
      <c r="K99" s="350">
        <v>190896109.05432546</v>
      </c>
      <c r="L99" s="350">
        <v>224731821.66641998</v>
      </c>
      <c r="M99" s="350">
        <v>259072621.91154233</v>
      </c>
      <c r="N99" s="350">
        <v>293927263.16338432</v>
      </c>
      <c r="O99" s="348">
        <v>1126134443.9491317</v>
      </c>
      <c r="P99" s="369"/>
      <c r="Q99" s="350">
        <f t="shared" si="69"/>
        <v>31714501.516891032</v>
      </c>
      <c r="R99" s="350">
        <f t="shared" si="70"/>
        <v>64072235.335602671</v>
      </c>
      <c r="S99" s="350">
        <f t="shared" si="71"/>
        <v>96919432.57504645</v>
      </c>
      <c r="T99" s="350">
        <f t="shared" si="72"/>
        <v>130269368.46344368</v>
      </c>
      <c r="U99" s="350">
        <f t="shared" si="73"/>
        <v>164127718.44810537</v>
      </c>
      <c r="V99" s="350">
        <f t="shared" si="74"/>
        <v>487103256.33908916</v>
      </c>
      <c r="W99" s="365"/>
      <c r="X99" s="377">
        <f t="shared" si="52"/>
        <v>0</v>
      </c>
      <c r="Y99" s="377">
        <f t="shared" si="53"/>
        <v>0</v>
      </c>
      <c r="Z99" s="377">
        <f t="shared" si="54"/>
        <v>0</v>
      </c>
      <c r="AA99" s="377">
        <f t="shared" si="55"/>
        <v>0</v>
      </c>
      <c r="AB99" s="377">
        <f t="shared" si="56"/>
        <v>0</v>
      </c>
      <c r="AC99" s="377">
        <f t="shared" si="57"/>
        <v>0</v>
      </c>
      <c r="AD99" s="376"/>
      <c r="AE99" s="332">
        <v>84</v>
      </c>
      <c r="AF99" s="350">
        <v>145388170.76831695</v>
      </c>
      <c r="AG99" s="350">
        <v>146580644.61370581</v>
      </c>
      <c r="AH99" s="350">
        <v>147723152.06348658</v>
      </c>
      <c r="AI99" s="350">
        <v>148868374.42481929</v>
      </c>
      <c r="AJ99" s="350">
        <v>150019869.1070444</v>
      </c>
      <c r="AK99" s="348">
        <v>738580210.97737312</v>
      </c>
      <c r="AL99" s="369"/>
      <c r="AM99" s="350">
        <v>182845351.00416192</v>
      </c>
      <c r="AN99" s="350">
        <v>222218000.05665839</v>
      </c>
      <c r="AO99" s="350">
        <v>262118203.07650724</v>
      </c>
      <c r="AP99" s="350">
        <v>302614318.36093134</v>
      </c>
      <c r="AQ99" s="350">
        <v>343716600.84028596</v>
      </c>
      <c r="AR99" s="348">
        <v>1313512473.3385448</v>
      </c>
      <c r="AS99" s="369"/>
      <c r="AT99" s="350">
        <f t="shared" si="75"/>
        <v>37457180.23584497</v>
      </c>
      <c r="AU99" s="350">
        <f t="shared" si="58"/>
        <v>75637355.442952573</v>
      </c>
      <c r="AV99" s="350">
        <f t="shared" si="59"/>
        <v>114395051.01302066</v>
      </c>
      <c r="AW99" s="350">
        <f t="shared" si="60"/>
        <v>153745943.93611205</v>
      </c>
      <c r="AX99" s="350">
        <f t="shared" si="61"/>
        <v>193696731.73324156</v>
      </c>
      <c r="AY99" s="350">
        <f t="shared" si="62"/>
        <v>574932262.36117172</v>
      </c>
      <c r="AZ99" s="365"/>
      <c r="BA99" s="377">
        <f t="shared" si="63"/>
        <v>0</v>
      </c>
      <c r="BB99" s="377">
        <f t="shared" si="64"/>
        <v>0</v>
      </c>
      <c r="BC99" s="377">
        <f t="shared" si="65"/>
        <v>0</v>
      </c>
      <c r="BD99" s="377">
        <f t="shared" si="66"/>
        <v>0</v>
      </c>
      <c r="BE99" s="377">
        <f t="shared" si="67"/>
        <v>0</v>
      </c>
      <c r="BF99" s="377">
        <f t="shared" si="68"/>
        <v>0</v>
      </c>
      <c r="BG99" s="328"/>
    </row>
    <row r="100" spans="2:59">
      <c r="B100" s="332">
        <v>85</v>
      </c>
      <c r="C100" s="350">
        <v>149873155.83828902</v>
      </c>
      <c r="D100" s="350">
        <v>151102415.53334251</v>
      </c>
      <c r="E100" s="350">
        <v>152280167.45196506</v>
      </c>
      <c r="F100" s="350">
        <v>153460718.03267926</v>
      </c>
      <c r="G100" s="350">
        <v>154647734.4250313</v>
      </c>
      <c r="H100" s="348">
        <v>761364191.2813071</v>
      </c>
      <c r="I100" s="369"/>
      <c r="J100" s="350">
        <v>184264141.37016487</v>
      </c>
      <c r="K100" s="350">
        <v>220590732.70461696</v>
      </c>
      <c r="L100" s="350">
        <v>257396724.64266223</v>
      </c>
      <c r="M100" s="350">
        <v>294750819.67886156</v>
      </c>
      <c r="N100" s="350">
        <v>332662840.72621816</v>
      </c>
      <c r="O100" s="348">
        <v>1289665259.1225238</v>
      </c>
      <c r="P100" s="369"/>
      <c r="Q100" s="350">
        <f t="shared" si="69"/>
        <v>34390985.531875849</v>
      </c>
      <c r="R100" s="350">
        <f t="shared" si="70"/>
        <v>69488317.171274453</v>
      </c>
      <c r="S100" s="350">
        <f t="shared" si="71"/>
        <v>105116557.19069716</v>
      </c>
      <c r="T100" s="350">
        <f t="shared" si="72"/>
        <v>141290101.6461823</v>
      </c>
      <c r="U100" s="350">
        <f t="shared" si="73"/>
        <v>178015106.30118686</v>
      </c>
      <c r="V100" s="350">
        <f t="shared" si="74"/>
        <v>528301067.84121668</v>
      </c>
      <c r="W100" s="365"/>
      <c r="X100" s="377">
        <f t="shared" si="52"/>
        <v>0</v>
      </c>
      <c r="Y100" s="377">
        <f t="shared" si="53"/>
        <v>0</v>
      </c>
      <c r="Z100" s="377">
        <f t="shared" si="54"/>
        <v>0</v>
      </c>
      <c r="AA100" s="377">
        <f t="shared" si="55"/>
        <v>0</v>
      </c>
      <c r="AB100" s="377">
        <f t="shared" si="56"/>
        <v>0</v>
      </c>
      <c r="AC100" s="377">
        <f t="shared" si="57"/>
        <v>0</v>
      </c>
      <c r="AD100" s="376"/>
      <c r="AE100" s="332">
        <v>85</v>
      </c>
      <c r="AF100" s="350">
        <v>127076268.06032653</v>
      </c>
      <c r="AG100" s="350">
        <v>128118547.67104563</v>
      </c>
      <c r="AH100" s="350">
        <v>129117154.24393266</v>
      </c>
      <c r="AI100" s="350">
        <v>130118133.78035799</v>
      </c>
      <c r="AJ100" s="350">
        <v>131124595.62753023</v>
      </c>
      <c r="AK100" s="348">
        <v>645554699.38319302</v>
      </c>
      <c r="AL100" s="369"/>
      <c r="AM100" s="350">
        <v>156134970.31038845</v>
      </c>
      <c r="AN100" s="350">
        <v>186811242.13248184</v>
      </c>
      <c r="AO100" s="350">
        <v>217892096.80378097</v>
      </c>
      <c r="AP100" s="350">
        <v>249435743.09278622</v>
      </c>
      <c r="AQ100" s="350">
        <v>281450488.37842232</v>
      </c>
      <c r="AR100" s="348">
        <v>1091724540.7178597</v>
      </c>
      <c r="AS100" s="369"/>
      <c r="AT100" s="350">
        <f t="shared" si="75"/>
        <v>29058702.250061914</v>
      </c>
      <c r="AU100" s="350">
        <f t="shared" si="58"/>
        <v>58692694.461436212</v>
      </c>
      <c r="AV100" s="350">
        <f t="shared" si="59"/>
        <v>88774942.559848309</v>
      </c>
      <c r="AW100" s="350">
        <f t="shared" si="60"/>
        <v>119317609.31242824</v>
      </c>
      <c r="AX100" s="350">
        <f t="shared" si="61"/>
        <v>150325892.7508921</v>
      </c>
      <c r="AY100" s="350">
        <f t="shared" si="62"/>
        <v>446169841.33466673</v>
      </c>
      <c r="AZ100" s="365"/>
      <c r="BA100" s="377">
        <f t="shared" si="63"/>
        <v>0</v>
      </c>
      <c r="BB100" s="377">
        <f t="shared" si="64"/>
        <v>0</v>
      </c>
      <c r="BC100" s="377">
        <f t="shared" si="65"/>
        <v>0</v>
      </c>
      <c r="BD100" s="377">
        <f t="shared" si="66"/>
        <v>0</v>
      </c>
      <c r="BE100" s="377">
        <f t="shared" si="67"/>
        <v>0</v>
      </c>
      <c r="BF100" s="377">
        <f t="shared" si="68"/>
        <v>0</v>
      </c>
      <c r="BG100" s="328"/>
    </row>
    <row r="101" spans="2:59">
      <c r="B101" s="332">
        <v>86</v>
      </c>
      <c r="C101" s="350">
        <v>122720779.97592923</v>
      </c>
      <c r="D101" s="350">
        <v>123727335.87132058</v>
      </c>
      <c r="E101" s="350">
        <v>124691715.60472299</v>
      </c>
      <c r="F101" s="350">
        <v>125658386.96929073</v>
      </c>
      <c r="G101" s="350">
        <v>126630352.74060504</v>
      </c>
      <c r="H101" s="348">
        <v>623428571.16186857</v>
      </c>
      <c r="I101" s="369"/>
      <c r="J101" s="350">
        <v>158043071.81378031</v>
      </c>
      <c r="K101" s="350">
        <v>195049056.89452285</v>
      </c>
      <c r="L101" s="350">
        <v>232557397.65900517</v>
      </c>
      <c r="M101" s="350">
        <v>270627345.11513931</v>
      </c>
      <c r="N101" s="350">
        <v>309268217.12155908</v>
      </c>
      <c r="O101" s="348">
        <v>1165545088.6040068</v>
      </c>
      <c r="P101" s="369"/>
      <c r="Q101" s="350">
        <f t="shared" si="69"/>
        <v>35322291.837851077</v>
      </c>
      <c r="R101" s="350">
        <f t="shared" si="70"/>
        <v>71321721.02320227</v>
      </c>
      <c r="S101" s="350">
        <f t="shared" si="71"/>
        <v>107865682.05428217</v>
      </c>
      <c r="T101" s="350">
        <f t="shared" si="72"/>
        <v>144968958.14584857</v>
      </c>
      <c r="U101" s="350">
        <f t="shared" si="73"/>
        <v>182637864.38095403</v>
      </c>
      <c r="V101" s="350">
        <f t="shared" si="74"/>
        <v>542116517.4421382</v>
      </c>
      <c r="W101" s="365"/>
      <c r="X101" s="377">
        <f t="shared" si="52"/>
        <v>0</v>
      </c>
      <c r="Y101" s="377">
        <f t="shared" si="53"/>
        <v>0</v>
      </c>
      <c r="Z101" s="377">
        <f t="shared" si="54"/>
        <v>0</v>
      </c>
      <c r="AA101" s="377">
        <f t="shared" si="55"/>
        <v>0</v>
      </c>
      <c r="AB101" s="377">
        <f t="shared" si="56"/>
        <v>0</v>
      </c>
      <c r="AC101" s="377">
        <f t="shared" si="57"/>
        <v>0</v>
      </c>
      <c r="AD101" s="376"/>
      <c r="AE101" s="332">
        <v>86</v>
      </c>
      <c r="AF101" s="350">
        <v>129756325.27650626</v>
      </c>
      <c r="AG101" s="350">
        <v>130820586.71777971</v>
      </c>
      <c r="AH101" s="350">
        <v>131840254.05041869</v>
      </c>
      <c r="AI101" s="350">
        <v>132862344.39274661</v>
      </c>
      <c r="AJ101" s="350">
        <v>133890032.66856278</v>
      </c>
      <c r="AK101" s="348">
        <v>659169543.10601413</v>
      </c>
      <c r="AL101" s="369"/>
      <c r="AM101" s="350">
        <v>157076721.05080479</v>
      </c>
      <c r="AN101" s="350">
        <v>185993031.92299715</v>
      </c>
      <c r="AO101" s="350">
        <v>215286045.9140943</v>
      </c>
      <c r="AP101" s="350">
        <v>245014214.81415194</v>
      </c>
      <c r="AQ101" s="350">
        <v>275185599.22207135</v>
      </c>
      <c r="AR101" s="348">
        <v>1078555612.9241197</v>
      </c>
      <c r="AS101" s="369"/>
      <c r="AT101" s="350">
        <f t="shared" si="75"/>
        <v>27320395.774298534</v>
      </c>
      <c r="AU101" s="350">
        <f t="shared" si="58"/>
        <v>55172445.205217436</v>
      </c>
      <c r="AV101" s="350">
        <f t="shared" si="59"/>
        <v>83445791.863675609</v>
      </c>
      <c r="AW101" s="350">
        <f t="shared" si="60"/>
        <v>112151870.42140533</v>
      </c>
      <c r="AX101" s="350">
        <f t="shared" si="61"/>
        <v>141295566.55350858</v>
      </c>
      <c r="AY101" s="350">
        <f t="shared" si="62"/>
        <v>419386069.81810558</v>
      </c>
      <c r="AZ101" s="365"/>
      <c r="BA101" s="377">
        <f t="shared" si="63"/>
        <v>0</v>
      </c>
      <c r="BB101" s="377">
        <f t="shared" si="64"/>
        <v>0</v>
      </c>
      <c r="BC101" s="377">
        <f t="shared" si="65"/>
        <v>0</v>
      </c>
      <c r="BD101" s="377">
        <f t="shared" si="66"/>
        <v>0</v>
      </c>
      <c r="BE101" s="377">
        <f t="shared" si="67"/>
        <v>0</v>
      </c>
      <c r="BF101" s="377">
        <f t="shared" si="68"/>
        <v>0</v>
      </c>
      <c r="BG101" s="328"/>
    </row>
    <row r="102" spans="2:59">
      <c r="B102" s="332">
        <v>87</v>
      </c>
      <c r="C102" s="350">
        <v>96016769.672319427</v>
      </c>
      <c r="D102" s="350">
        <v>96804299.262573525</v>
      </c>
      <c r="E102" s="350">
        <v>97558830.212889493</v>
      </c>
      <c r="F102" s="350">
        <v>98315154.136015907</v>
      </c>
      <c r="G102" s="350">
        <v>99075620.404336274</v>
      </c>
      <c r="H102" s="348">
        <v>487770673.68813461</v>
      </c>
      <c r="I102" s="369"/>
      <c r="J102" s="350">
        <v>124690374.03668484</v>
      </c>
      <c r="K102" s="350">
        <v>154716681.71688485</v>
      </c>
      <c r="L102" s="350">
        <v>185152267.32136181</v>
      </c>
      <c r="M102" s="350">
        <v>216043923.90551513</v>
      </c>
      <c r="N102" s="350">
        <v>247399129.60656464</v>
      </c>
      <c r="O102" s="348">
        <v>928002376.58701122</v>
      </c>
      <c r="P102" s="369"/>
      <c r="Q102" s="350">
        <f t="shared" si="69"/>
        <v>28673604.364365414</v>
      </c>
      <c r="R102" s="350">
        <f t="shared" si="70"/>
        <v>57912382.454311326</v>
      </c>
      <c r="S102" s="350">
        <f t="shared" si="71"/>
        <v>87593437.108472317</v>
      </c>
      <c r="T102" s="350">
        <f t="shared" si="72"/>
        <v>117728769.76949923</v>
      </c>
      <c r="U102" s="350">
        <f t="shared" si="73"/>
        <v>148323509.20222837</v>
      </c>
      <c r="V102" s="350">
        <f t="shared" si="74"/>
        <v>440231702.89887661</v>
      </c>
      <c r="W102" s="365"/>
      <c r="X102" s="377">
        <f t="shared" si="52"/>
        <v>0</v>
      </c>
      <c r="Y102" s="377">
        <f t="shared" si="53"/>
        <v>0</v>
      </c>
      <c r="Z102" s="377">
        <f t="shared" si="54"/>
        <v>0</v>
      </c>
      <c r="AA102" s="377">
        <f t="shared" si="55"/>
        <v>0</v>
      </c>
      <c r="AB102" s="377">
        <f t="shared" si="56"/>
        <v>0</v>
      </c>
      <c r="AC102" s="377">
        <f t="shared" si="57"/>
        <v>0</v>
      </c>
      <c r="AD102" s="376"/>
      <c r="AE102" s="332">
        <v>87</v>
      </c>
      <c r="AF102" s="350">
        <v>141783170.59659857</v>
      </c>
      <c r="AG102" s="350">
        <v>142946076.22887436</v>
      </c>
      <c r="AH102" s="350">
        <v>144060254.41685289</v>
      </c>
      <c r="AI102" s="350">
        <v>145177080.19827515</v>
      </c>
      <c r="AJ102" s="350">
        <v>146300022.77405843</v>
      </c>
      <c r="AK102" s="348">
        <v>720266604.21465945</v>
      </c>
      <c r="AL102" s="369"/>
      <c r="AM102" s="350">
        <v>178405101.82957232</v>
      </c>
      <c r="AN102" s="350">
        <v>216916758.17713237</v>
      </c>
      <c r="AO102" s="350">
        <v>255944640.39067018</v>
      </c>
      <c r="AP102" s="350">
        <v>295555452.02873206</v>
      </c>
      <c r="AQ102" s="350">
        <v>335759213.51143831</v>
      </c>
      <c r="AR102" s="348">
        <v>1282581165.9375453</v>
      </c>
      <c r="AS102" s="369"/>
      <c r="AT102" s="350">
        <f t="shared" si="75"/>
        <v>36621931.232973754</v>
      </c>
      <c r="AU102" s="350">
        <f t="shared" si="58"/>
        <v>73970681.948258013</v>
      </c>
      <c r="AV102" s="350">
        <f t="shared" si="59"/>
        <v>111884385.97381729</v>
      </c>
      <c r="AW102" s="350">
        <f t="shared" si="60"/>
        <v>150378371.83045691</v>
      </c>
      <c r="AX102" s="350">
        <f t="shared" si="61"/>
        <v>189459190.73737988</v>
      </c>
      <c r="AY102" s="350">
        <f t="shared" si="62"/>
        <v>562314561.72288585</v>
      </c>
      <c r="AZ102" s="365"/>
      <c r="BA102" s="377">
        <f t="shared" si="63"/>
        <v>0</v>
      </c>
      <c r="BB102" s="377">
        <f t="shared" si="64"/>
        <v>0</v>
      </c>
      <c r="BC102" s="377">
        <f t="shared" si="65"/>
        <v>0</v>
      </c>
      <c r="BD102" s="377">
        <f t="shared" si="66"/>
        <v>0</v>
      </c>
      <c r="BE102" s="377">
        <f t="shared" si="67"/>
        <v>0</v>
      </c>
      <c r="BF102" s="377">
        <f t="shared" si="68"/>
        <v>0</v>
      </c>
      <c r="BG102" s="328"/>
    </row>
    <row r="103" spans="2:59">
      <c r="B103" s="332">
        <v>88</v>
      </c>
      <c r="C103" s="350">
        <v>135534308.23077509</v>
      </c>
      <c r="D103" s="350">
        <v>136645960.69097161</v>
      </c>
      <c r="E103" s="350">
        <v>137711033.28963101</v>
      </c>
      <c r="F103" s="350">
        <v>138778636.79336438</v>
      </c>
      <c r="G103" s="350">
        <v>139852087.50370789</v>
      </c>
      <c r="H103" s="348">
        <v>688522026.50845003</v>
      </c>
      <c r="I103" s="369"/>
      <c r="J103" s="350">
        <v>166314729.6578036</v>
      </c>
      <c r="K103" s="350">
        <v>198817154.65192157</v>
      </c>
      <c r="L103" s="350">
        <v>231747829.90025753</v>
      </c>
      <c r="M103" s="350">
        <v>265168749.63096434</v>
      </c>
      <c r="N103" s="350">
        <v>299088736.3079614</v>
      </c>
      <c r="O103" s="348">
        <v>1161137200.1489084</v>
      </c>
      <c r="P103" s="369"/>
      <c r="Q103" s="350">
        <f t="shared" si="69"/>
        <v>30780421.427028507</v>
      </c>
      <c r="R103" s="350">
        <f t="shared" si="70"/>
        <v>62171193.960949957</v>
      </c>
      <c r="S103" s="350">
        <f t="shared" si="71"/>
        <v>94036796.610626519</v>
      </c>
      <c r="T103" s="350">
        <f t="shared" si="72"/>
        <v>126390112.83759996</v>
      </c>
      <c r="U103" s="350">
        <f t="shared" si="73"/>
        <v>159236648.80425352</v>
      </c>
      <c r="V103" s="350">
        <f t="shared" si="74"/>
        <v>472615173.64045835</v>
      </c>
      <c r="W103" s="365"/>
      <c r="X103" s="377">
        <f t="shared" si="52"/>
        <v>0</v>
      </c>
      <c r="Y103" s="377">
        <f t="shared" si="53"/>
        <v>0</v>
      </c>
      <c r="Z103" s="377">
        <f t="shared" si="54"/>
        <v>0</v>
      </c>
      <c r="AA103" s="377">
        <f t="shared" si="55"/>
        <v>0</v>
      </c>
      <c r="AB103" s="377">
        <f t="shared" si="56"/>
        <v>0</v>
      </c>
      <c r="AC103" s="377">
        <f t="shared" si="57"/>
        <v>0</v>
      </c>
      <c r="AD103" s="376"/>
      <c r="AE103" s="332">
        <v>88</v>
      </c>
      <c r="AF103" s="350">
        <v>165975471.83549815</v>
      </c>
      <c r="AG103" s="350">
        <v>167336802.73397481</v>
      </c>
      <c r="AH103" s="350">
        <v>168641091.87972051</v>
      </c>
      <c r="AI103" s="350">
        <v>169948480.37476981</v>
      </c>
      <c r="AJ103" s="350">
        <v>171263029.3658492</v>
      </c>
      <c r="AK103" s="348">
        <v>843164876.18981242</v>
      </c>
      <c r="AL103" s="369"/>
      <c r="AM103" s="350">
        <v>202804116.0466871</v>
      </c>
      <c r="AN103" s="350">
        <v>241722748.13448849</v>
      </c>
      <c r="AO103" s="350">
        <v>281152445.35697931</v>
      </c>
      <c r="AP103" s="350">
        <v>321168763.73318195</v>
      </c>
      <c r="AQ103" s="350">
        <v>361782352.26172847</v>
      </c>
      <c r="AR103" s="348">
        <v>1408630425.5330653</v>
      </c>
      <c r="AS103" s="369"/>
      <c r="AT103" s="350">
        <f t="shared" si="75"/>
        <v>36828644.211188942</v>
      </c>
      <c r="AU103" s="350">
        <f t="shared" si="58"/>
        <v>74385945.400513679</v>
      </c>
      <c r="AV103" s="350">
        <f t="shared" si="59"/>
        <v>112511353.4772588</v>
      </c>
      <c r="AW103" s="350">
        <f t="shared" si="60"/>
        <v>151220283.35841215</v>
      </c>
      <c r="AX103" s="350">
        <f t="shared" si="61"/>
        <v>190519322.89587927</v>
      </c>
      <c r="AY103" s="350">
        <f t="shared" si="62"/>
        <v>565465549.3432529</v>
      </c>
      <c r="AZ103" s="365"/>
      <c r="BA103" s="377">
        <f t="shared" si="63"/>
        <v>0</v>
      </c>
      <c r="BB103" s="377">
        <f t="shared" si="64"/>
        <v>0</v>
      </c>
      <c r="BC103" s="377">
        <f t="shared" si="65"/>
        <v>0</v>
      </c>
      <c r="BD103" s="377">
        <f t="shared" si="66"/>
        <v>0</v>
      </c>
      <c r="BE103" s="377">
        <f t="shared" si="67"/>
        <v>0</v>
      </c>
      <c r="BF103" s="377">
        <f t="shared" si="68"/>
        <v>0</v>
      </c>
      <c r="BG103" s="328"/>
    </row>
    <row r="104" spans="2:59">
      <c r="B104" s="332">
        <v>89</v>
      </c>
      <c r="C104" s="350">
        <v>154336881.65738612</v>
      </c>
      <c r="D104" s="350">
        <v>155602752.83371854</v>
      </c>
      <c r="E104" s="350">
        <v>156815582.15908712</v>
      </c>
      <c r="F104" s="350">
        <v>158031293.50010157</v>
      </c>
      <c r="G104" s="350">
        <v>159253663.22633526</v>
      </c>
      <c r="H104" s="348">
        <v>784040173.37662864</v>
      </c>
      <c r="I104" s="369"/>
      <c r="J104" s="350">
        <v>197468170.67809981</v>
      </c>
      <c r="K104" s="350">
        <v>242729594.38644326</v>
      </c>
      <c r="L104" s="350">
        <v>288603475.76193678</v>
      </c>
      <c r="M104" s="350">
        <v>335163792.21556097</v>
      </c>
      <c r="N104" s="350">
        <v>382422037.04138839</v>
      </c>
      <c r="O104" s="348">
        <v>1446387070.0834293</v>
      </c>
      <c r="P104" s="369"/>
      <c r="Q104" s="350">
        <f t="shared" si="69"/>
        <v>43131289.020713687</v>
      </c>
      <c r="R104" s="350">
        <f t="shared" si="70"/>
        <v>87126841.552724719</v>
      </c>
      <c r="S104" s="350">
        <f t="shared" si="71"/>
        <v>131787893.60284966</v>
      </c>
      <c r="T104" s="350">
        <f t="shared" si="72"/>
        <v>177132498.71545941</v>
      </c>
      <c r="U104" s="350">
        <f t="shared" si="73"/>
        <v>223168373.81505314</v>
      </c>
      <c r="V104" s="350">
        <f t="shared" si="74"/>
        <v>662346896.7068007</v>
      </c>
      <c r="W104" s="365"/>
      <c r="X104" s="377">
        <f t="shared" si="52"/>
        <v>0</v>
      </c>
      <c r="Y104" s="377">
        <f t="shared" si="53"/>
        <v>0</v>
      </c>
      <c r="Z104" s="377">
        <f t="shared" si="54"/>
        <v>0</v>
      </c>
      <c r="AA104" s="377">
        <f t="shared" si="55"/>
        <v>0</v>
      </c>
      <c r="AB104" s="377">
        <f t="shared" si="56"/>
        <v>0</v>
      </c>
      <c r="AC104" s="377">
        <f t="shared" si="57"/>
        <v>0</v>
      </c>
      <c r="AD104" s="376"/>
      <c r="AE104" s="332">
        <v>89</v>
      </c>
      <c r="AF104" s="350">
        <v>138008809.26135427</v>
      </c>
      <c r="AG104" s="350">
        <v>139140757.58017364</v>
      </c>
      <c r="AH104" s="350">
        <v>140225275.6113396</v>
      </c>
      <c r="AI104" s="350">
        <v>141312370.7552689</v>
      </c>
      <c r="AJ104" s="350">
        <v>142405419.86046681</v>
      </c>
      <c r="AK104" s="348">
        <v>701092633.06860328</v>
      </c>
      <c r="AL104" s="369"/>
      <c r="AM104" s="350">
        <v>169082984.0538632</v>
      </c>
      <c r="AN104" s="350">
        <v>201914678.93921059</v>
      </c>
      <c r="AO104" s="350">
        <v>235178451.66898465</v>
      </c>
      <c r="AP104" s="350">
        <v>268937316.58070713</v>
      </c>
      <c r="AQ104" s="350">
        <v>303200210.66759163</v>
      </c>
      <c r="AR104" s="348">
        <v>1178313641.9103572</v>
      </c>
      <c r="AS104" s="369"/>
      <c r="AT104" s="350">
        <f t="shared" si="75"/>
        <v>31074174.79250893</v>
      </c>
      <c r="AU104" s="350">
        <f t="shared" si="58"/>
        <v>62773921.359036952</v>
      </c>
      <c r="AV104" s="350">
        <f t="shared" si="59"/>
        <v>94953176.057645053</v>
      </c>
      <c r="AW104" s="350">
        <f t="shared" si="60"/>
        <v>127624945.82543823</v>
      </c>
      <c r="AX104" s="350">
        <f t="shared" si="61"/>
        <v>160794790.80712482</v>
      </c>
      <c r="AY104" s="350">
        <f t="shared" si="62"/>
        <v>477221008.84175396</v>
      </c>
      <c r="AZ104" s="365"/>
      <c r="BA104" s="377">
        <f t="shared" si="63"/>
        <v>0</v>
      </c>
      <c r="BB104" s="377">
        <f t="shared" si="64"/>
        <v>0</v>
      </c>
      <c r="BC104" s="377">
        <f t="shared" si="65"/>
        <v>0</v>
      </c>
      <c r="BD104" s="377">
        <f t="shared" si="66"/>
        <v>0</v>
      </c>
      <c r="BE104" s="377">
        <f t="shared" si="67"/>
        <v>0</v>
      </c>
      <c r="BF104" s="377">
        <f t="shared" si="68"/>
        <v>0</v>
      </c>
      <c r="BG104" s="328"/>
    </row>
    <row r="105" spans="2:59">
      <c r="B105" s="332">
        <v>90</v>
      </c>
      <c r="C105" s="350">
        <v>131742969.94082814</v>
      </c>
      <c r="D105" s="350">
        <v>132823525.84257776</v>
      </c>
      <c r="E105" s="350">
        <v>133858804.87400258</v>
      </c>
      <c r="F105" s="350">
        <v>134896544.01280117</v>
      </c>
      <c r="G105" s="350">
        <v>135939966.79269949</v>
      </c>
      <c r="H105" s="348">
        <v>669261811.4629091</v>
      </c>
      <c r="I105" s="369"/>
      <c r="J105" s="350">
        <v>164748327.54130375</v>
      </c>
      <c r="K105" s="350">
        <v>199510511.05700067</v>
      </c>
      <c r="L105" s="350">
        <v>234736910.34167218</v>
      </c>
      <c r="M105" s="350">
        <v>270489078.31577253</v>
      </c>
      <c r="N105" s="350">
        <v>306776146.01123053</v>
      </c>
      <c r="O105" s="348">
        <v>1176260973.2669797</v>
      </c>
      <c r="P105" s="369"/>
      <c r="Q105" s="350">
        <f t="shared" si="69"/>
        <v>33005357.600475609</v>
      </c>
      <c r="R105" s="350">
        <f t="shared" si="70"/>
        <v>66686985.214422911</v>
      </c>
      <c r="S105" s="350">
        <f t="shared" si="71"/>
        <v>100878105.46766961</v>
      </c>
      <c r="T105" s="350">
        <f t="shared" si="72"/>
        <v>135592534.30297136</v>
      </c>
      <c r="U105" s="350">
        <f t="shared" si="73"/>
        <v>170836179.21853104</v>
      </c>
      <c r="V105" s="350">
        <f t="shared" si="74"/>
        <v>506999161.80407059</v>
      </c>
      <c r="W105" s="365"/>
      <c r="X105" s="377">
        <f t="shared" si="52"/>
        <v>0</v>
      </c>
      <c r="Y105" s="377">
        <f t="shared" si="53"/>
        <v>0</v>
      </c>
      <c r="Z105" s="377">
        <f t="shared" si="54"/>
        <v>0</v>
      </c>
      <c r="AA105" s="377">
        <f t="shared" si="55"/>
        <v>0</v>
      </c>
      <c r="AB105" s="377">
        <f t="shared" si="56"/>
        <v>0</v>
      </c>
      <c r="AC105" s="377">
        <f t="shared" si="57"/>
        <v>0</v>
      </c>
      <c r="AD105" s="376"/>
      <c r="AE105" s="332">
        <v>90</v>
      </c>
      <c r="AF105" s="350">
        <v>146050155.75687763</v>
      </c>
      <c r="AG105" s="350">
        <v>147248059.20345569</v>
      </c>
      <c r="AH105" s="350">
        <v>148395768.74620646</v>
      </c>
      <c r="AI105" s="350">
        <v>149546205.56211108</v>
      </c>
      <c r="AJ105" s="350">
        <v>150702943.25819355</v>
      </c>
      <c r="AK105" s="348">
        <v>741943132.5268445</v>
      </c>
      <c r="AL105" s="369"/>
      <c r="AM105" s="350">
        <v>182162896.59890294</v>
      </c>
      <c r="AN105" s="350">
        <v>220183934.83083069</v>
      </c>
      <c r="AO105" s="350">
        <v>258711778.85393101</v>
      </c>
      <c r="AP105" s="350">
        <v>297814464.8874687</v>
      </c>
      <c r="AQ105" s="350">
        <v>337502025.70501059</v>
      </c>
      <c r="AR105" s="348">
        <v>1296375100.8761439</v>
      </c>
      <c r="AS105" s="369"/>
      <c r="AT105" s="350">
        <f t="shared" si="75"/>
        <v>36112740.84202531</v>
      </c>
      <c r="AU105" s="350">
        <f t="shared" si="58"/>
        <v>72935875.627375007</v>
      </c>
      <c r="AV105" s="350">
        <f t="shared" si="59"/>
        <v>110316010.10772455</v>
      </c>
      <c r="AW105" s="350">
        <f t="shared" si="60"/>
        <v>148268259.32535762</v>
      </c>
      <c r="AX105" s="350">
        <f t="shared" si="61"/>
        <v>186799082.44681704</v>
      </c>
      <c r="AY105" s="350">
        <f t="shared" si="62"/>
        <v>554431968.34929943</v>
      </c>
      <c r="AZ105" s="365"/>
      <c r="BA105" s="377">
        <f t="shared" si="63"/>
        <v>0</v>
      </c>
      <c r="BB105" s="377">
        <f t="shared" si="64"/>
        <v>0</v>
      </c>
      <c r="BC105" s="377">
        <f t="shared" si="65"/>
        <v>0</v>
      </c>
      <c r="BD105" s="377">
        <f t="shared" si="66"/>
        <v>0</v>
      </c>
      <c r="BE105" s="377">
        <f t="shared" si="67"/>
        <v>0</v>
      </c>
      <c r="BF105" s="377">
        <f t="shared" si="68"/>
        <v>0</v>
      </c>
      <c r="BG105" s="328"/>
    </row>
    <row r="106" spans="2:59">
      <c r="B106" s="332">
        <v>91</v>
      </c>
      <c r="C106" s="350">
        <v>123895073.18311918</v>
      </c>
      <c r="D106" s="350">
        <v>124911260.6319512</v>
      </c>
      <c r="E106" s="350">
        <v>125884868.34263913</v>
      </c>
      <c r="F106" s="350">
        <v>126860789.61270151</v>
      </c>
      <c r="G106" s="350">
        <v>127842055.95074211</v>
      </c>
      <c r="H106" s="348">
        <v>629394047.72115314</v>
      </c>
      <c r="I106" s="369"/>
      <c r="J106" s="350">
        <v>156360566.74843851</v>
      </c>
      <c r="K106" s="350">
        <v>190486671.91949594</v>
      </c>
      <c r="L106" s="350">
        <v>225071032.29103774</v>
      </c>
      <c r="M106" s="350">
        <v>260172129.96301609</v>
      </c>
      <c r="N106" s="350">
        <v>295798804.14156896</v>
      </c>
      <c r="O106" s="348">
        <v>1127889205.0635571</v>
      </c>
      <c r="P106" s="369"/>
      <c r="Q106" s="350">
        <f t="shared" si="69"/>
        <v>32465493.56531933</v>
      </c>
      <c r="R106" s="350">
        <f t="shared" si="70"/>
        <v>65575411.287544742</v>
      </c>
      <c r="S106" s="350">
        <f t="shared" si="71"/>
        <v>99186163.948398605</v>
      </c>
      <c r="T106" s="350">
        <f t="shared" si="72"/>
        <v>133311340.35031459</v>
      </c>
      <c r="U106" s="350">
        <f t="shared" si="73"/>
        <v>167956748.19082683</v>
      </c>
      <c r="V106" s="350">
        <f t="shared" si="74"/>
        <v>498495157.34240401</v>
      </c>
      <c r="W106" s="365"/>
      <c r="X106" s="377">
        <f t="shared" si="52"/>
        <v>0</v>
      </c>
      <c r="Y106" s="377">
        <f t="shared" si="53"/>
        <v>0</v>
      </c>
      <c r="Z106" s="377">
        <f t="shared" si="54"/>
        <v>0</v>
      </c>
      <c r="AA106" s="377">
        <f t="shared" si="55"/>
        <v>0</v>
      </c>
      <c r="AB106" s="377">
        <f t="shared" si="56"/>
        <v>0</v>
      </c>
      <c r="AC106" s="377">
        <f t="shared" si="57"/>
        <v>0</v>
      </c>
      <c r="AD106" s="376"/>
      <c r="AE106" s="332">
        <v>91</v>
      </c>
      <c r="AF106" s="350">
        <v>148689695.72956061</v>
      </c>
      <c r="AG106" s="350">
        <v>149909248.68424273</v>
      </c>
      <c r="AH106" s="350">
        <v>151077700.58909118</v>
      </c>
      <c r="AI106" s="350">
        <v>152248929.05664366</v>
      </c>
      <c r="AJ106" s="350">
        <v>153426572.27912495</v>
      </c>
      <c r="AK106" s="348">
        <v>755352146.3386631</v>
      </c>
      <c r="AL106" s="369"/>
      <c r="AM106" s="350">
        <v>185637558.04728919</v>
      </c>
      <c r="AN106" s="350">
        <v>224555285.83133605</v>
      </c>
      <c r="AO106" s="350">
        <v>263992159.28705564</v>
      </c>
      <c r="AP106" s="350">
        <v>304017521.9158681</v>
      </c>
      <c r="AQ106" s="350">
        <v>344641624.03296036</v>
      </c>
      <c r="AR106" s="348">
        <v>1322844149.1145093</v>
      </c>
      <c r="AS106" s="369"/>
      <c r="AT106" s="350">
        <f t="shared" si="75"/>
        <v>36947862.317728579</v>
      </c>
      <c r="AU106" s="350">
        <f t="shared" si="58"/>
        <v>74646037.147093326</v>
      </c>
      <c r="AV106" s="350">
        <f t="shared" si="59"/>
        <v>112914458.69796446</v>
      </c>
      <c r="AW106" s="350">
        <f t="shared" si="60"/>
        <v>151768592.85922444</v>
      </c>
      <c r="AX106" s="350">
        <f t="shared" si="61"/>
        <v>191215051.75383541</v>
      </c>
      <c r="AY106" s="350">
        <f t="shared" si="62"/>
        <v>567492002.77584624</v>
      </c>
      <c r="AZ106" s="365"/>
      <c r="BA106" s="377">
        <f t="shared" si="63"/>
        <v>0</v>
      </c>
      <c r="BB106" s="377">
        <f t="shared" si="64"/>
        <v>0</v>
      </c>
      <c r="BC106" s="377">
        <f t="shared" si="65"/>
        <v>0</v>
      </c>
      <c r="BD106" s="377">
        <f t="shared" si="66"/>
        <v>0</v>
      </c>
      <c r="BE106" s="377">
        <f t="shared" si="67"/>
        <v>0</v>
      </c>
      <c r="BF106" s="377">
        <f t="shared" si="68"/>
        <v>0</v>
      </c>
      <c r="BG106" s="328"/>
    </row>
    <row r="107" spans="2:59">
      <c r="B107" s="332">
        <v>92</v>
      </c>
      <c r="C107" s="350">
        <v>93721964.955062419</v>
      </c>
      <c r="D107" s="350">
        <v>94490672.555940494</v>
      </c>
      <c r="E107" s="350">
        <v>95227170.185722828</v>
      </c>
      <c r="F107" s="350">
        <v>95965417.936192274</v>
      </c>
      <c r="G107" s="350">
        <v>96707709.029636294</v>
      </c>
      <c r="H107" s="348">
        <v>476112934.66255426</v>
      </c>
      <c r="I107" s="369"/>
      <c r="J107" s="350">
        <v>119749088.99539587</v>
      </c>
      <c r="K107" s="350">
        <v>147059611.21028644</v>
      </c>
      <c r="L107" s="350">
        <v>174739405.52906302</v>
      </c>
      <c r="M107" s="350">
        <v>202833325.88545749</v>
      </c>
      <c r="N107" s="350">
        <v>231348321.15481952</v>
      </c>
      <c r="O107" s="348">
        <v>875729752.77502227</v>
      </c>
      <c r="P107" s="369"/>
      <c r="Q107" s="350">
        <f t="shared" si="69"/>
        <v>26027124.04033345</v>
      </c>
      <c r="R107" s="350">
        <f t="shared" si="70"/>
        <v>52568938.654345945</v>
      </c>
      <c r="S107" s="350">
        <f t="shared" si="71"/>
        <v>79512235.343340188</v>
      </c>
      <c r="T107" s="350">
        <f t="shared" si="72"/>
        <v>106867907.94926521</v>
      </c>
      <c r="U107" s="350">
        <f t="shared" si="73"/>
        <v>134640612.12518322</v>
      </c>
      <c r="V107" s="350">
        <f t="shared" si="74"/>
        <v>399616818.112468</v>
      </c>
      <c r="W107" s="365"/>
      <c r="X107" s="377">
        <f t="shared" si="52"/>
        <v>0</v>
      </c>
      <c r="Y107" s="377">
        <f t="shared" si="53"/>
        <v>0</v>
      </c>
      <c r="Z107" s="377">
        <f t="shared" si="54"/>
        <v>0</v>
      </c>
      <c r="AA107" s="377">
        <f t="shared" si="55"/>
        <v>0</v>
      </c>
      <c r="AB107" s="377">
        <f t="shared" si="56"/>
        <v>0</v>
      </c>
      <c r="AC107" s="377">
        <f t="shared" si="57"/>
        <v>0</v>
      </c>
      <c r="AD107" s="376"/>
      <c r="AE107" s="332">
        <v>92</v>
      </c>
      <c r="AF107" s="350">
        <v>120750728.75267676</v>
      </c>
      <c r="AG107" s="350">
        <v>121741126.28700344</v>
      </c>
      <c r="AH107" s="350">
        <v>122690024.71826741</v>
      </c>
      <c r="AI107" s="350">
        <v>123641177.99287015</v>
      </c>
      <c r="AJ107" s="350">
        <v>124597540.68248045</v>
      </c>
      <c r="AK107" s="348">
        <v>613420598.43329811</v>
      </c>
      <c r="AL107" s="369"/>
      <c r="AM107" s="350">
        <v>155072905.09166616</v>
      </c>
      <c r="AN107" s="350">
        <v>191058460.32736707</v>
      </c>
      <c r="AO107" s="350">
        <v>227531864.51790419</v>
      </c>
      <c r="AP107" s="350">
        <v>264551237.08682969</v>
      </c>
      <c r="AQ107" s="350">
        <v>302125671.17572784</v>
      </c>
      <c r="AR107" s="348">
        <v>1140340138.1994948</v>
      </c>
      <c r="AS107" s="369"/>
      <c r="AT107" s="350">
        <f t="shared" si="75"/>
        <v>34322176.338989407</v>
      </c>
      <c r="AU107" s="350">
        <f t="shared" si="58"/>
        <v>69317334.040363625</v>
      </c>
      <c r="AV107" s="350">
        <f t="shared" si="59"/>
        <v>104841839.79963678</v>
      </c>
      <c r="AW107" s="350">
        <f t="shared" si="60"/>
        <v>140910059.09395954</v>
      </c>
      <c r="AX107" s="350">
        <f t="shared" si="61"/>
        <v>177528130.49324739</v>
      </c>
      <c r="AY107" s="350">
        <f t="shared" si="62"/>
        <v>526919539.76619673</v>
      </c>
      <c r="AZ107" s="365"/>
      <c r="BA107" s="377">
        <f t="shared" si="63"/>
        <v>0</v>
      </c>
      <c r="BB107" s="377">
        <f t="shared" si="64"/>
        <v>0</v>
      </c>
      <c r="BC107" s="377">
        <f t="shared" si="65"/>
        <v>0</v>
      </c>
      <c r="BD107" s="377">
        <f t="shared" si="66"/>
        <v>0</v>
      </c>
      <c r="BE107" s="377">
        <f t="shared" si="67"/>
        <v>0</v>
      </c>
      <c r="BF107" s="377">
        <f t="shared" si="68"/>
        <v>0</v>
      </c>
      <c r="BG107" s="328"/>
    </row>
    <row r="108" spans="2:59">
      <c r="B108" s="332">
        <v>93</v>
      </c>
      <c r="C108" s="350">
        <v>146720575.50568759</v>
      </c>
      <c r="D108" s="350">
        <v>147923977.73536235</v>
      </c>
      <c r="E108" s="350">
        <v>149076955.65416777</v>
      </c>
      <c r="F108" s="350">
        <v>150232673.36523569</v>
      </c>
      <c r="G108" s="350">
        <v>151394720.87965858</v>
      </c>
      <c r="H108" s="348">
        <v>745348903.14011204</v>
      </c>
      <c r="I108" s="369"/>
      <c r="J108" s="350">
        <v>184067815.87956429</v>
      </c>
      <c r="K108" s="350">
        <v>223363310.05732557</v>
      </c>
      <c r="L108" s="350">
        <v>263184579.01624265</v>
      </c>
      <c r="M108" s="350">
        <v>303600419.16864353</v>
      </c>
      <c r="N108" s="350">
        <v>344621102.04901904</v>
      </c>
      <c r="O108" s="348">
        <v>1318837226.1707952</v>
      </c>
      <c r="P108" s="369"/>
      <c r="Q108" s="350">
        <f t="shared" si="69"/>
        <v>37347240.373876691</v>
      </c>
      <c r="R108" s="350">
        <f t="shared" si="70"/>
        <v>75439332.321963221</v>
      </c>
      <c r="S108" s="350">
        <f t="shared" si="71"/>
        <v>114107623.36207488</v>
      </c>
      <c r="T108" s="350">
        <f t="shared" si="72"/>
        <v>153367745.80340785</v>
      </c>
      <c r="U108" s="350">
        <f t="shared" si="73"/>
        <v>193226381.16936046</v>
      </c>
      <c r="V108" s="350">
        <f t="shared" si="74"/>
        <v>573488323.03068316</v>
      </c>
      <c r="W108" s="365"/>
      <c r="X108" s="377">
        <f t="shared" si="52"/>
        <v>0</v>
      </c>
      <c r="Y108" s="377">
        <f t="shared" si="53"/>
        <v>0</v>
      </c>
      <c r="Z108" s="377">
        <f t="shared" si="54"/>
        <v>0</v>
      </c>
      <c r="AA108" s="377">
        <f t="shared" si="55"/>
        <v>0</v>
      </c>
      <c r="AB108" s="377">
        <f t="shared" si="56"/>
        <v>0</v>
      </c>
      <c r="AC108" s="377">
        <f t="shared" si="57"/>
        <v>0</v>
      </c>
      <c r="AD108" s="376"/>
      <c r="AE108" s="332">
        <v>93</v>
      </c>
      <c r="AF108" s="350">
        <v>107759924.42827567</v>
      </c>
      <c r="AG108" s="350">
        <v>108643771.37939093</v>
      </c>
      <c r="AH108" s="350">
        <v>109490583.85248619</v>
      </c>
      <c r="AI108" s="350">
        <v>110339408.58464026</v>
      </c>
      <c r="AJ108" s="350">
        <v>111192882.28391302</v>
      </c>
      <c r="AK108" s="348">
        <v>547426570.52870607</v>
      </c>
      <c r="AL108" s="369"/>
      <c r="AM108" s="350">
        <v>140096284.66630208</v>
      </c>
      <c r="AN108" s="350">
        <v>173931248.35636339</v>
      </c>
      <c r="AO108" s="350">
        <v>208227597.88273069</v>
      </c>
      <c r="AP108" s="350">
        <v>243037913.22863644</v>
      </c>
      <c r="AQ108" s="350">
        <v>278370611.56195617</v>
      </c>
      <c r="AR108" s="348">
        <v>1043663655.6959889</v>
      </c>
      <c r="AS108" s="369"/>
      <c r="AT108" s="350">
        <f t="shared" si="75"/>
        <v>32336360.23802641</v>
      </c>
      <c r="AU108" s="350">
        <f t="shared" si="58"/>
        <v>65287476.976972461</v>
      </c>
      <c r="AV108" s="350">
        <f t="shared" si="59"/>
        <v>98737014.030244499</v>
      </c>
      <c r="AW108" s="350">
        <f t="shared" si="60"/>
        <v>132698504.64399618</v>
      </c>
      <c r="AX108" s="350">
        <f t="shared" si="61"/>
        <v>167177729.27804315</v>
      </c>
      <c r="AY108" s="350">
        <f t="shared" si="62"/>
        <v>496237085.16728282</v>
      </c>
      <c r="AZ108" s="365"/>
      <c r="BA108" s="377">
        <f t="shared" si="63"/>
        <v>0</v>
      </c>
      <c r="BB108" s="377">
        <f t="shared" si="64"/>
        <v>0</v>
      </c>
      <c r="BC108" s="377">
        <f t="shared" si="65"/>
        <v>0</v>
      </c>
      <c r="BD108" s="377">
        <f t="shared" si="66"/>
        <v>0</v>
      </c>
      <c r="BE108" s="377">
        <f t="shared" si="67"/>
        <v>0</v>
      </c>
      <c r="BF108" s="377">
        <f t="shared" si="68"/>
        <v>0</v>
      </c>
      <c r="BG108" s="328"/>
    </row>
    <row r="109" spans="2:59">
      <c r="B109" s="332">
        <v>94</v>
      </c>
      <c r="C109" s="350">
        <v>140457033.13905582</v>
      </c>
      <c r="D109" s="350">
        <v>141609061.7912778</v>
      </c>
      <c r="E109" s="350">
        <v>142712818.76055145</v>
      </c>
      <c r="F109" s="350">
        <v>143819198.55959043</v>
      </c>
      <c r="G109" s="350">
        <v>144931637.94091028</v>
      </c>
      <c r="H109" s="348">
        <v>713529750.19138575</v>
      </c>
      <c r="I109" s="369"/>
      <c r="J109" s="350">
        <v>180881506.88509524</v>
      </c>
      <c r="K109" s="350">
        <v>223252433.15879303</v>
      </c>
      <c r="L109" s="350">
        <v>266198578.93542206</v>
      </c>
      <c r="M109" s="350">
        <v>309787758.40848875</v>
      </c>
      <c r="N109" s="350">
        <v>354030638.57820928</v>
      </c>
      <c r="O109" s="348">
        <v>1334150915.9660082</v>
      </c>
      <c r="P109" s="369"/>
      <c r="Q109" s="350">
        <f t="shared" si="69"/>
        <v>40424473.74603942</v>
      </c>
      <c r="R109" s="350">
        <f t="shared" si="70"/>
        <v>81643371.367515236</v>
      </c>
      <c r="S109" s="350">
        <f t="shared" si="71"/>
        <v>123485760.17487061</v>
      </c>
      <c r="T109" s="350">
        <f t="shared" si="72"/>
        <v>165968559.84889832</v>
      </c>
      <c r="U109" s="350">
        <f t="shared" si="73"/>
        <v>209099000.637299</v>
      </c>
      <c r="V109" s="350">
        <f t="shared" si="74"/>
        <v>620621165.77462244</v>
      </c>
      <c r="W109" s="365"/>
      <c r="X109" s="377">
        <f t="shared" si="52"/>
        <v>0</v>
      </c>
      <c r="Y109" s="377">
        <f t="shared" si="53"/>
        <v>0</v>
      </c>
      <c r="Z109" s="377">
        <f t="shared" si="54"/>
        <v>0</v>
      </c>
      <c r="AA109" s="377">
        <f t="shared" si="55"/>
        <v>0</v>
      </c>
      <c r="AB109" s="377">
        <f t="shared" si="56"/>
        <v>0</v>
      </c>
      <c r="AC109" s="377">
        <f t="shared" si="57"/>
        <v>0</v>
      </c>
      <c r="AD109" s="376"/>
      <c r="AE109" s="332">
        <v>94</v>
      </c>
      <c r="AF109" s="350">
        <v>157264706.29025659</v>
      </c>
      <c r="AG109" s="350">
        <v>158554591.48561221</v>
      </c>
      <c r="AH109" s="350">
        <v>159790428.60753691</v>
      </c>
      <c r="AI109" s="350">
        <v>161029202.41795248</v>
      </c>
      <c r="AJ109" s="350">
        <v>162274760.92548403</v>
      </c>
      <c r="AK109" s="348">
        <v>798913689.72684228</v>
      </c>
      <c r="AL109" s="369"/>
      <c r="AM109" s="350">
        <v>194696404.84769565</v>
      </c>
      <c r="AN109" s="350">
        <v>234159324.26911283</v>
      </c>
      <c r="AO109" s="350">
        <v>274145616.67630982</v>
      </c>
      <c r="AP109" s="350">
        <v>314727934.20282733</v>
      </c>
      <c r="AQ109" s="350">
        <v>355916820.69669873</v>
      </c>
      <c r="AR109" s="348">
        <v>1373646100.6926444</v>
      </c>
      <c r="AS109" s="369"/>
      <c r="AT109" s="350">
        <f t="shared" si="75"/>
        <v>37431698.557439059</v>
      </c>
      <c r="AU109" s="350">
        <f t="shared" si="58"/>
        <v>75604732.783500612</v>
      </c>
      <c r="AV109" s="350">
        <f t="shared" si="59"/>
        <v>114355188.06877291</v>
      </c>
      <c r="AW109" s="350">
        <f t="shared" si="60"/>
        <v>153698731.78487486</v>
      </c>
      <c r="AX109" s="350">
        <f t="shared" si="61"/>
        <v>193642059.77121469</v>
      </c>
      <c r="AY109" s="350">
        <f t="shared" si="62"/>
        <v>574732410.96580207</v>
      </c>
      <c r="AZ109" s="365"/>
      <c r="BA109" s="377">
        <f t="shared" si="63"/>
        <v>0</v>
      </c>
      <c r="BB109" s="377">
        <f t="shared" si="64"/>
        <v>0</v>
      </c>
      <c r="BC109" s="377">
        <f t="shared" si="65"/>
        <v>0</v>
      </c>
      <c r="BD109" s="377">
        <f t="shared" si="66"/>
        <v>0</v>
      </c>
      <c r="BE109" s="377">
        <f t="shared" si="67"/>
        <v>0</v>
      </c>
      <c r="BF109" s="377">
        <f t="shared" si="68"/>
        <v>0</v>
      </c>
      <c r="BG109" s="328"/>
    </row>
    <row r="110" spans="2:59">
      <c r="B110" s="332">
        <v>95</v>
      </c>
      <c r="C110" s="350">
        <v>138956732.17121744</v>
      </c>
      <c r="D110" s="350">
        <v>140096455.35419175</v>
      </c>
      <c r="E110" s="350">
        <v>141188422.47135016</v>
      </c>
      <c r="F110" s="350">
        <v>142282984.40234643</v>
      </c>
      <c r="G110" s="350">
        <v>143383541.18980011</v>
      </c>
      <c r="H110" s="348">
        <v>705908135.58890593</v>
      </c>
      <c r="I110" s="369"/>
      <c r="J110" s="350">
        <v>177204144.06424636</v>
      </c>
      <c r="K110" s="350">
        <v>217356988.29534969</v>
      </c>
      <c r="L110" s="350">
        <v>258052208.81953323</v>
      </c>
      <c r="M110" s="350">
        <v>299356165.76881558</v>
      </c>
      <c r="N110" s="350">
        <v>341279102.19572496</v>
      </c>
      <c r="O110" s="348">
        <v>1293248609.1436698</v>
      </c>
      <c r="P110" s="369"/>
      <c r="Q110" s="350">
        <f t="shared" si="69"/>
        <v>38247411.893028915</v>
      </c>
      <c r="R110" s="350">
        <f t="shared" si="70"/>
        <v>77260532.941157937</v>
      </c>
      <c r="S110" s="350">
        <f t="shared" si="71"/>
        <v>116863786.34818307</v>
      </c>
      <c r="T110" s="350">
        <f t="shared" si="72"/>
        <v>157073181.36646914</v>
      </c>
      <c r="U110" s="350">
        <f t="shared" si="73"/>
        <v>197895561.00592485</v>
      </c>
      <c r="V110" s="350">
        <f t="shared" si="74"/>
        <v>587340473.55476391</v>
      </c>
      <c r="W110" s="365"/>
      <c r="X110" s="377">
        <f t="shared" si="52"/>
        <v>0</v>
      </c>
      <c r="Y110" s="377">
        <f t="shared" si="53"/>
        <v>0</v>
      </c>
      <c r="Z110" s="377">
        <f t="shared" si="54"/>
        <v>0</v>
      </c>
      <c r="AA110" s="377">
        <f t="shared" si="55"/>
        <v>0</v>
      </c>
      <c r="AB110" s="377">
        <f t="shared" si="56"/>
        <v>0</v>
      </c>
      <c r="AC110" s="377">
        <f t="shared" si="57"/>
        <v>0</v>
      </c>
      <c r="AD110" s="376"/>
      <c r="AE110" s="332">
        <v>95</v>
      </c>
      <c r="AF110" s="350">
        <v>116536597.12512878</v>
      </c>
      <c r="AG110" s="350">
        <v>117492430.34985363</v>
      </c>
      <c r="AH110" s="350">
        <v>118408212.76656577</v>
      </c>
      <c r="AI110" s="350">
        <v>119326171.33386895</v>
      </c>
      <c r="AJ110" s="350">
        <v>120249157.5105644</v>
      </c>
      <c r="AK110" s="348">
        <v>592012569.08598161</v>
      </c>
      <c r="AL110" s="369"/>
      <c r="AM110" s="350">
        <v>146577696.79058677</v>
      </c>
      <c r="AN110" s="350">
        <v>178151774.85225347</v>
      </c>
      <c r="AO110" s="350">
        <v>210148938.06569111</v>
      </c>
      <c r="AP110" s="350">
        <v>242623986.36983448</v>
      </c>
      <c r="AQ110" s="350">
        <v>275585142.30126816</v>
      </c>
      <c r="AR110" s="348">
        <v>1053087538.3796339</v>
      </c>
      <c r="AS110" s="369"/>
      <c r="AT110" s="350">
        <f t="shared" si="75"/>
        <v>30041099.665457994</v>
      </c>
      <c r="AU110" s="350">
        <f t="shared" si="58"/>
        <v>60659344.502399832</v>
      </c>
      <c r="AV110" s="350">
        <f t="shared" si="59"/>
        <v>91740725.299125344</v>
      </c>
      <c r="AW110" s="350">
        <f t="shared" si="60"/>
        <v>123297815.03596553</v>
      </c>
      <c r="AX110" s="350">
        <f t="shared" si="61"/>
        <v>155335984.79070377</v>
      </c>
      <c r="AY110" s="350">
        <f t="shared" si="62"/>
        <v>461074969.2936523</v>
      </c>
      <c r="AZ110" s="365"/>
      <c r="BA110" s="377">
        <f t="shared" si="63"/>
        <v>0</v>
      </c>
      <c r="BB110" s="377">
        <f t="shared" si="64"/>
        <v>0</v>
      </c>
      <c r="BC110" s="377">
        <f t="shared" si="65"/>
        <v>0</v>
      </c>
      <c r="BD110" s="377">
        <f t="shared" si="66"/>
        <v>0</v>
      </c>
      <c r="BE110" s="377">
        <f t="shared" si="67"/>
        <v>0</v>
      </c>
      <c r="BF110" s="377">
        <f t="shared" si="68"/>
        <v>0</v>
      </c>
      <c r="BG110" s="328"/>
    </row>
    <row r="111" spans="2:59">
      <c r="B111" s="332">
        <v>96</v>
      </c>
      <c r="C111" s="350">
        <v>169210586.37444001</v>
      </c>
      <c r="D111" s="350">
        <v>170598451.68389475</v>
      </c>
      <c r="E111" s="350">
        <v>171928163.41004789</v>
      </c>
      <c r="F111" s="350">
        <v>173261034.89653918</v>
      </c>
      <c r="G111" s="350">
        <v>174601206.4480257</v>
      </c>
      <c r="H111" s="348">
        <v>859599442.81294751</v>
      </c>
      <c r="I111" s="369"/>
      <c r="J111" s="350">
        <v>209249229.18831992</v>
      </c>
      <c r="K111" s="350">
        <v>251489422.99918073</v>
      </c>
      <c r="L111" s="350">
        <v>294289421.976367</v>
      </c>
      <c r="M111" s="350">
        <v>337727299.1462031</v>
      </c>
      <c r="N111" s="350">
        <v>381814360.14958066</v>
      </c>
      <c r="O111" s="348">
        <v>1474569733.4596515</v>
      </c>
      <c r="P111" s="369"/>
      <c r="Q111" s="350">
        <f t="shared" si="69"/>
        <v>40038642.813879907</v>
      </c>
      <c r="R111" s="350">
        <f t="shared" si="70"/>
        <v>80890971.315285981</v>
      </c>
      <c r="S111" s="350">
        <f t="shared" si="71"/>
        <v>122361258.56631911</v>
      </c>
      <c r="T111" s="350">
        <f t="shared" si="72"/>
        <v>164466264.24966392</v>
      </c>
      <c r="U111" s="350">
        <f t="shared" si="73"/>
        <v>207213153.70155495</v>
      </c>
      <c r="V111" s="350">
        <f t="shared" si="74"/>
        <v>614970290.64670396</v>
      </c>
      <c r="W111" s="365"/>
      <c r="X111" s="377">
        <f t="shared" si="52"/>
        <v>0</v>
      </c>
      <c r="Y111" s="377">
        <f t="shared" si="53"/>
        <v>0</v>
      </c>
      <c r="Z111" s="377">
        <f t="shared" si="54"/>
        <v>0</v>
      </c>
      <c r="AA111" s="377">
        <f t="shared" si="55"/>
        <v>0</v>
      </c>
      <c r="AB111" s="377">
        <f t="shared" si="56"/>
        <v>0</v>
      </c>
      <c r="AC111" s="377">
        <f t="shared" si="57"/>
        <v>0</v>
      </c>
      <c r="AD111" s="376"/>
      <c r="AE111" s="332">
        <v>96</v>
      </c>
      <c r="AF111" s="350">
        <v>121393322.70164803</v>
      </c>
      <c r="AG111" s="350">
        <v>122388990.791848</v>
      </c>
      <c r="AH111" s="350">
        <v>123342938.93499708</v>
      </c>
      <c r="AI111" s="350">
        <v>124299153.92098753</v>
      </c>
      <c r="AJ111" s="350">
        <v>125260606.04470487</v>
      </c>
      <c r="AK111" s="348">
        <v>616685012.39418554</v>
      </c>
      <c r="AL111" s="369"/>
      <c r="AM111" s="350">
        <v>159593721.96449363</v>
      </c>
      <c r="AN111" s="350">
        <v>199518995.18654963</v>
      </c>
      <c r="AO111" s="350">
        <v>239991401.0764665</v>
      </c>
      <c r="AP111" s="350">
        <v>281070914.02238095</v>
      </c>
      <c r="AQ111" s="350">
        <v>322767333.4895817</v>
      </c>
      <c r="AR111" s="348">
        <v>1202942365.7394724</v>
      </c>
      <c r="AS111" s="369"/>
      <c r="AT111" s="350">
        <f t="shared" si="75"/>
        <v>38200399.262845606</v>
      </c>
      <c r="AU111" s="350">
        <f t="shared" si="58"/>
        <v>77130004.39470163</v>
      </c>
      <c r="AV111" s="350">
        <f t="shared" si="59"/>
        <v>116648462.14146942</v>
      </c>
      <c r="AW111" s="350">
        <f t="shared" si="60"/>
        <v>156771760.1013934</v>
      </c>
      <c r="AX111" s="350">
        <f t="shared" si="61"/>
        <v>197506727.44487685</v>
      </c>
      <c r="AY111" s="350">
        <f t="shared" si="62"/>
        <v>586257353.34528685</v>
      </c>
      <c r="AZ111" s="365"/>
      <c r="BA111" s="377">
        <f t="shared" si="63"/>
        <v>0</v>
      </c>
      <c r="BB111" s="377">
        <f t="shared" si="64"/>
        <v>0</v>
      </c>
      <c r="BC111" s="377">
        <f t="shared" si="65"/>
        <v>0</v>
      </c>
      <c r="BD111" s="377">
        <f t="shared" si="66"/>
        <v>0</v>
      </c>
      <c r="BE111" s="377">
        <f t="shared" si="67"/>
        <v>0</v>
      </c>
      <c r="BF111" s="377">
        <f t="shared" si="68"/>
        <v>0</v>
      </c>
      <c r="BG111" s="328"/>
    </row>
    <row r="112" spans="2:59">
      <c r="B112" s="332">
        <v>97</v>
      </c>
      <c r="C112" s="350">
        <v>151871008.46791372</v>
      </c>
      <c r="D112" s="350">
        <v>153116654.55118012</v>
      </c>
      <c r="E112" s="350">
        <v>154310106.24441874</v>
      </c>
      <c r="F112" s="350">
        <v>155506393.9067263</v>
      </c>
      <c r="G112" s="350">
        <v>156709233.57181597</v>
      </c>
      <c r="H112" s="348">
        <v>771513396.74205494</v>
      </c>
      <c r="I112" s="369"/>
      <c r="J112" s="350">
        <v>189723560.0210816</v>
      </c>
      <c r="K112" s="350">
        <v>229565795.02723998</v>
      </c>
      <c r="L112" s="350">
        <v>269939660.96089685</v>
      </c>
      <c r="M112" s="350">
        <v>310916031.39153302</v>
      </c>
      <c r="N112" s="350">
        <v>352505392.61521769</v>
      </c>
      <c r="O112" s="348">
        <v>1352650440.0159693</v>
      </c>
      <c r="P112" s="369"/>
      <c r="Q112" s="350">
        <f t="shared" si="69"/>
        <v>37852551.55316788</v>
      </c>
      <c r="R112" s="350">
        <f t="shared" si="70"/>
        <v>76449140.476059854</v>
      </c>
      <c r="S112" s="350">
        <f t="shared" si="71"/>
        <v>115629554.71647811</v>
      </c>
      <c r="T112" s="350">
        <f t="shared" si="72"/>
        <v>155409637.48480672</v>
      </c>
      <c r="U112" s="350">
        <f t="shared" si="73"/>
        <v>195796159.04340172</v>
      </c>
      <c r="V112" s="350">
        <f t="shared" si="74"/>
        <v>581137043.27391434</v>
      </c>
      <c r="W112" s="365"/>
      <c r="X112" s="377">
        <f t="shared" si="52"/>
        <v>0</v>
      </c>
      <c r="Y112" s="377">
        <f t="shared" si="53"/>
        <v>0</v>
      </c>
      <c r="Z112" s="377">
        <f t="shared" si="54"/>
        <v>0</v>
      </c>
      <c r="AA112" s="377">
        <f t="shared" si="55"/>
        <v>0</v>
      </c>
      <c r="AB112" s="377">
        <f t="shared" si="56"/>
        <v>0</v>
      </c>
      <c r="AC112" s="377">
        <f t="shared" si="57"/>
        <v>0</v>
      </c>
      <c r="AD112" s="376"/>
      <c r="AE112" s="332">
        <v>97</v>
      </c>
      <c r="AF112" s="350">
        <v>130447335.1924333</v>
      </c>
      <c r="AG112" s="350">
        <v>131517264.29736392</v>
      </c>
      <c r="AH112" s="350">
        <v>132542361.81027585</v>
      </c>
      <c r="AI112" s="350">
        <v>133569895.23647666</v>
      </c>
      <c r="AJ112" s="350">
        <v>134603056.40764159</v>
      </c>
      <c r="AK112" s="348">
        <v>662679912.94419134</v>
      </c>
      <c r="AL112" s="369"/>
      <c r="AM112" s="350">
        <v>163359105.47615451</v>
      </c>
      <c r="AN112" s="350">
        <v>197996838.57865527</v>
      </c>
      <c r="AO112" s="350">
        <v>233097502.48567539</v>
      </c>
      <c r="AP112" s="350">
        <v>268722140.4520331</v>
      </c>
      <c r="AQ112" s="350">
        <v>304879832.26057583</v>
      </c>
      <c r="AR112" s="348">
        <v>1168055419.253094</v>
      </c>
      <c r="AS112" s="369"/>
      <c r="AT112" s="350">
        <f t="shared" si="75"/>
        <v>32911770.283721209</v>
      </c>
      <c r="AU112" s="350">
        <f t="shared" si="58"/>
        <v>66479574.281291351</v>
      </c>
      <c r="AV112" s="350">
        <f t="shared" si="59"/>
        <v>100555140.67539954</v>
      </c>
      <c r="AW112" s="350">
        <f t="shared" si="60"/>
        <v>135152245.21555644</v>
      </c>
      <c r="AX112" s="350">
        <f t="shared" si="61"/>
        <v>170276775.85293424</v>
      </c>
      <c r="AY112" s="350">
        <f t="shared" si="62"/>
        <v>505375506.30890262</v>
      </c>
      <c r="AZ112" s="365"/>
      <c r="BA112" s="377">
        <f t="shared" si="63"/>
        <v>0</v>
      </c>
      <c r="BB112" s="377">
        <f t="shared" si="64"/>
        <v>0</v>
      </c>
      <c r="BC112" s="377">
        <f t="shared" si="65"/>
        <v>0</v>
      </c>
      <c r="BD112" s="377">
        <f t="shared" si="66"/>
        <v>0</v>
      </c>
      <c r="BE112" s="377">
        <f t="shared" si="67"/>
        <v>0</v>
      </c>
      <c r="BF112" s="377">
        <f t="shared" si="68"/>
        <v>0</v>
      </c>
      <c r="BG112" s="328"/>
    </row>
    <row r="113" spans="2:59">
      <c r="B113" s="332">
        <v>98</v>
      </c>
      <c r="C113" s="350">
        <v>127582764.9891336</v>
      </c>
      <c r="D113" s="350">
        <v>128629198.88790229</v>
      </c>
      <c r="E113" s="350">
        <v>129631785.6781027</v>
      </c>
      <c r="F113" s="350">
        <v>130636754.8899311</v>
      </c>
      <c r="G113" s="350">
        <v>131647228.26374274</v>
      </c>
      <c r="H113" s="348">
        <v>648127732.70881248</v>
      </c>
      <c r="I113" s="369"/>
      <c r="J113" s="350">
        <v>161615999.31123856</v>
      </c>
      <c r="K113" s="350">
        <v>197371346.88293669</v>
      </c>
      <c r="L113" s="350">
        <v>233607869.45218447</v>
      </c>
      <c r="M113" s="350">
        <v>270386041.55495149</v>
      </c>
      <c r="N113" s="350">
        <v>307715073.10044044</v>
      </c>
      <c r="O113" s="348">
        <v>1170696330.3017516</v>
      </c>
      <c r="P113" s="369"/>
      <c r="Q113" s="350">
        <f t="shared" si="69"/>
        <v>34033234.322104961</v>
      </c>
      <c r="R113" s="350">
        <f t="shared" si="70"/>
        <v>68742147.995034397</v>
      </c>
      <c r="S113" s="350">
        <f t="shared" si="71"/>
        <v>103976083.77408177</v>
      </c>
      <c r="T113" s="350">
        <f t="shared" si="72"/>
        <v>139749286.66502041</v>
      </c>
      <c r="U113" s="350">
        <f t="shared" si="73"/>
        <v>176067844.8366977</v>
      </c>
      <c r="V113" s="350">
        <f t="shared" si="74"/>
        <v>522568597.59293914</v>
      </c>
      <c r="W113" s="365"/>
      <c r="X113" s="377">
        <f t="shared" si="52"/>
        <v>0</v>
      </c>
      <c r="Y113" s="377">
        <f t="shared" si="53"/>
        <v>0</v>
      </c>
      <c r="Z113" s="377">
        <f t="shared" si="54"/>
        <v>0</v>
      </c>
      <c r="AA113" s="377">
        <f t="shared" si="55"/>
        <v>0</v>
      </c>
      <c r="AB113" s="377">
        <f t="shared" si="56"/>
        <v>0</v>
      </c>
      <c r="AC113" s="377">
        <f t="shared" si="57"/>
        <v>0</v>
      </c>
      <c r="AD113" s="376"/>
      <c r="AE113" s="332">
        <v>98</v>
      </c>
      <c r="AF113" s="350">
        <v>107606180.29023677</v>
      </c>
      <c r="AG113" s="350">
        <v>108488766.23185912</v>
      </c>
      <c r="AH113" s="350">
        <v>109334370.53360088</v>
      </c>
      <c r="AI113" s="350">
        <v>110181984.22345431</v>
      </c>
      <c r="AJ113" s="350">
        <v>111034240.24761336</v>
      </c>
      <c r="AK113" s="348">
        <v>546645541.52676439</v>
      </c>
      <c r="AL113" s="369"/>
      <c r="AM113" s="350">
        <v>135943155.32156354</v>
      </c>
      <c r="AN113" s="350">
        <v>165725272.93676788</v>
      </c>
      <c r="AO113" s="350">
        <v>195907555.76766783</v>
      </c>
      <c r="AP113" s="350">
        <v>226540855.61072424</v>
      </c>
      <c r="AQ113" s="350">
        <v>257632874.57837841</v>
      </c>
      <c r="AR113" s="348">
        <v>981749714.21510196</v>
      </c>
      <c r="AS113" s="369"/>
      <c r="AT113" s="350">
        <f t="shared" si="75"/>
        <v>28336975.031326771</v>
      </c>
      <c r="AU113" s="350">
        <f t="shared" si="58"/>
        <v>57236506.704908758</v>
      </c>
      <c r="AV113" s="350">
        <f t="shared" si="59"/>
        <v>86573185.234066948</v>
      </c>
      <c r="AW113" s="350">
        <f t="shared" si="60"/>
        <v>116358871.38726993</v>
      </c>
      <c r="AX113" s="350">
        <f t="shared" si="61"/>
        <v>146598634.33076507</v>
      </c>
      <c r="AY113" s="350">
        <f t="shared" si="62"/>
        <v>435104172.68833756</v>
      </c>
      <c r="AZ113" s="365"/>
      <c r="BA113" s="377">
        <f t="shared" si="63"/>
        <v>0</v>
      </c>
      <c r="BB113" s="377">
        <f t="shared" si="64"/>
        <v>0</v>
      </c>
      <c r="BC113" s="377">
        <f t="shared" si="65"/>
        <v>0</v>
      </c>
      <c r="BD113" s="377">
        <f t="shared" si="66"/>
        <v>0</v>
      </c>
      <c r="BE113" s="377">
        <f t="shared" si="67"/>
        <v>0</v>
      </c>
      <c r="BF113" s="377">
        <f t="shared" si="68"/>
        <v>0</v>
      </c>
      <c r="BG113" s="328"/>
    </row>
    <row r="114" spans="2:59">
      <c r="B114" s="332">
        <v>99</v>
      </c>
      <c r="C114" s="350">
        <v>126075660.15827127</v>
      </c>
      <c r="D114" s="350">
        <v>127109732.78250451</v>
      </c>
      <c r="E114" s="350">
        <v>128100476.25362504</v>
      </c>
      <c r="F114" s="350">
        <v>129093574.00339392</v>
      </c>
      <c r="G114" s="350">
        <v>130092110.89579086</v>
      </c>
      <c r="H114" s="348">
        <v>640471554.09358549</v>
      </c>
      <c r="I114" s="369"/>
      <c r="J114" s="350">
        <v>157206309.80403605</v>
      </c>
      <c r="K114" s="350">
        <v>189988532.05007392</v>
      </c>
      <c r="L114" s="350">
        <v>223207661.19027394</v>
      </c>
      <c r="M114" s="350">
        <v>256922410.72089949</v>
      </c>
      <c r="N114" s="350">
        <v>291141434.35012239</v>
      </c>
      <c r="O114" s="348">
        <v>1118466348.1154058</v>
      </c>
      <c r="P114" s="369"/>
      <c r="Q114" s="350">
        <f t="shared" si="69"/>
        <v>31130649.645764783</v>
      </c>
      <c r="R114" s="350">
        <f t="shared" si="70"/>
        <v>62878799.267569408</v>
      </c>
      <c r="S114" s="350">
        <f t="shared" si="71"/>
        <v>95107184.936648905</v>
      </c>
      <c r="T114" s="350">
        <f t="shared" si="72"/>
        <v>127828836.71750557</v>
      </c>
      <c r="U114" s="350">
        <f t="shared" si="73"/>
        <v>161049323.45433152</v>
      </c>
      <c r="V114" s="350">
        <f t="shared" si="74"/>
        <v>477994794.02182031</v>
      </c>
      <c r="W114" s="365"/>
      <c r="X114" s="377">
        <f t="shared" si="52"/>
        <v>0</v>
      </c>
      <c r="Y114" s="377">
        <f t="shared" si="53"/>
        <v>0</v>
      </c>
      <c r="Z114" s="377">
        <f t="shared" si="54"/>
        <v>0</v>
      </c>
      <c r="AA114" s="377">
        <f t="shared" si="55"/>
        <v>0</v>
      </c>
      <c r="AB114" s="377">
        <f t="shared" si="56"/>
        <v>0</v>
      </c>
      <c r="AC114" s="377">
        <f t="shared" si="57"/>
        <v>0</v>
      </c>
      <c r="AD114" s="376"/>
      <c r="AE114" s="332">
        <v>99</v>
      </c>
      <c r="AF114" s="350">
        <v>132851506.27373937</v>
      </c>
      <c r="AG114" s="350">
        <v>133941154.39101568</v>
      </c>
      <c r="AH114" s="350">
        <v>134985144.66085833</v>
      </c>
      <c r="AI114" s="350">
        <v>136031615.73837036</v>
      </c>
      <c r="AJ114" s="350">
        <v>137083818.28133774</v>
      </c>
      <c r="AK114" s="348">
        <v>674893239.34532142</v>
      </c>
      <c r="AL114" s="369"/>
      <c r="AM114" s="350">
        <v>165408767.9576785</v>
      </c>
      <c r="AN114" s="350">
        <v>199720641.22793418</v>
      </c>
      <c r="AO114" s="350">
        <v>234489399.05446231</v>
      </c>
      <c r="AP114" s="350">
        <v>269776808.34544134</v>
      </c>
      <c r="AQ114" s="350">
        <v>305591946.72955388</v>
      </c>
      <c r="AR114" s="348">
        <v>1174987563.3150702</v>
      </c>
      <c r="AS114" s="369"/>
      <c r="AT114" s="350">
        <f t="shared" si="75"/>
        <v>32557261.683939129</v>
      </c>
      <c r="AU114" s="350">
        <f t="shared" si="58"/>
        <v>65779486.836918503</v>
      </c>
      <c r="AV114" s="350">
        <f t="shared" si="59"/>
        <v>99504254.393603981</v>
      </c>
      <c r="AW114" s="350">
        <f t="shared" si="60"/>
        <v>133745192.60707098</v>
      </c>
      <c r="AX114" s="350">
        <f t="shared" si="61"/>
        <v>168508128.44821614</v>
      </c>
      <c r="AY114" s="350">
        <f t="shared" si="62"/>
        <v>500094323.96974874</v>
      </c>
      <c r="AZ114" s="365"/>
      <c r="BA114" s="377">
        <f t="shared" si="63"/>
        <v>0</v>
      </c>
      <c r="BB114" s="377">
        <f t="shared" si="64"/>
        <v>0</v>
      </c>
      <c r="BC114" s="377">
        <f t="shared" si="65"/>
        <v>0</v>
      </c>
      <c r="BD114" s="377">
        <f t="shared" si="66"/>
        <v>0</v>
      </c>
      <c r="BE114" s="377">
        <f t="shared" si="67"/>
        <v>0</v>
      </c>
      <c r="BF114" s="377">
        <f t="shared" si="68"/>
        <v>0</v>
      </c>
      <c r="BG114" s="328"/>
    </row>
    <row r="115" spans="2:59">
      <c r="B115" s="332">
        <v>100</v>
      </c>
      <c r="C115" s="350">
        <v>128390945.96233073</v>
      </c>
      <c r="D115" s="350">
        <v>129444008.56182367</v>
      </c>
      <c r="E115" s="350">
        <v>130452946.30050755</v>
      </c>
      <c r="F115" s="350">
        <v>131464281.55241761</v>
      </c>
      <c r="G115" s="350">
        <v>132481155.83276787</v>
      </c>
      <c r="H115" s="348">
        <v>652233338.20984745</v>
      </c>
      <c r="I115" s="369"/>
      <c r="J115" s="350">
        <v>160006205.4031834</v>
      </c>
      <c r="K115" s="350">
        <v>193303887.56355643</v>
      </c>
      <c r="L115" s="350">
        <v>227045191.7655499</v>
      </c>
      <c r="M115" s="350">
        <v>261289873.41116959</v>
      </c>
      <c r="N115" s="350">
        <v>296046729.89290488</v>
      </c>
      <c r="O115" s="348">
        <v>1137691888.0363641</v>
      </c>
      <c r="P115" s="369"/>
      <c r="Q115" s="350">
        <f t="shared" si="69"/>
        <v>31615259.440852672</v>
      </c>
      <c r="R115" s="350">
        <f t="shared" si="70"/>
        <v>63859879.001732767</v>
      </c>
      <c r="S115" s="350">
        <f t="shared" si="71"/>
        <v>96592245.465042353</v>
      </c>
      <c r="T115" s="350">
        <f t="shared" si="72"/>
        <v>129825591.85875198</v>
      </c>
      <c r="U115" s="350">
        <f t="shared" si="73"/>
        <v>163565574.060137</v>
      </c>
      <c r="V115" s="350">
        <f t="shared" si="74"/>
        <v>485458549.82651663</v>
      </c>
      <c r="W115" s="365"/>
      <c r="X115" s="377">
        <f t="shared" si="52"/>
        <v>0</v>
      </c>
      <c r="Y115" s="377">
        <f t="shared" si="53"/>
        <v>0</v>
      </c>
      <c r="Z115" s="377">
        <f t="shared" si="54"/>
        <v>0</v>
      </c>
      <c r="AA115" s="377">
        <f t="shared" si="55"/>
        <v>0</v>
      </c>
      <c r="AB115" s="377">
        <f t="shared" si="56"/>
        <v>0</v>
      </c>
      <c r="AC115" s="377">
        <f t="shared" si="57"/>
        <v>0</v>
      </c>
      <c r="AD115" s="376"/>
      <c r="AE115" s="332">
        <v>100</v>
      </c>
      <c r="AF115" s="350">
        <v>138456657.00548729</v>
      </c>
      <c r="AG115" s="350">
        <v>139592278.57171583</v>
      </c>
      <c r="AH115" s="350">
        <v>140680315.93586007</v>
      </c>
      <c r="AI115" s="350">
        <v>141770938.77566963</v>
      </c>
      <c r="AJ115" s="350">
        <v>142867534.89774716</v>
      </c>
      <c r="AK115" s="348">
        <v>703367725.18647993</v>
      </c>
      <c r="AL115" s="369"/>
      <c r="AM115" s="350">
        <v>174463163.91746899</v>
      </c>
      <c r="AN115" s="350">
        <v>212316210.75079533</v>
      </c>
      <c r="AO115" s="350">
        <v>250677075.28656983</v>
      </c>
      <c r="AP115" s="350">
        <v>289610997.92571127</v>
      </c>
      <c r="AQ115" s="350">
        <v>329127807.03927869</v>
      </c>
      <c r="AR115" s="348">
        <v>1256195254.9198241</v>
      </c>
      <c r="AS115" s="369"/>
      <c r="AT115" s="350">
        <f t="shared" si="75"/>
        <v>36006506.911981702</v>
      </c>
      <c r="AU115" s="350">
        <f t="shared" si="58"/>
        <v>72723932.179079503</v>
      </c>
      <c r="AV115" s="350">
        <f t="shared" si="59"/>
        <v>109996759.35070977</v>
      </c>
      <c r="AW115" s="350">
        <f t="shared" si="60"/>
        <v>147840059.15004164</v>
      </c>
      <c r="AX115" s="350">
        <f t="shared" si="61"/>
        <v>186260272.14153153</v>
      </c>
      <c r="AY115" s="350">
        <f t="shared" si="62"/>
        <v>552827529.7333442</v>
      </c>
      <c r="AZ115" s="365"/>
      <c r="BA115" s="377">
        <f t="shared" si="63"/>
        <v>0</v>
      </c>
      <c r="BB115" s="377">
        <f t="shared" si="64"/>
        <v>0</v>
      </c>
      <c r="BC115" s="377">
        <f t="shared" si="65"/>
        <v>0</v>
      </c>
      <c r="BD115" s="377">
        <f t="shared" si="66"/>
        <v>0</v>
      </c>
      <c r="BE115" s="377">
        <f t="shared" si="67"/>
        <v>0</v>
      </c>
      <c r="BF115" s="377">
        <f t="shared" si="68"/>
        <v>0</v>
      </c>
      <c r="BG115" s="328"/>
    </row>
    <row r="116" spans="2:59">
      <c r="B116" s="332">
        <v>101</v>
      </c>
      <c r="C116" s="350">
        <v>129160768.29911688</v>
      </c>
      <c r="D116" s="350">
        <v>130220144.9817802</v>
      </c>
      <c r="E116" s="350">
        <v>131235132.23432842</v>
      </c>
      <c r="F116" s="350">
        <v>132252531.37540971</v>
      </c>
      <c r="G116" s="350">
        <v>133275502.75652394</v>
      </c>
      <c r="H116" s="348">
        <v>656144079.64715922</v>
      </c>
      <c r="I116" s="369"/>
      <c r="J116" s="350">
        <v>158603899.6367487</v>
      </c>
      <c r="K116" s="350">
        <v>189691565.56728062</v>
      </c>
      <c r="L116" s="350">
        <v>221189063.29667535</v>
      </c>
      <c r="M116" s="350">
        <v>253155517.94219872</v>
      </c>
      <c r="N116" s="350">
        <v>285599356.99843347</v>
      </c>
      <c r="O116" s="348">
        <v>1108239403.4413369</v>
      </c>
      <c r="P116" s="369"/>
      <c r="Q116" s="350">
        <f t="shared" si="69"/>
        <v>29443131.337631822</v>
      </c>
      <c r="R116" s="350">
        <f t="shared" si="70"/>
        <v>59471420.585500419</v>
      </c>
      <c r="S116" s="350">
        <f t="shared" si="71"/>
        <v>89953931.062346935</v>
      </c>
      <c r="T116" s="350">
        <f t="shared" si="72"/>
        <v>120902986.56678902</v>
      </c>
      <c r="U116" s="350">
        <f t="shared" si="73"/>
        <v>152323854.24190953</v>
      </c>
      <c r="V116" s="350">
        <f t="shared" si="74"/>
        <v>452095323.79417765</v>
      </c>
      <c r="W116" s="365"/>
      <c r="X116" s="377">
        <f t="shared" si="52"/>
        <v>0</v>
      </c>
      <c r="Y116" s="377">
        <f t="shared" si="53"/>
        <v>0</v>
      </c>
      <c r="Z116" s="377">
        <f t="shared" si="54"/>
        <v>0</v>
      </c>
      <c r="AA116" s="377">
        <f t="shared" si="55"/>
        <v>0</v>
      </c>
      <c r="AB116" s="377">
        <f t="shared" si="56"/>
        <v>0</v>
      </c>
      <c r="AC116" s="377">
        <f t="shared" si="57"/>
        <v>0</v>
      </c>
      <c r="AD116" s="376"/>
      <c r="AE116" s="332">
        <v>101</v>
      </c>
      <c r="AF116" s="350">
        <v>124241590.64593314</v>
      </c>
      <c r="AG116" s="350">
        <v>125260620.23115899</v>
      </c>
      <c r="AH116" s="350">
        <v>126236950.98857522</v>
      </c>
      <c r="AI116" s="350">
        <v>127215601.77607295</v>
      </c>
      <c r="AJ116" s="350">
        <v>128199612.58096817</v>
      </c>
      <c r="AK116" s="348">
        <v>631154376.22270846</v>
      </c>
      <c r="AL116" s="369"/>
      <c r="AM116" s="350">
        <v>155656057.47668129</v>
      </c>
      <c r="AN116" s="350">
        <v>188734243.98497689</v>
      </c>
      <c r="AO116" s="350">
        <v>222254682.1105186</v>
      </c>
      <c r="AP116" s="350">
        <v>256275540.76840127</v>
      </c>
      <c r="AQ116" s="350">
        <v>290805482.8521381</v>
      </c>
      <c r="AR116" s="348">
        <v>1113726007.1927161</v>
      </c>
      <c r="AS116" s="369"/>
      <c r="AT116" s="350">
        <f t="shared" si="75"/>
        <v>31414466.830748156</v>
      </c>
      <c r="AU116" s="350">
        <f t="shared" si="58"/>
        <v>63473623.753817901</v>
      </c>
      <c r="AV116" s="350">
        <f t="shared" si="59"/>
        <v>96017731.121943384</v>
      </c>
      <c r="AW116" s="350">
        <f t="shared" si="60"/>
        <v>129059938.99232832</v>
      </c>
      <c r="AX116" s="350">
        <f t="shared" si="61"/>
        <v>162605870.27116993</v>
      </c>
      <c r="AY116" s="350">
        <f t="shared" si="62"/>
        <v>482571630.97000766</v>
      </c>
      <c r="AZ116" s="365"/>
      <c r="BA116" s="377">
        <f t="shared" si="63"/>
        <v>0</v>
      </c>
      <c r="BB116" s="377">
        <f t="shared" si="64"/>
        <v>0</v>
      </c>
      <c r="BC116" s="377">
        <f t="shared" si="65"/>
        <v>0</v>
      </c>
      <c r="BD116" s="377">
        <f t="shared" si="66"/>
        <v>0</v>
      </c>
      <c r="BE116" s="377">
        <f t="shared" si="67"/>
        <v>0</v>
      </c>
      <c r="BF116" s="377">
        <f t="shared" si="68"/>
        <v>0</v>
      </c>
      <c r="BG116" s="328"/>
    </row>
    <row r="117" spans="2:59">
      <c r="B117" s="332">
        <v>102</v>
      </c>
      <c r="C117" s="350">
        <v>108787732.52312234</v>
      </c>
      <c r="D117" s="350">
        <v>109680009.5567175</v>
      </c>
      <c r="E117" s="350">
        <v>110534898.87952556</v>
      </c>
      <c r="F117" s="350">
        <v>111391819.65420601</v>
      </c>
      <c r="G117" s="350">
        <v>112253433.73759194</v>
      </c>
      <c r="H117" s="348">
        <v>552647894.35116339</v>
      </c>
      <c r="I117" s="369"/>
      <c r="J117" s="350">
        <v>135901182.36559439</v>
      </c>
      <c r="K117" s="350">
        <v>164454525.21575803</v>
      </c>
      <c r="L117" s="350">
        <v>193388897.9614625</v>
      </c>
      <c r="M117" s="350">
        <v>222755068.93271294</v>
      </c>
      <c r="N117" s="350">
        <v>252560551.70477515</v>
      </c>
      <c r="O117" s="348">
        <v>969060226.1803031</v>
      </c>
      <c r="P117" s="369"/>
      <c r="Q117" s="350">
        <f t="shared" si="69"/>
        <v>27113449.842472047</v>
      </c>
      <c r="R117" s="350">
        <f t="shared" si="70"/>
        <v>54774515.659040526</v>
      </c>
      <c r="S117" s="350">
        <f t="shared" si="71"/>
        <v>82853999.081936941</v>
      </c>
      <c r="T117" s="350">
        <f t="shared" si="72"/>
        <v>111363249.27850693</v>
      </c>
      <c r="U117" s="350">
        <f t="shared" si="73"/>
        <v>140307117.96718323</v>
      </c>
      <c r="V117" s="350">
        <f t="shared" si="74"/>
        <v>416412331.82913971</v>
      </c>
      <c r="W117" s="365"/>
      <c r="X117" s="377">
        <f t="shared" si="52"/>
        <v>0</v>
      </c>
      <c r="Y117" s="377">
        <f t="shared" si="53"/>
        <v>0</v>
      </c>
      <c r="Z117" s="377">
        <f t="shared" si="54"/>
        <v>0</v>
      </c>
      <c r="AA117" s="377">
        <f t="shared" si="55"/>
        <v>0</v>
      </c>
      <c r="AB117" s="377">
        <f t="shared" si="56"/>
        <v>0</v>
      </c>
      <c r="AC117" s="377">
        <f t="shared" si="57"/>
        <v>0</v>
      </c>
      <c r="AD117" s="376"/>
      <c r="AE117" s="332">
        <v>102</v>
      </c>
      <c r="AF117" s="350">
        <v>128064587.66584869</v>
      </c>
      <c r="AG117" s="350">
        <v>129114973.47443958</v>
      </c>
      <c r="AH117" s="350">
        <v>130121346.58366933</v>
      </c>
      <c r="AI117" s="350">
        <v>131130111.11186123</v>
      </c>
      <c r="AJ117" s="350">
        <v>132144400.58877861</v>
      </c>
      <c r="AK117" s="348">
        <v>650575419.4245975</v>
      </c>
      <c r="AL117" s="369"/>
      <c r="AM117" s="350">
        <v>161342214.17337677</v>
      </c>
      <c r="AN117" s="350">
        <v>196341432.15080264</v>
      </c>
      <c r="AO117" s="350">
        <v>231810167.07954711</v>
      </c>
      <c r="AP117" s="350">
        <v>267808752.40024886</v>
      </c>
      <c r="AQ117" s="350">
        <v>304346276.2486282</v>
      </c>
      <c r="AR117" s="348">
        <v>1161648842.0526037</v>
      </c>
      <c r="AS117" s="369"/>
      <c r="AT117" s="350">
        <f t="shared" si="75"/>
        <v>33277626.507528082</v>
      </c>
      <c r="AU117" s="350">
        <f t="shared" si="58"/>
        <v>67226458.676363066</v>
      </c>
      <c r="AV117" s="350">
        <f t="shared" si="59"/>
        <v>101688820.49587777</v>
      </c>
      <c r="AW117" s="350">
        <f t="shared" si="60"/>
        <v>136678641.28838763</v>
      </c>
      <c r="AX117" s="350">
        <f t="shared" si="61"/>
        <v>172201875.65984958</v>
      </c>
      <c r="AY117" s="350">
        <f t="shared" si="62"/>
        <v>511073422.62800622</v>
      </c>
      <c r="AZ117" s="365"/>
      <c r="BA117" s="377">
        <f t="shared" si="63"/>
        <v>0</v>
      </c>
      <c r="BB117" s="377">
        <f t="shared" si="64"/>
        <v>0</v>
      </c>
      <c r="BC117" s="377">
        <f t="shared" si="65"/>
        <v>0</v>
      </c>
      <c r="BD117" s="377">
        <f t="shared" si="66"/>
        <v>0</v>
      </c>
      <c r="BE117" s="377">
        <f t="shared" si="67"/>
        <v>0</v>
      </c>
      <c r="BF117" s="377">
        <f t="shared" si="68"/>
        <v>0</v>
      </c>
      <c r="BG117" s="328"/>
    </row>
    <row r="118" spans="2:59">
      <c r="B118" s="332">
        <v>103</v>
      </c>
      <c r="C118" s="350">
        <v>115375207.41119954</v>
      </c>
      <c r="D118" s="350">
        <v>116321514.91694167</v>
      </c>
      <c r="E118" s="350">
        <v>117228170.75620764</v>
      </c>
      <c r="F118" s="350">
        <v>118136981.05880964</v>
      </c>
      <c r="G118" s="350">
        <v>119050768.86625323</v>
      </c>
      <c r="H118" s="348">
        <v>586112643.00941169</v>
      </c>
      <c r="I118" s="369"/>
      <c r="J118" s="350">
        <v>141177913.83123937</v>
      </c>
      <c r="K118" s="350">
        <v>168454657.6371415</v>
      </c>
      <c r="L118" s="350">
        <v>196090042.54016218</v>
      </c>
      <c r="M118" s="350">
        <v>224136675.55155489</v>
      </c>
      <c r="N118" s="350">
        <v>252601997.89049989</v>
      </c>
      <c r="O118" s="348">
        <v>982461287.45059776</v>
      </c>
      <c r="P118" s="369"/>
      <c r="Q118" s="350">
        <f t="shared" si="69"/>
        <v>25802706.420039833</v>
      </c>
      <c r="R118" s="350">
        <f t="shared" si="70"/>
        <v>52133142.720199823</v>
      </c>
      <c r="S118" s="350">
        <f t="shared" si="71"/>
        <v>78861871.783954531</v>
      </c>
      <c r="T118" s="350">
        <f t="shared" si="72"/>
        <v>105999694.49274525</v>
      </c>
      <c r="U118" s="350">
        <f t="shared" si="73"/>
        <v>133551229.02424666</v>
      </c>
      <c r="V118" s="350">
        <f t="shared" si="74"/>
        <v>396348644.44118607</v>
      </c>
      <c r="W118" s="365"/>
      <c r="X118" s="377">
        <f t="shared" si="52"/>
        <v>0</v>
      </c>
      <c r="Y118" s="377">
        <f t="shared" si="53"/>
        <v>0</v>
      </c>
      <c r="Z118" s="377">
        <f t="shared" si="54"/>
        <v>0</v>
      </c>
      <c r="AA118" s="377">
        <f t="shared" si="55"/>
        <v>0</v>
      </c>
      <c r="AB118" s="377">
        <f t="shared" si="56"/>
        <v>0</v>
      </c>
      <c r="AC118" s="377">
        <f t="shared" si="57"/>
        <v>0</v>
      </c>
      <c r="AD118" s="376"/>
      <c r="AE118" s="332">
        <v>103</v>
      </c>
      <c r="AF118" s="350">
        <v>123413652.85258222</v>
      </c>
      <c r="AG118" s="350">
        <v>124425891.69163553</v>
      </c>
      <c r="AH118" s="350">
        <v>125395716.24506101</v>
      </c>
      <c r="AI118" s="350">
        <v>126367845.36804004</v>
      </c>
      <c r="AJ118" s="350">
        <v>127345298.78961298</v>
      </c>
      <c r="AK118" s="348">
        <v>626948404.94693172</v>
      </c>
      <c r="AL118" s="369"/>
      <c r="AM118" s="350">
        <v>158579227.99656194</v>
      </c>
      <c r="AN118" s="350">
        <v>195446878.36872613</v>
      </c>
      <c r="AO118" s="350">
        <v>232814475.13745764</v>
      </c>
      <c r="AP118" s="350">
        <v>270741455.65560579</v>
      </c>
      <c r="AQ118" s="350">
        <v>309237129.11371708</v>
      </c>
      <c r="AR118" s="348">
        <v>1166819166.2720685</v>
      </c>
      <c r="AS118" s="369"/>
      <c r="AT118" s="350">
        <f t="shared" si="75"/>
        <v>35165575.143979728</v>
      </c>
      <c r="AU118" s="350">
        <f t="shared" si="58"/>
        <v>71020986.6770906</v>
      </c>
      <c r="AV118" s="350">
        <f t="shared" si="59"/>
        <v>107418758.89239663</v>
      </c>
      <c r="AW118" s="350">
        <f t="shared" si="60"/>
        <v>144373610.28756577</v>
      </c>
      <c r="AX118" s="350">
        <f t="shared" si="61"/>
        <v>181891830.3241041</v>
      </c>
      <c r="AY118" s="350">
        <f t="shared" si="62"/>
        <v>539870761.32513678</v>
      </c>
      <c r="AZ118" s="365"/>
      <c r="BA118" s="377">
        <f t="shared" si="63"/>
        <v>0</v>
      </c>
      <c r="BB118" s="377">
        <f t="shared" si="64"/>
        <v>0</v>
      </c>
      <c r="BC118" s="377">
        <f t="shared" si="65"/>
        <v>0</v>
      </c>
      <c r="BD118" s="377">
        <f t="shared" si="66"/>
        <v>0</v>
      </c>
      <c r="BE118" s="377">
        <f t="shared" si="67"/>
        <v>0</v>
      </c>
      <c r="BF118" s="377">
        <f t="shared" si="68"/>
        <v>0</v>
      </c>
      <c r="BG118" s="328"/>
    </row>
    <row r="119" spans="2:59">
      <c r="B119" s="332">
        <v>104</v>
      </c>
      <c r="C119" s="350">
        <v>121330102.46019782</v>
      </c>
      <c r="D119" s="350">
        <v>122325252.01794754</v>
      </c>
      <c r="E119" s="350">
        <v>123278703.35591331</v>
      </c>
      <c r="F119" s="350">
        <v>124234420.35617483</v>
      </c>
      <c r="G119" s="350">
        <v>125195371.7667224</v>
      </c>
      <c r="H119" s="348">
        <v>616363849.95695591</v>
      </c>
      <c r="I119" s="369"/>
      <c r="J119" s="350">
        <v>154174681.98280689</v>
      </c>
      <c r="K119" s="350">
        <v>188656651.85428345</v>
      </c>
      <c r="L119" s="350">
        <v>223603455.14766595</v>
      </c>
      <c r="M119" s="350">
        <v>259072802.67879087</v>
      </c>
      <c r="N119" s="350">
        <v>295073537.22537756</v>
      </c>
      <c r="O119" s="348">
        <v>1120581128.8889248</v>
      </c>
      <c r="P119" s="369"/>
      <c r="Q119" s="350">
        <f t="shared" si="69"/>
        <v>32844579.52260907</v>
      </c>
      <c r="R119" s="350">
        <f t="shared" si="70"/>
        <v>66331399.836335912</v>
      </c>
      <c r="S119" s="350">
        <f t="shared" si="71"/>
        <v>100324751.79175264</v>
      </c>
      <c r="T119" s="350">
        <f t="shared" si="72"/>
        <v>134838382.32261604</v>
      </c>
      <c r="U119" s="350">
        <f t="shared" si="73"/>
        <v>169878165.45865518</v>
      </c>
      <c r="V119" s="350">
        <f t="shared" si="74"/>
        <v>504217278.93196893</v>
      </c>
      <c r="W119" s="365"/>
      <c r="X119" s="377">
        <f t="shared" si="52"/>
        <v>0</v>
      </c>
      <c r="Y119" s="377">
        <f t="shared" si="53"/>
        <v>0</v>
      </c>
      <c r="Z119" s="377">
        <f t="shared" si="54"/>
        <v>0</v>
      </c>
      <c r="AA119" s="377">
        <f t="shared" si="55"/>
        <v>0</v>
      </c>
      <c r="AB119" s="377">
        <f t="shared" si="56"/>
        <v>0</v>
      </c>
      <c r="AC119" s="377">
        <f t="shared" si="57"/>
        <v>0</v>
      </c>
      <c r="AD119" s="376"/>
      <c r="AE119" s="332">
        <v>104</v>
      </c>
      <c r="AF119" s="350">
        <v>148719656.56454271</v>
      </c>
      <c r="AG119" s="350">
        <v>149939455.2580075</v>
      </c>
      <c r="AH119" s="350">
        <v>151108142.60482472</v>
      </c>
      <c r="AI119" s="350">
        <v>152279607.07382089</v>
      </c>
      <c r="AJ119" s="350">
        <v>153457487.5903129</v>
      </c>
      <c r="AK119" s="348">
        <v>755504349.09150863</v>
      </c>
      <c r="AL119" s="369"/>
      <c r="AM119" s="350">
        <v>179823240.20346797</v>
      </c>
      <c r="AN119" s="350">
        <v>212755359.44617695</v>
      </c>
      <c r="AO119" s="350">
        <v>246116057.62019342</v>
      </c>
      <c r="AP119" s="350">
        <v>279972241.47299373</v>
      </c>
      <c r="AQ119" s="350">
        <v>314333112.67668861</v>
      </c>
      <c r="AR119" s="348">
        <v>1233000011.4195206</v>
      </c>
      <c r="AS119" s="369"/>
      <c r="AT119" s="350">
        <f t="shared" si="75"/>
        <v>31103583.638925254</v>
      </c>
      <c r="AU119" s="350">
        <f t="shared" si="58"/>
        <v>62815904.18816945</v>
      </c>
      <c r="AV119" s="350">
        <f t="shared" si="59"/>
        <v>95007915.0153687</v>
      </c>
      <c r="AW119" s="350">
        <f t="shared" si="60"/>
        <v>127692634.39917284</v>
      </c>
      <c r="AX119" s="350">
        <f t="shared" si="61"/>
        <v>160875625.08637571</v>
      </c>
      <c r="AY119" s="350">
        <f t="shared" si="62"/>
        <v>477495662.32801199</v>
      </c>
      <c r="AZ119" s="365"/>
      <c r="BA119" s="377">
        <f t="shared" si="63"/>
        <v>0</v>
      </c>
      <c r="BB119" s="377">
        <f t="shared" si="64"/>
        <v>0</v>
      </c>
      <c r="BC119" s="377">
        <f t="shared" si="65"/>
        <v>0</v>
      </c>
      <c r="BD119" s="377">
        <f t="shared" si="66"/>
        <v>0</v>
      </c>
      <c r="BE119" s="377">
        <f t="shared" si="67"/>
        <v>0</v>
      </c>
      <c r="BF119" s="377">
        <f t="shared" si="68"/>
        <v>0</v>
      </c>
      <c r="BG119" s="328"/>
    </row>
    <row r="120" spans="2:59">
      <c r="B120" s="332">
        <v>105</v>
      </c>
      <c r="C120" s="350">
        <v>114380398.96579362</v>
      </c>
      <c r="D120" s="350">
        <v>115318547.05219612</v>
      </c>
      <c r="E120" s="350">
        <v>116217385.36370885</v>
      </c>
      <c r="F120" s="350">
        <v>117118359.56196409</v>
      </c>
      <c r="G120" s="350">
        <v>118024268.34714153</v>
      </c>
      <c r="H120" s="348">
        <v>581058959.29080427</v>
      </c>
      <c r="I120" s="369"/>
      <c r="J120" s="350">
        <v>148346758.54946324</v>
      </c>
      <c r="K120" s="350">
        <v>183897614.27609372</v>
      </c>
      <c r="L120" s="350">
        <v>219932714.13208747</v>
      </c>
      <c r="M120" s="350">
        <v>256507719.23763478</v>
      </c>
      <c r="N120" s="350">
        <v>293631500.22408605</v>
      </c>
      <c r="O120" s="348">
        <v>1102316306.4193654</v>
      </c>
      <c r="P120" s="369"/>
      <c r="Q120" s="350">
        <f t="shared" si="69"/>
        <v>33966359.583669618</v>
      </c>
      <c r="R120" s="350">
        <f t="shared" si="70"/>
        <v>68579067.223897606</v>
      </c>
      <c r="S120" s="350">
        <f t="shared" si="71"/>
        <v>103715328.76837862</v>
      </c>
      <c r="T120" s="350">
        <f t="shared" si="72"/>
        <v>139389359.67567068</v>
      </c>
      <c r="U120" s="350">
        <f t="shared" si="73"/>
        <v>175607231.87694451</v>
      </c>
      <c r="V120" s="350">
        <f t="shared" si="74"/>
        <v>521257347.12856114</v>
      </c>
      <c r="W120" s="365"/>
      <c r="X120" s="377">
        <f t="shared" si="52"/>
        <v>0</v>
      </c>
      <c r="Y120" s="377">
        <f t="shared" si="53"/>
        <v>0</v>
      </c>
      <c r="Z120" s="377">
        <f t="shared" si="54"/>
        <v>0</v>
      </c>
      <c r="AA120" s="377">
        <f t="shared" si="55"/>
        <v>0</v>
      </c>
      <c r="AB120" s="377">
        <f t="shared" si="56"/>
        <v>0</v>
      </c>
      <c r="AC120" s="377">
        <f t="shared" si="57"/>
        <v>0</v>
      </c>
      <c r="AD120" s="376"/>
      <c r="AE120" s="332">
        <v>105</v>
      </c>
      <c r="AF120" s="350">
        <v>158593001.4731217</v>
      </c>
      <c r="AG120" s="350">
        <v>159893781.34619534</v>
      </c>
      <c r="AH120" s="350">
        <v>161140056.64293098</v>
      </c>
      <c r="AI120" s="350">
        <v>162389293.43212831</v>
      </c>
      <c r="AJ120" s="350">
        <v>163645372.22361013</v>
      </c>
      <c r="AK120" s="348">
        <v>805661505.11798644</v>
      </c>
      <c r="AL120" s="369"/>
      <c r="AM120" s="350">
        <v>198184201.74454972</v>
      </c>
      <c r="AN120" s="350">
        <v>239869564.11420447</v>
      </c>
      <c r="AO120" s="350">
        <v>282111300.04771239</v>
      </c>
      <c r="AP120" s="350">
        <v>324983447.37972164</v>
      </c>
      <c r="AQ120" s="350">
        <v>368496970.17057639</v>
      </c>
      <c r="AR120" s="348">
        <v>1413645483.4567645</v>
      </c>
      <c r="AS120" s="369"/>
      <c r="AT120" s="350">
        <f t="shared" si="75"/>
        <v>39591200.271428019</v>
      </c>
      <c r="AU120" s="350">
        <f t="shared" si="58"/>
        <v>79975782.768009126</v>
      </c>
      <c r="AV120" s="350">
        <f t="shared" si="59"/>
        <v>120971243.4047814</v>
      </c>
      <c r="AW120" s="350">
        <f t="shared" si="60"/>
        <v>162594153.94759333</v>
      </c>
      <c r="AX120" s="350">
        <f t="shared" si="61"/>
        <v>204851597.94696626</v>
      </c>
      <c r="AY120" s="350">
        <f t="shared" si="62"/>
        <v>607983978.33877802</v>
      </c>
      <c r="AZ120" s="365"/>
      <c r="BA120" s="377">
        <f t="shared" si="63"/>
        <v>0</v>
      </c>
      <c r="BB120" s="377">
        <f t="shared" si="64"/>
        <v>0</v>
      </c>
      <c r="BC120" s="377">
        <f t="shared" si="65"/>
        <v>0</v>
      </c>
      <c r="BD120" s="377">
        <f t="shared" si="66"/>
        <v>0</v>
      </c>
      <c r="BE120" s="377">
        <f t="shared" si="67"/>
        <v>0</v>
      </c>
      <c r="BF120" s="377">
        <f t="shared" si="68"/>
        <v>0</v>
      </c>
      <c r="BG120" s="328"/>
    </row>
    <row r="121" spans="2:59">
      <c r="B121" s="332">
        <v>106</v>
      </c>
      <c r="C121" s="350">
        <v>133520280.40986587</v>
      </c>
      <c r="D121" s="350">
        <v>134615413.81292292</v>
      </c>
      <c r="E121" s="350">
        <v>135664659.52706143</v>
      </c>
      <c r="F121" s="350">
        <v>136716398.53724861</v>
      </c>
      <c r="G121" s="350">
        <v>137773897.86507332</v>
      </c>
      <c r="H121" s="348">
        <v>678290650.15217221</v>
      </c>
      <c r="I121" s="369"/>
      <c r="J121" s="350">
        <v>160092759.76880968</v>
      </c>
      <c r="K121" s="350">
        <v>188311189.83111769</v>
      </c>
      <c r="L121" s="350">
        <v>216894021.72687721</v>
      </c>
      <c r="M121" s="350">
        <v>245900759.95357507</v>
      </c>
      <c r="N121" s="350">
        <v>275339428.60566038</v>
      </c>
      <c r="O121" s="348">
        <v>1086538159.8860402</v>
      </c>
      <c r="P121" s="369"/>
      <c r="Q121" s="350">
        <f t="shared" si="69"/>
        <v>26572479.358943805</v>
      </c>
      <c r="R121" s="350">
        <f t="shared" si="70"/>
        <v>53695776.018194765</v>
      </c>
      <c r="S121" s="350">
        <f t="shared" si="71"/>
        <v>81229362.19981578</v>
      </c>
      <c r="T121" s="350">
        <f t="shared" si="72"/>
        <v>109184361.41632646</v>
      </c>
      <c r="U121" s="350">
        <f t="shared" si="73"/>
        <v>137565530.74058706</v>
      </c>
      <c r="V121" s="350">
        <f t="shared" si="74"/>
        <v>408247509.733868</v>
      </c>
      <c r="W121" s="365"/>
      <c r="X121" s="377">
        <f t="shared" si="52"/>
        <v>0</v>
      </c>
      <c r="Y121" s="377">
        <f t="shared" si="53"/>
        <v>0</v>
      </c>
      <c r="Z121" s="377">
        <f t="shared" si="54"/>
        <v>0</v>
      </c>
      <c r="AA121" s="377">
        <f t="shared" si="55"/>
        <v>0</v>
      </c>
      <c r="AB121" s="377">
        <f t="shared" si="56"/>
        <v>0</v>
      </c>
      <c r="AC121" s="377">
        <f t="shared" si="57"/>
        <v>0</v>
      </c>
      <c r="AD121" s="376"/>
      <c r="AE121" s="332">
        <v>106</v>
      </c>
      <c r="AF121" s="350">
        <v>147806595.62782702</v>
      </c>
      <c r="AG121" s="350">
        <v>149018905.39505714</v>
      </c>
      <c r="AH121" s="350">
        <v>150180417.61258572</v>
      </c>
      <c r="AI121" s="350">
        <v>151344689.902215</v>
      </c>
      <c r="AJ121" s="350">
        <v>152515338.84816304</v>
      </c>
      <c r="AK121" s="348">
        <v>750865947.38584793</v>
      </c>
      <c r="AL121" s="369"/>
      <c r="AM121" s="350">
        <v>174871946.99368683</v>
      </c>
      <c r="AN121" s="350">
        <v>203726043.61336648</v>
      </c>
      <c r="AO121" s="350">
        <v>232947482.43406597</v>
      </c>
      <c r="AP121" s="350">
        <v>262601151.76716956</v>
      </c>
      <c r="AQ121" s="350">
        <v>292695515.85587418</v>
      </c>
      <c r="AR121" s="348">
        <v>1166842140.6641631</v>
      </c>
      <c r="AS121" s="369"/>
      <c r="AT121" s="350">
        <f t="shared" si="75"/>
        <v>27065351.365859807</v>
      </c>
      <c r="AU121" s="350">
        <f t="shared" si="58"/>
        <v>54707138.218309343</v>
      </c>
      <c r="AV121" s="350">
        <f t="shared" si="59"/>
        <v>82767064.821480244</v>
      </c>
      <c r="AW121" s="350">
        <f t="shared" si="60"/>
        <v>111256461.86495456</v>
      </c>
      <c r="AX121" s="350">
        <f t="shared" si="61"/>
        <v>140180177.00771114</v>
      </c>
      <c r="AY121" s="350">
        <f t="shared" si="62"/>
        <v>415976193.27831519</v>
      </c>
      <c r="AZ121" s="365"/>
      <c r="BA121" s="377">
        <f t="shared" si="63"/>
        <v>0</v>
      </c>
      <c r="BB121" s="377">
        <f t="shared" si="64"/>
        <v>0</v>
      </c>
      <c r="BC121" s="377">
        <f t="shared" si="65"/>
        <v>0</v>
      </c>
      <c r="BD121" s="377">
        <f t="shared" si="66"/>
        <v>0</v>
      </c>
      <c r="BE121" s="377">
        <f t="shared" si="67"/>
        <v>0</v>
      </c>
      <c r="BF121" s="377">
        <f t="shared" si="68"/>
        <v>0</v>
      </c>
      <c r="BG121" s="328"/>
    </row>
    <row r="122" spans="2:59">
      <c r="B122" s="332">
        <v>107</v>
      </c>
      <c r="C122" s="350">
        <v>137087785.60027936</v>
      </c>
      <c r="D122" s="350">
        <v>138212179.68259513</v>
      </c>
      <c r="E122" s="350">
        <v>139289460.01079914</v>
      </c>
      <c r="F122" s="350">
        <v>140369300.252996</v>
      </c>
      <c r="G122" s="350">
        <v>141455054.72175735</v>
      </c>
      <c r="H122" s="348">
        <v>696413780.2684269</v>
      </c>
      <c r="I122" s="369"/>
      <c r="J122" s="350">
        <v>178196712.4654817</v>
      </c>
      <c r="K122" s="350">
        <v>221226935.61639813</v>
      </c>
      <c r="L122" s="350">
        <v>264843921.88557148</v>
      </c>
      <c r="M122" s="350">
        <v>309114550.4903549</v>
      </c>
      <c r="N122" s="350">
        <v>354049526.73618102</v>
      </c>
      <c r="O122" s="348">
        <v>1327431647.1939874</v>
      </c>
      <c r="P122" s="369"/>
      <c r="Q122" s="350">
        <f t="shared" si="69"/>
        <v>41108926.865202338</v>
      </c>
      <c r="R122" s="350">
        <f t="shared" si="70"/>
        <v>83014755.933802992</v>
      </c>
      <c r="S122" s="350">
        <f t="shared" si="71"/>
        <v>125554461.87477234</v>
      </c>
      <c r="T122" s="350">
        <f t="shared" si="72"/>
        <v>168745250.2373589</v>
      </c>
      <c r="U122" s="350">
        <f t="shared" si="73"/>
        <v>212594472.01442367</v>
      </c>
      <c r="V122" s="350">
        <f t="shared" si="74"/>
        <v>631017866.92556047</v>
      </c>
      <c r="W122" s="365"/>
      <c r="X122" s="377">
        <f t="shared" si="52"/>
        <v>0</v>
      </c>
      <c r="Y122" s="377">
        <f t="shared" si="53"/>
        <v>0</v>
      </c>
      <c r="Z122" s="377">
        <f t="shared" si="54"/>
        <v>0</v>
      </c>
      <c r="AA122" s="377">
        <f t="shared" si="55"/>
        <v>0</v>
      </c>
      <c r="AB122" s="377">
        <f t="shared" si="56"/>
        <v>0</v>
      </c>
      <c r="AC122" s="377">
        <f t="shared" si="57"/>
        <v>0</v>
      </c>
      <c r="AD122" s="376"/>
      <c r="AE122" s="332">
        <v>107</v>
      </c>
      <c r="AF122" s="350">
        <v>129412086.2226968</v>
      </c>
      <c r="AG122" s="350">
        <v>130473524.21508813</v>
      </c>
      <c r="AH122" s="350">
        <v>131490486.40547648</v>
      </c>
      <c r="AI122" s="350">
        <v>132509865.17739268</v>
      </c>
      <c r="AJ122" s="350">
        <v>133534827.03167282</v>
      </c>
      <c r="AK122" s="348">
        <v>657420789.0523268</v>
      </c>
      <c r="AL122" s="369"/>
      <c r="AM122" s="350">
        <v>163055421.35403237</v>
      </c>
      <c r="AN122" s="350">
        <v>198409283.46346536</v>
      </c>
      <c r="AO122" s="350">
        <v>234237383.1598925</v>
      </c>
      <c r="AP122" s="350">
        <v>270600693.58841032</v>
      </c>
      <c r="AQ122" s="350">
        <v>307508396.79282761</v>
      </c>
      <c r="AR122" s="348">
        <v>1173811178.3586283</v>
      </c>
      <c r="AS122" s="369"/>
      <c r="AT122" s="350">
        <f t="shared" si="75"/>
        <v>33643335.131335571</v>
      </c>
      <c r="AU122" s="350">
        <f t="shared" si="58"/>
        <v>67935759.248377234</v>
      </c>
      <c r="AV122" s="350">
        <f t="shared" si="59"/>
        <v>102746896.75441602</v>
      </c>
      <c r="AW122" s="350">
        <f t="shared" si="60"/>
        <v>138090828.41101766</v>
      </c>
      <c r="AX122" s="350">
        <f t="shared" si="61"/>
        <v>173973569.76115477</v>
      </c>
      <c r="AY122" s="350">
        <f t="shared" si="62"/>
        <v>516390389.30630147</v>
      </c>
      <c r="AZ122" s="365"/>
      <c r="BA122" s="377">
        <f t="shared" si="63"/>
        <v>0</v>
      </c>
      <c r="BB122" s="377">
        <f t="shared" si="64"/>
        <v>0</v>
      </c>
      <c r="BC122" s="377">
        <f t="shared" si="65"/>
        <v>0</v>
      </c>
      <c r="BD122" s="377">
        <f t="shared" si="66"/>
        <v>0</v>
      </c>
      <c r="BE122" s="377">
        <f t="shared" si="67"/>
        <v>0</v>
      </c>
      <c r="BF122" s="377">
        <f t="shared" si="68"/>
        <v>0</v>
      </c>
      <c r="BG122" s="328"/>
    </row>
    <row r="123" spans="2:59">
      <c r="B123" s="332">
        <v>108</v>
      </c>
      <c r="C123" s="350">
        <v>132009085.55076185</v>
      </c>
      <c r="D123" s="350">
        <v>133091824.13286999</v>
      </c>
      <c r="E123" s="350">
        <v>134129194.38715866</v>
      </c>
      <c r="F123" s="350">
        <v>135169029.7181412</v>
      </c>
      <c r="G123" s="350">
        <v>136214560.17095453</v>
      </c>
      <c r="H123" s="348">
        <v>670613693.95988631</v>
      </c>
      <c r="I123" s="369"/>
      <c r="J123" s="350">
        <v>162699168.43756416</v>
      </c>
      <c r="K123" s="350">
        <v>195071944.5779573</v>
      </c>
      <c r="L123" s="350">
        <v>227872654.76768568</v>
      </c>
      <c r="M123" s="350">
        <v>261161977.58253953</v>
      </c>
      <c r="N123" s="350">
        <v>294948631.75631016</v>
      </c>
      <c r="O123" s="348">
        <v>1141754377.122057</v>
      </c>
      <c r="P123" s="369"/>
      <c r="Q123" s="350">
        <f t="shared" si="69"/>
        <v>30690082.886802316</v>
      </c>
      <c r="R123" s="350">
        <f t="shared" si="70"/>
        <v>61980120.445087314</v>
      </c>
      <c r="S123" s="350">
        <f t="shared" si="71"/>
        <v>93743460.38052702</v>
      </c>
      <c r="T123" s="350">
        <f t="shared" si="72"/>
        <v>125992947.86439833</v>
      </c>
      <c r="U123" s="350">
        <f t="shared" si="73"/>
        <v>158734071.58535564</v>
      </c>
      <c r="V123" s="350">
        <f t="shared" si="74"/>
        <v>471140683.16217065</v>
      </c>
      <c r="W123" s="365"/>
      <c r="X123" s="377">
        <f t="shared" si="52"/>
        <v>0</v>
      </c>
      <c r="Y123" s="377">
        <f t="shared" si="53"/>
        <v>0</v>
      </c>
      <c r="Z123" s="377">
        <f t="shared" si="54"/>
        <v>0</v>
      </c>
      <c r="AA123" s="377">
        <f t="shared" si="55"/>
        <v>0</v>
      </c>
      <c r="AB123" s="377">
        <f t="shared" si="56"/>
        <v>0</v>
      </c>
      <c r="AC123" s="377">
        <f t="shared" si="57"/>
        <v>0</v>
      </c>
      <c r="AD123" s="376"/>
      <c r="AE123" s="332">
        <v>108</v>
      </c>
      <c r="AF123" s="350">
        <v>145251968.08828419</v>
      </c>
      <c r="AG123" s="350">
        <v>146443324.799227</v>
      </c>
      <c r="AH123" s="350">
        <v>147584761.92412651</v>
      </c>
      <c r="AI123" s="350">
        <v>148728911.41719198</v>
      </c>
      <c r="AJ123" s="350">
        <v>149879327.35510844</v>
      </c>
      <c r="AK123" s="348">
        <v>737888293.58393812</v>
      </c>
      <c r="AL123" s="369"/>
      <c r="AM123" s="350">
        <v>185592886.52795133</v>
      </c>
      <c r="AN123" s="350">
        <v>227929726.93190634</v>
      </c>
      <c r="AO123" s="350">
        <v>270839033.90063393</v>
      </c>
      <c r="AP123" s="350">
        <v>314390324.75177056</v>
      </c>
      <c r="AQ123" s="350">
        <v>358594370.66379642</v>
      </c>
      <c r="AR123" s="348">
        <v>1357346342.7760587</v>
      </c>
      <c r="AS123" s="369"/>
      <c r="AT123" s="350">
        <f t="shared" si="75"/>
        <v>40340918.439667135</v>
      </c>
      <c r="AU123" s="350">
        <f t="shared" si="58"/>
        <v>81486402.132679343</v>
      </c>
      <c r="AV123" s="350">
        <f t="shared" si="59"/>
        <v>123254271.97650743</v>
      </c>
      <c r="AW123" s="350">
        <f t="shared" si="60"/>
        <v>165661413.33457857</v>
      </c>
      <c r="AX123" s="350">
        <f t="shared" si="61"/>
        <v>208715043.30868798</v>
      </c>
      <c r="AY123" s="350">
        <f t="shared" si="62"/>
        <v>619458049.19212055</v>
      </c>
      <c r="AZ123" s="365"/>
      <c r="BA123" s="377">
        <f t="shared" si="63"/>
        <v>0</v>
      </c>
      <c r="BB123" s="377">
        <f t="shared" si="64"/>
        <v>0</v>
      </c>
      <c r="BC123" s="377">
        <f t="shared" si="65"/>
        <v>0</v>
      </c>
      <c r="BD123" s="377">
        <f t="shared" si="66"/>
        <v>0</v>
      </c>
      <c r="BE123" s="377">
        <f t="shared" si="67"/>
        <v>0</v>
      </c>
      <c r="BF123" s="377">
        <f t="shared" si="68"/>
        <v>0</v>
      </c>
      <c r="BG123" s="328"/>
    </row>
    <row r="124" spans="2:59">
      <c r="B124" s="332">
        <v>109</v>
      </c>
      <c r="C124" s="350">
        <v>108185640.97225182</v>
      </c>
      <c r="D124" s="350">
        <v>109072979.65066206</v>
      </c>
      <c r="E124" s="350">
        <v>109923137.54257937</v>
      </c>
      <c r="F124" s="350">
        <v>110775315.64318958</v>
      </c>
      <c r="G124" s="350">
        <v>111632161.07713605</v>
      </c>
      <c r="H124" s="348">
        <v>549589234.88581884</v>
      </c>
      <c r="I124" s="369"/>
      <c r="J124" s="350">
        <v>134012244.69946194</v>
      </c>
      <c r="K124" s="350">
        <v>161251619.08741298</v>
      </c>
      <c r="L124" s="350">
        <v>188852430.89270651</v>
      </c>
      <c r="M124" s="350">
        <v>216864691.84042022</v>
      </c>
      <c r="N124" s="350">
        <v>245295671.08465976</v>
      </c>
      <c r="O124" s="348">
        <v>946276657.60466146</v>
      </c>
      <c r="P124" s="369"/>
      <c r="Q124" s="350">
        <f t="shared" si="69"/>
        <v>25826603.727210119</v>
      </c>
      <c r="R124" s="350">
        <f t="shared" si="70"/>
        <v>52178639.436750919</v>
      </c>
      <c r="S124" s="350">
        <f t="shared" si="71"/>
        <v>78929293.350127146</v>
      </c>
      <c r="T124" s="350">
        <f t="shared" si="72"/>
        <v>106089376.19723064</v>
      </c>
      <c r="U124" s="350">
        <f t="shared" si="73"/>
        <v>133663510.0075237</v>
      </c>
      <c r="V124" s="350">
        <f t="shared" si="74"/>
        <v>396687422.71884263</v>
      </c>
      <c r="W124" s="365"/>
      <c r="X124" s="377">
        <f t="shared" si="52"/>
        <v>0</v>
      </c>
      <c r="Y124" s="377">
        <f t="shared" si="53"/>
        <v>0</v>
      </c>
      <c r="Z124" s="377">
        <f t="shared" si="54"/>
        <v>0</v>
      </c>
      <c r="AA124" s="377">
        <f t="shared" si="55"/>
        <v>0</v>
      </c>
      <c r="AB124" s="377">
        <f t="shared" si="56"/>
        <v>0</v>
      </c>
      <c r="AC124" s="377">
        <f t="shared" si="57"/>
        <v>0</v>
      </c>
      <c r="AD124" s="376"/>
      <c r="AE124" s="332">
        <v>109</v>
      </c>
      <c r="AF124" s="350">
        <v>129049266.97600284</v>
      </c>
      <c r="AG124" s="350">
        <v>130107729.12476125</v>
      </c>
      <c r="AH124" s="350">
        <v>131121840.16371086</v>
      </c>
      <c r="AI124" s="350">
        <v>132138361.00906911</v>
      </c>
      <c r="AJ124" s="350">
        <v>133160449.28408235</v>
      </c>
      <c r="AK124" s="348">
        <v>655577646.55762649</v>
      </c>
      <c r="AL124" s="369"/>
      <c r="AM124" s="350">
        <v>162737152.47030792</v>
      </c>
      <c r="AN124" s="350">
        <v>198142760.8548131</v>
      </c>
      <c r="AO124" s="350">
        <v>234023563.56307009</v>
      </c>
      <c r="AP124" s="350">
        <v>270440421.4359802</v>
      </c>
      <c r="AQ124" s="350">
        <v>307402517.02695823</v>
      </c>
      <c r="AR124" s="348">
        <v>1172746415.3511295</v>
      </c>
      <c r="AS124" s="369"/>
      <c r="AT124" s="350">
        <f t="shared" si="75"/>
        <v>33687885.494305074</v>
      </c>
      <c r="AU124" s="350">
        <f t="shared" si="58"/>
        <v>68035031.730051845</v>
      </c>
      <c r="AV124" s="350">
        <f t="shared" si="59"/>
        <v>102901723.39935923</v>
      </c>
      <c r="AW124" s="350">
        <f t="shared" si="60"/>
        <v>138302060.42691109</v>
      </c>
      <c r="AX124" s="350">
        <f t="shared" si="61"/>
        <v>174242067.74287587</v>
      </c>
      <c r="AY124" s="350">
        <f t="shared" si="62"/>
        <v>517168768.79350305</v>
      </c>
      <c r="AZ124" s="365"/>
      <c r="BA124" s="377">
        <f t="shared" si="63"/>
        <v>0</v>
      </c>
      <c r="BB124" s="377">
        <f t="shared" si="64"/>
        <v>0</v>
      </c>
      <c r="BC124" s="377">
        <f t="shared" si="65"/>
        <v>0</v>
      </c>
      <c r="BD124" s="377">
        <f t="shared" si="66"/>
        <v>0</v>
      </c>
      <c r="BE124" s="377">
        <f t="shared" si="67"/>
        <v>0</v>
      </c>
      <c r="BF124" s="377">
        <f t="shared" si="68"/>
        <v>0</v>
      </c>
      <c r="BG124" s="328"/>
    </row>
    <row r="125" spans="2:59">
      <c r="B125" s="332">
        <v>110</v>
      </c>
      <c r="C125" s="350">
        <v>131370266.68044791</v>
      </c>
      <c r="D125" s="350">
        <v>132447765.66987966</v>
      </c>
      <c r="E125" s="350">
        <v>133480115.878077</v>
      </c>
      <c r="F125" s="350">
        <v>134514919.23395956</v>
      </c>
      <c r="G125" s="350">
        <v>135555390.15181774</v>
      </c>
      <c r="H125" s="348">
        <v>667368457.61418176</v>
      </c>
      <c r="I125" s="369"/>
      <c r="J125" s="350">
        <v>164635608.66893864</v>
      </c>
      <c r="K125" s="350">
        <v>199661279.54986414</v>
      </c>
      <c r="L125" s="350">
        <v>235155326.7998915</v>
      </c>
      <c r="M125" s="350">
        <v>271179277.18787885</v>
      </c>
      <c r="N125" s="350">
        <v>307742299.34808522</v>
      </c>
      <c r="O125" s="348">
        <v>1178373791.5546584</v>
      </c>
      <c r="P125" s="369"/>
      <c r="Q125" s="350">
        <f t="shared" si="69"/>
        <v>33265341.988490731</v>
      </c>
      <c r="R125" s="350">
        <f t="shared" si="70"/>
        <v>67213513.879984483</v>
      </c>
      <c r="S125" s="350">
        <f t="shared" si="71"/>
        <v>101675210.9218145</v>
      </c>
      <c r="T125" s="350">
        <f t="shared" si="72"/>
        <v>136664357.95391929</v>
      </c>
      <c r="U125" s="350">
        <f t="shared" si="73"/>
        <v>172186909.19626749</v>
      </c>
      <c r="V125" s="350">
        <f t="shared" si="74"/>
        <v>511005333.94047666</v>
      </c>
      <c r="W125" s="365"/>
      <c r="X125" s="377">
        <f t="shared" si="52"/>
        <v>0</v>
      </c>
      <c r="Y125" s="377">
        <f t="shared" si="53"/>
        <v>0</v>
      </c>
      <c r="Z125" s="377">
        <f t="shared" si="54"/>
        <v>0</v>
      </c>
      <c r="AA125" s="377">
        <f t="shared" si="55"/>
        <v>0</v>
      </c>
      <c r="AB125" s="377">
        <f t="shared" si="56"/>
        <v>0</v>
      </c>
      <c r="AC125" s="377">
        <f t="shared" si="57"/>
        <v>0</v>
      </c>
      <c r="AD125" s="376"/>
      <c r="AE125" s="332">
        <v>110</v>
      </c>
      <c r="AF125" s="350">
        <v>131495180.21372068</v>
      </c>
      <c r="AG125" s="350">
        <v>132573703.74401139</v>
      </c>
      <c r="AH125" s="350">
        <v>133607035.56330943</v>
      </c>
      <c r="AI125" s="350">
        <v>134642822.86287042</v>
      </c>
      <c r="AJ125" s="350">
        <v>135684283.11341321</v>
      </c>
      <c r="AK125" s="348">
        <v>668003025.49732518</v>
      </c>
      <c r="AL125" s="369"/>
      <c r="AM125" s="350">
        <v>168922756.77627617</v>
      </c>
      <c r="AN125" s="350">
        <v>208174101.17411605</v>
      </c>
      <c r="AO125" s="350">
        <v>247957673.53783816</v>
      </c>
      <c r="AP125" s="350">
        <v>288336786.92673814</v>
      </c>
      <c r="AQ125" s="350">
        <v>329321354.5226779</v>
      </c>
      <c r="AR125" s="348">
        <v>1242712672.9376464</v>
      </c>
      <c r="AS125" s="369"/>
      <c r="AT125" s="350">
        <f t="shared" si="75"/>
        <v>37427576.562555492</v>
      </c>
      <c r="AU125" s="350">
        <f t="shared" si="58"/>
        <v>75600397.430104658</v>
      </c>
      <c r="AV125" s="350">
        <f t="shared" si="59"/>
        <v>114350637.97452873</v>
      </c>
      <c r="AW125" s="350">
        <f t="shared" si="60"/>
        <v>153693964.06386772</v>
      </c>
      <c r="AX125" s="350">
        <f t="shared" si="61"/>
        <v>193637071.40926468</v>
      </c>
      <c r="AY125" s="350">
        <f t="shared" si="62"/>
        <v>574709647.44032121</v>
      </c>
      <c r="AZ125" s="365"/>
      <c r="BA125" s="377">
        <f t="shared" si="63"/>
        <v>0</v>
      </c>
      <c r="BB125" s="377">
        <f t="shared" si="64"/>
        <v>0</v>
      </c>
      <c r="BC125" s="377">
        <f t="shared" si="65"/>
        <v>0</v>
      </c>
      <c r="BD125" s="377">
        <f t="shared" si="66"/>
        <v>0</v>
      </c>
      <c r="BE125" s="377">
        <f t="shared" si="67"/>
        <v>0</v>
      </c>
      <c r="BF125" s="377">
        <f t="shared" si="68"/>
        <v>0</v>
      </c>
      <c r="BG125" s="328"/>
    </row>
    <row r="126" spans="2:59">
      <c r="B126" s="332">
        <v>111</v>
      </c>
      <c r="C126" s="350">
        <v>130323889.70240597</v>
      </c>
      <c r="D126" s="350">
        <v>131392806.30736905</v>
      </c>
      <c r="E126" s="350">
        <v>132416933.74554065</v>
      </c>
      <c r="F126" s="350">
        <v>133443494.79183711</v>
      </c>
      <c r="G126" s="350">
        <v>134475678.25742558</v>
      </c>
      <c r="H126" s="348">
        <v>662052802.8045783</v>
      </c>
      <c r="I126" s="369"/>
      <c r="J126" s="350">
        <v>166038218.50395417</v>
      </c>
      <c r="K126" s="350">
        <v>203522942.4799242</v>
      </c>
      <c r="L126" s="350">
        <v>241513715.10779035</v>
      </c>
      <c r="M126" s="350">
        <v>280072707.38889211</v>
      </c>
      <c r="N126" s="350">
        <v>319209495.87595588</v>
      </c>
      <c r="O126" s="348">
        <v>1210357079.3565166</v>
      </c>
      <c r="P126" s="369"/>
      <c r="Q126" s="350">
        <f t="shared" si="69"/>
        <v>35714328.801548198</v>
      </c>
      <c r="R126" s="350">
        <f t="shared" si="70"/>
        <v>72130136.172555149</v>
      </c>
      <c r="S126" s="350">
        <f t="shared" si="71"/>
        <v>109096781.3622497</v>
      </c>
      <c r="T126" s="350">
        <f t="shared" si="72"/>
        <v>146629212.59705502</v>
      </c>
      <c r="U126" s="350">
        <f t="shared" si="73"/>
        <v>184733817.6185303</v>
      </c>
      <c r="V126" s="350">
        <f t="shared" si="74"/>
        <v>548304276.5519383</v>
      </c>
      <c r="W126" s="365"/>
      <c r="X126" s="377">
        <f t="shared" si="52"/>
        <v>0</v>
      </c>
      <c r="Y126" s="377">
        <f t="shared" si="53"/>
        <v>0</v>
      </c>
      <c r="Z126" s="377">
        <f t="shared" si="54"/>
        <v>0</v>
      </c>
      <c r="AA126" s="377">
        <f t="shared" si="55"/>
        <v>0</v>
      </c>
      <c r="AB126" s="377">
        <f t="shared" si="56"/>
        <v>0</v>
      </c>
      <c r="AC126" s="377">
        <f t="shared" si="57"/>
        <v>0</v>
      </c>
      <c r="AD126" s="376"/>
      <c r="AE126" s="332">
        <v>111</v>
      </c>
      <c r="AF126" s="350">
        <v>119344342.67941292</v>
      </c>
      <c r="AG126" s="350">
        <v>120323205.03450167</v>
      </c>
      <c r="AH126" s="350">
        <v>121261051.62738377</v>
      </c>
      <c r="AI126" s="350">
        <v>122201126.80140059</v>
      </c>
      <c r="AJ126" s="350">
        <v>123146350.7162677</v>
      </c>
      <c r="AK126" s="348">
        <v>606276076.85896659</v>
      </c>
      <c r="AL126" s="369"/>
      <c r="AM126" s="350">
        <v>144309691.77991048</v>
      </c>
      <c r="AN126" s="350">
        <v>170758758.66558722</v>
      </c>
      <c r="AO126" s="350">
        <v>197552087.42350617</v>
      </c>
      <c r="AP126" s="350">
        <v>224743372.44553325</v>
      </c>
      <c r="AQ126" s="350">
        <v>252340001.32109722</v>
      </c>
      <c r="AR126" s="348">
        <v>989703911.63563442</v>
      </c>
      <c r="AS126" s="369"/>
      <c r="AT126" s="350">
        <f t="shared" si="75"/>
        <v>24965349.100497559</v>
      </c>
      <c r="AU126" s="350">
        <f t="shared" si="58"/>
        <v>50435553.631085545</v>
      </c>
      <c r="AV126" s="350">
        <f t="shared" si="59"/>
        <v>76291035.796122402</v>
      </c>
      <c r="AW126" s="350">
        <f t="shared" si="60"/>
        <v>102542245.64413266</v>
      </c>
      <c r="AX126" s="350">
        <f t="shared" si="61"/>
        <v>129193650.60482952</v>
      </c>
      <c r="AY126" s="350">
        <f t="shared" si="62"/>
        <v>383427834.77666783</v>
      </c>
      <c r="AZ126" s="365"/>
      <c r="BA126" s="377">
        <f t="shared" si="63"/>
        <v>0</v>
      </c>
      <c r="BB126" s="377">
        <f t="shared" si="64"/>
        <v>0</v>
      </c>
      <c r="BC126" s="377">
        <f t="shared" si="65"/>
        <v>0</v>
      </c>
      <c r="BD126" s="377">
        <f t="shared" si="66"/>
        <v>0</v>
      </c>
      <c r="BE126" s="377">
        <f t="shared" si="67"/>
        <v>0</v>
      </c>
      <c r="BF126" s="377">
        <f t="shared" si="68"/>
        <v>0</v>
      </c>
      <c r="BG126" s="328"/>
    </row>
    <row r="127" spans="2:59">
      <c r="B127" s="332">
        <v>112</v>
      </c>
      <c r="C127" s="350">
        <v>134347286.96671566</v>
      </c>
      <c r="D127" s="350">
        <v>135449203.47794306</v>
      </c>
      <c r="E127" s="350">
        <v>136504948.07811353</v>
      </c>
      <c r="F127" s="350">
        <v>137563201.41747114</v>
      </c>
      <c r="G127" s="350">
        <v>138627250.75309461</v>
      </c>
      <c r="H127" s="348">
        <v>682491890.69333816</v>
      </c>
      <c r="I127" s="369"/>
      <c r="J127" s="350">
        <v>171181044.85163838</v>
      </c>
      <c r="K127" s="350">
        <v>209835497.42885977</v>
      </c>
      <c r="L127" s="350">
        <v>249011808.28866071</v>
      </c>
      <c r="M127" s="350">
        <v>288774074.58410555</v>
      </c>
      <c r="N127" s="350">
        <v>329132170.81554127</v>
      </c>
      <c r="O127" s="348">
        <v>1247934595.9688056</v>
      </c>
      <c r="P127" s="369"/>
      <c r="Q127" s="350">
        <f t="shared" si="69"/>
        <v>36833757.884922713</v>
      </c>
      <c r="R127" s="350">
        <f t="shared" si="70"/>
        <v>74386293.950916708</v>
      </c>
      <c r="S127" s="350">
        <f t="shared" si="71"/>
        <v>112506860.21054718</v>
      </c>
      <c r="T127" s="350">
        <f t="shared" si="72"/>
        <v>151210873.16663441</v>
      </c>
      <c r="U127" s="350">
        <f t="shared" si="73"/>
        <v>190504920.06244665</v>
      </c>
      <c r="V127" s="350">
        <f t="shared" si="74"/>
        <v>565442705.2754674</v>
      </c>
      <c r="W127" s="365"/>
      <c r="X127" s="377">
        <f t="shared" si="52"/>
        <v>0</v>
      </c>
      <c r="Y127" s="377">
        <f t="shared" si="53"/>
        <v>0</v>
      </c>
      <c r="Z127" s="377">
        <f t="shared" si="54"/>
        <v>0</v>
      </c>
      <c r="AA127" s="377">
        <f t="shared" si="55"/>
        <v>0</v>
      </c>
      <c r="AB127" s="377">
        <f t="shared" si="56"/>
        <v>0</v>
      </c>
      <c r="AC127" s="377">
        <f t="shared" si="57"/>
        <v>0</v>
      </c>
      <c r="AD127" s="376"/>
      <c r="AE127" s="332">
        <v>112</v>
      </c>
      <c r="AF127" s="350">
        <v>120588298.96102302</v>
      </c>
      <c r="AG127" s="350">
        <v>121577364.24612176</v>
      </c>
      <c r="AH127" s="350">
        <v>122524986.25134604</v>
      </c>
      <c r="AI127" s="350">
        <v>123474860.06677018</v>
      </c>
      <c r="AJ127" s="350">
        <v>124429936.28967321</v>
      </c>
      <c r="AK127" s="348">
        <v>612595445.81493425</v>
      </c>
      <c r="AL127" s="369"/>
      <c r="AM127" s="350">
        <v>153810890.5933615</v>
      </c>
      <c r="AN127" s="350">
        <v>188680130.12154925</v>
      </c>
      <c r="AO127" s="350">
        <v>224020411.67742327</v>
      </c>
      <c r="AP127" s="350">
        <v>259889335.94163585</v>
      </c>
      <c r="AQ127" s="350">
        <v>296295796.35962468</v>
      </c>
      <c r="AR127" s="348">
        <v>1122696564.6935945</v>
      </c>
      <c r="AS127" s="369"/>
      <c r="AT127" s="350">
        <f t="shared" si="75"/>
        <v>33222591.632338479</v>
      </c>
      <c r="AU127" s="350">
        <f t="shared" si="58"/>
        <v>67102765.875427485</v>
      </c>
      <c r="AV127" s="350">
        <f t="shared" si="59"/>
        <v>101495425.42607723</v>
      </c>
      <c r="AW127" s="350">
        <f t="shared" si="60"/>
        <v>136414475.87486565</v>
      </c>
      <c r="AX127" s="350">
        <f t="shared" si="61"/>
        <v>171865860.06995147</v>
      </c>
      <c r="AY127" s="350">
        <f t="shared" si="62"/>
        <v>510101118.8786602</v>
      </c>
      <c r="AZ127" s="365"/>
      <c r="BA127" s="377">
        <f t="shared" si="63"/>
        <v>0</v>
      </c>
      <c r="BB127" s="377">
        <f t="shared" si="64"/>
        <v>0</v>
      </c>
      <c r="BC127" s="377">
        <f t="shared" si="65"/>
        <v>0</v>
      </c>
      <c r="BD127" s="377">
        <f t="shared" si="66"/>
        <v>0</v>
      </c>
      <c r="BE127" s="377">
        <f t="shared" si="67"/>
        <v>0</v>
      </c>
      <c r="BF127" s="377">
        <f t="shared" si="68"/>
        <v>0</v>
      </c>
      <c r="BG127" s="328"/>
    </row>
    <row r="128" spans="2:59">
      <c r="B128" s="332">
        <v>113</v>
      </c>
      <c r="C128" s="350">
        <v>129868408.25651722</v>
      </c>
      <c r="D128" s="350">
        <v>130933589.00244571</v>
      </c>
      <c r="E128" s="350">
        <v>131954137.11953215</v>
      </c>
      <c r="F128" s="350">
        <v>132977110.33929327</v>
      </c>
      <c r="G128" s="350">
        <v>134005686.3280147</v>
      </c>
      <c r="H128" s="348">
        <v>659738931.04580307</v>
      </c>
      <c r="I128" s="369"/>
      <c r="J128" s="350">
        <v>163032772.05145821</v>
      </c>
      <c r="K128" s="350">
        <v>197913916.33015803</v>
      </c>
      <c r="L128" s="350">
        <v>233261939.77675903</v>
      </c>
      <c r="M128" s="350">
        <v>269137781.07321465</v>
      </c>
      <c r="N128" s="350">
        <v>305550549.58087409</v>
      </c>
      <c r="O128" s="348">
        <v>1168896958.812464</v>
      </c>
      <c r="P128" s="369"/>
      <c r="Q128" s="350">
        <f t="shared" si="69"/>
        <v>33164363.794940993</v>
      </c>
      <c r="R128" s="350">
        <f t="shared" si="70"/>
        <v>66980327.327712312</v>
      </c>
      <c r="S128" s="350">
        <f t="shared" si="71"/>
        <v>101307802.65722688</v>
      </c>
      <c r="T128" s="350">
        <f t="shared" si="72"/>
        <v>136160670.73392138</v>
      </c>
      <c r="U128" s="350">
        <f t="shared" si="73"/>
        <v>171544863.25285938</v>
      </c>
      <c r="V128" s="350">
        <f t="shared" si="74"/>
        <v>509158027.76666093</v>
      </c>
      <c r="W128" s="365"/>
      <c r="X128" s="377">
        <f t="shared" si="52"/>
        <v>0</v>
      </c>
      <c r="Y128" s="377">
        <f t="shared" si="53"/>
        <v>0</v>
      </c>
      <c r="Z128" s="377">
        <f t="shared" si="54"/>
        <v>0</v>
      </c>
      <c r="AA128" s="377">
        <f t="shared" si="55"/>
        <v>0</v>
      </c>
      <c r="AB128" s="377">
        <f t="shared" si="56"/>
        <v>0</v>
      </c>
      <c r="AC128" s="377">
        <f t="shared" si="57"/>
        <v>0</v>
      </c>
      <c r="AD128" s="376"/>
      <c r="AE128" s="332">
        <v>113</v>
      </c>
      <c r="AF128" s="350">
        <v>113887021.65660414</v>
      </c>
      <c r="AG128" s="350">
        <v>114821123.06208333</v>
      </c>
      <c r="AH128" s="350">
        <v>115716084.25451326</v>
      </c>
      <c r="AI128" s="350">
        <v>116613172.12058567</v>
      </c>
      <c r="AJ128" s="350">
        <v>117515173.28834924</v>
      </c>
      <c r="AK128" s="348">
        <v>578552574.38213563</v>
      </c>
      <c r="AL128" s="369"/>
      <c r="AM128" s="350">
        <v>146020204.48919216</v>
      </c>
      <c r="AN128" s="350">
        <v>179739462.65317163</v>
      </c>
      <c r="AO128" s="350">
        <v>213915509.60840029</v>
      </c>
      <c r="AP128" s="350">
        <v>248603062.73757744</v>
      </c>
      <c r="AQ128" s="350">
        <v>283810659.07904881</v>
      </c>
      <c r="AR128" s="348">
        <v>1072088898.5673904</v>
      </c>
      <c r="AS128" s="369"/>
      <c r="AT128" s="350">
        <f t="shared" si="75"/>
        <v>32133182.832588017</v>
      </c>
      <c r="AU128" s="350">
        <f t="shared" si="58"/>
        <v>64918339.591088295</v>
      </c>
      <c r="AV128" s="350">
        <f t="shared" si="59"/>
        <v>98199425.353887022</v>
      </c>
      <c r="AW128" s="350">
        <f t="shared" si="60"/>
        <v>131989890.61699177</v>
      </c>
      <c r="AX128" s="350">
        <f t="shared" si="61"/>
        <v>166295485.79069957</v>
      </c>
      <c r="AY128" s="350">
        <f t="shared" si="62"/>
        <v>493536324.18525481</v>
      </c>
      <c r="AZ128" s="365"/>
      <c r="BA128" s="377">
        <f t="shared" si="63"/>
        <v>0</v>
      </c>
      <c r="BB128" s="377">
        <f t="shared" si="64"/>
        <v>0</v>
      </c>
      <c r="BC128" s="377">
        <f t="shared" si="65"/>
        <v>0</v>
      </c>
      <c r="BD128" s="377">
        <f t="shared" si="66"/>
        <v>0</v>
      </c>
      <c r="BE128" s="377">
        <f t="shared" si="67"/>
        <v>0</v>
      </c>
      <c r="BF128" s="377">
        <f t="shared" si="68"/>
        <v>0</v>
      </c>
      <c r="BG128" s="328"/>
    </row>
    <row r="129" spans="2:59">
      <c r="B129" s="332">
        <v>114</v>
      </c>
      <c r="C129" s="350">
        <v>153819182.68714404</v>
      </c>
      <c r="D129" s="350">
        <v>155080807.69627771</v>
      </c>
      <c r="E129" s="350">
        <v>156289568.77505431</v>
      </c>
      <c r="F129" s="350">
        <v>157501202.2022053</v>
      </c>
      <c r="G129" s="350">
        <v>158719471.680062</v>
      </c>
      <c r="H129" s="348">
        <v>781410233.04074335</v>
      </c>
      <c r="I129" s="369"/>
      <c r="J129" s="350">
        <v>190505752.83173808</v>
      </c>
      <c r="K129" s="350">
        <v>229185458.86760923</v>
      </c>
      <c r="L129" s="350">
        <v>268378304.57955703</v>
      </c>
      <c r="M129" s="350">
        <v>308155382.01185602</v>
      </c>
      <c r="N129" s="350">
        <v>348527018.16944432</v>
      </c>
      <c r="O129" s="348">
        <v>1344751916.4602046</v>
      </c>
      <c r="P129" s="369"/>
      <c r="Q129" s="350">
        <f t="shared" si="69"/>
        <v>36686570.144594043</v>
      </c>
      <c r="R129" s="350">
        <f t="shared" si="70"/>
        <v>74104651.171331525</v>
      </c>
      <c r="S129" s="350">
        <f t="shared" si="71"/>
        <v>112088735.80450273</v>
      </c>
      <c r="T129" s="350">
        <f t="shared" si="72"/>
        <v>150654179.80965072</v>
      </c>
      <c r="U129" s="350">
        <f t="shared" si="73"/>
        <v>189807546.48938233</v>
      </c>
      <c r="V129" s="350">
        <f t="shared" si="74"/>
        <v>563341683.41946125</v>
      </c>
      <c r="W129" s="365"/>
      <c r="X129" s="377">
        <f t="shared" si="52"/>
        <v>0</v>
      </c>
      <c r="Y129" s="377">
        <f t="shared" si="53"/>
        <v>0</v>
      </c>
      <c r="Z129" s="377">
        <f t="shared" si="54"/>
        <v>0</v>
      </c>
      <c r="AA129" s="377">
        <f t="shared" si="55"/>
        <v>0</v>
      </c>
      <c r="AB129" s="377">
        <f t="shared" si="56"/>
        <v>0</v>
      </c>
      <c r="AC129" s="377">
        <f t="shared" si="57"/>
        <v>0</v>
      </c>
      <c r="AD129" s="376"/>
      <c r="AE129" s="332">
        <v>114</v>
      </c>
      <c r="AF129" s="350">
        <v>134358283.76099807</v>
      </c>
      <c r="AG129" s="350">
        <v>135460290.46793738</v>
      </c>
      <c r="AH129" s="350">
        <v>136516121.48448771</v>
      </c>
      <c r="AI129" s="350">
        <v>137574461.44557419</v>
      </c>
      <c r="AJ129" s="350">
        <v>138638597.87734911</v>
      </c>
      <c r="AK129" s="348">
        <v>682547755.03634655</v>
      </c>
      <c r="AL129" s="369"/>
      <c r="AM129" s="350">
        <v>163813326.53819257</v>
      </c>
      <c r="AN129" s="350">
        <v>194938389.28507763</v>
      </c>
      <c r="AO129" s="350">
        <v>226471410.37451029</v>
      </c>
      <c r="AP129" s="350">
        <v>258473402.25992483</v>
      </c>
      <c r="AQ129" s="350">
        <v>290952919.0882889</v>
      </c>
      <c r="AR129" s="348">
        <v>1134649447.5459943</v>
      </c>
      <c r="AS129" s="369"/>
      <c r="AT129" s="350">
        <f t="shared" si="75"/>
        <v>29455042.7771945</v>
      </c>
      <c r="AU129" s="350">
        <f t="shared" si="58"/>
        <v>59478098.817140251</v>
      </c>
      <c r="AV129" s="350">
        <f t="shared" si="59"/>
        <v>89955288.890022576</v>
      </c>
      <c r="AW129" s="350">
        <f t="shared" si="60"/>
        <v>120898940.81435063</v>
      </c>
      <c r="AX129" s="350">
        <f t="shared" si="61"/>
        <v>152314321.21093979</v>
      </c>
      <c r="AY129" s="350">
        <f t="shared" si="62"/>
        <v>452101692.50964773</v>
      </c>
      <c r="AZ129" s="365"/>
      <c r="BA129" s="377">
        <f t="shared" si="63"/>
        <v>0</v>
      </c>
      <c r="BB129" s="377">
        <f t="shared" si="64"/>
        <v>0</v>
      </c>
      <c r="BC129" s="377">
        <f t="shared" si="65"/>
        <v>0</v>
      </c>
      <c r="BD129" s="377">
        <f t="shared" si="66"/>
        <v>0</v>
      </c>
      <c r="BE129" s="377">
        <f t="shared" si="67"/>
        <v>0</v>
      </c>
      <c r="BF129" s="377">
        <f t="shared" si="68"/>
        <v>0</v>
      </c>
      <c r="BG129" s="328"/>
    </row>
    <row r="130" spans="2:59">
      <c r="B130" s="332">
        <v>115</v>
      </c>
      <c r="C130" s="350">
        <v>115747156.46057022</v>
      </c>
      <c r="D130" s="350">
        <v>116696514.69259107</v>
      </c>
      <c r="E130" s="350">
        <v>117606093.42824957</v>
      </c>
      <c r="F130" s="350">
        <v>118517833.57284878</v>
      </c>
      <c r="G130" s="350">
        <v>119434567.26887563</v>
      </c>
      <c r="H130" s="348">
        <v>588002165.42313528</v>
      </c>
      <c r="I130" s="369"/>
      <c r="J130" s="350">
        <v>139123243.39920056</v>
      </c>
      <c r="K130" s="350">
        <v>163938725.72336251</v>
      </c>
      <c r="L130" s="350">
        <v>189075449.90520632</v>
      </c>
      <c r="M130" s="350">
        <v>214585142.62424254</v>
      </c>
      <c r="N130" s="350">
        <v>240474821.70560199</v>
      </c>
      <c r="O130" s="348">
        <v>947197383.3576138</v>
      </c>
      <c r="P130" s="369"/>
      <c r="Q130" s="350">
        <f t="shared" si="69"/>
        <v>23376086.938630342</v>
      </c>
      <c r="R130" s="350">
        <f t="shared" si="70"/>
        <v>47242211.030771434</v>
      </c>
      <c r="S130" s="350">
        <f t="shared" si="71"/>
        <v>71469356.476956755</v>
      </c>
      <c r="T130" s="350">
        <f t="shared" si="72"/>
        <v>96067309.051393762</v>
      </c>
      <c r="U130" s="350">
        <f t="shared" si="73"/>
        <v>121040254.43672636</v>
      </c>
      <c r="V130" s="350">
        <f t="shared" si="74"/>
        <v>359195217.93447852</v>
      </c>
      <c r="W130" s="365"/>
      <c r="X130" s="377">
        <f t="shared" si="52"/>
        <v>0</v>
      </c>
      <c r="Y130" s="377">
        <f t="shared" si="53"/>
        <v>0</v>
      </c>
      <c r="Z130" s="377">
        <f t="shared" si="54"/>
        <v>0</v>
      </c>
      <c r="AA130" s="377">
        <f t="shared" si="55"/>
        <v>0</v>
      </c>
      <c r="AB130" s="377">
        <f t="shared" si="56"/>
        <v>0</v>
      </c>
      <c r="AC130" s="377">
        <f t="shared" si="57"/>
        <v>0</v>
      </c>
      <c r="AD130" s="376"/>
      <c r="AE130" s="332">
        <v>115</v>
      </c>
      <c r="AF130" s="350">
        <v>139835249.51343992</v>
      </c>
      <c r="AG130" s="350">
        <v>140982178.29607055</v>
      </c>
      <c r="AH130" s="350">
        <v>142081049.08773664</v>
      </c>
      <c r="AI130" s="350">
        <v>143182531.09826773</v>
      </c>
      <c r="AJ130" s="350">
        <v>144290045.86615723</v>
      </c>
      <c r="AK130" s="348">
        <v>710371053.86167216</v>
      </c>
      <c r="AL130" s="369"/>
      <c r="AM130" s="350">
        <v>173574275.96767232</v>
      </c>
      <c r="AN130" s="350">
        <v>209148318.02613354</v>
      </c>
      <c r="AO130" s="350">
        <v>245195070.00183666</v>
      </c>
      <c r="AP130" s="350">
        <v>281779323.98023939</v>
      </c>
      <c r="AQ130" s="350">
        <v>318910539.82364571</v>
      </c>
      <c r="AR130" s="348">
        <v>1228607527.7995276</v>
      </c>
      <c r="AS130" s="369"/>
      <c r="AT130" s="350">
        <f t="shared" si="75"/>
        <v>33739026.454232395</v>
      </c>
      <c r="AU130" s="350">
        <f t="shared" si="58"/>
        <v>68166139.730062991</v>
      </c>
      <c r="AV130" s="350">
        <f t="shared" si="59"/>
        <v>103114020.91410002</v>
      </c>
      <c r="AW130" s="350">
        <f t="shared" si="60"/>
        <v>138596792.88197166</v>
      </c>
      <c r="AX130" s="350">
        <f t="shared" si="61"/>
        <v>174620493.95748848</v>
      </c>
      <c r="AY130" s="350">
        <f t="shared" si="62"/>
        <v>518236473.93785548</v>
      </c>
      <c r="AZ130" s="365"/>
      <c r="BA130" s="377">
        <f t="shared" si="63"/>
        <v>0</v>
      </c>
      <c r="BB130" s="377">
        <f t="shared" si="64"/>
        <v>0</v>
      </c>
      <c r="BC130" s="377">
        <f t="shared" si="65"/>
        <v>0</v>
      </c>
      <c r="BD130" s="377">
        <f t="shared" si="66"/>
        <v>0</v>
      </c>
      <c r="BE130" s="377">
        <f t="shared" si="67"/>
        <v>0</v>
      </c>
      <c r="BF130" s="377">
        <f t="shared" si="68"/>
        <v>0</v>
      </c>
      <c r="BG130" s="328"/>
    </row>
    <row r="131" spans="2:59">
      <c r="B131" s="332">
        <v>116</v>
      </c>
      <c r="C131" s="350">
        <v>141753665.27118081</v>
      </c>
      <c r="D131" s="350">
        <v>142916328.9007636</v>
      </c>
      <c r="E131" s="350">
        <v>144030275.22631532</v>
      </c>
      <c r="F131" s="350">
        <v>145146868.59434196</v>
      </c>
      <c r="G131" s="350">
        <v>146269577.48381412</v>
      </c>
      <c r="H131" s="348">
        <v>720116715.47641575</v>
      </c>
      <c r="I131" s="369"/>
      <c r="J131" s="350">
        <v>174001504.16718173</v>
      </c>
      <c r="K131" s="350">
        <v>208079585.46232963</v>
      </c>
      <c r="L131" s="350">
        <v>242606855.00332776</v>
      </c>
      <c r="M131" s="350">
        <v>277648176.36391467</v>
      </c>
      <c r="N131" s="350">
        <v>313212790.97855115</v>
      </c>
      <c r="O131" s="348">
        <v>1215548911.9753048</v>
      </c>
      <c r="P131" s="369"/>
      <c r="Q131" s="350">
        <f t="shared" si="69"/>
        <v>32247838.896000922</v>
      </c>
      <c r="R131" s="350">
        <f t="shared" si="70"/>
        <v>65163256.561566025</v>
      </c>
      <c r="S131" s="350">
        <f t="shared" si="71"/>
        <v>98576579.777012438</v>
      </c>
      <c r="T131" s="350">
        <f t="shared" si="72"/>
        <v>132501307.76957271</v>
      </c>
      <c r="U131" s="350">
        <f t="shared" si="73"/>
        <v>166943213.49473703</v>
      </c>
      <c r="V131" s="350">
        <f t="shared" si="74"/>
        <v>495432196.49888909</v>
      </c>
      <c r="W131" s="365"/>
      <c r="X131" s="377">
        <f t="shared" si="52"/>
        <v>0</v>
      </c>
      <c r="Y131" s="377">
        <f t="shared" si="53"/>
        <v>0</v>
      </c>
      <c r="Z131" s="377">
        <f t="shared" si="54"/>
        <v>0</v>
      </c>
      <c r="AA131" s="377">
        <f t="shared" si="55"/>
        <v>0</v>
      </c>
      <c r="AB131" s="377">
        <f t="shared" si="56"/>
        <v>0</v>
      </c>
      <c r="AC131" s="377">
        <f t="shared" si="57"/>
        <v>0</v>
      </c>
      <c r="AD131" s="376"/>
      <c r="AE131" s="332">
        <v>116</v>
      </c>
      <c r="AF131" s="350">
        <v>136363456.56421015</v>
      </c>
      <c r="AG131" s="350">
        <v>137481909.69942954</v>
      </c>
      <c r="AH131" s="350">
        <v>138553498.01489672</v>
      </c>
      <c r="AI131" s="350">
        <v>139627632.71857083</v>
      </c>
      <c r="AJ131" s="350">
        <v>140707650.39988372</v>
      </c>
      <c r="AK131" s="348">
        <v>692734147.39699101</v>
      </c>
      <c r="AL131" s="369"/>
      <c r="AM131" s="350">
        <v>170820624.68917722</v>
      </c>
      <c r="AN131" s="350">
        <v>207071101.96227539</v>
      </c>
      <c r="AO131" s="350">
        <v>243806132.40230867</v>
      </c>
      <c r="AP131" s="350">
        <v>281089549.15201527</v>
      </c>
      <c r="AQ131" s="350">
        <v>318930851.39633894</v>
      </c>
      <c r="AR131" s="348">
        <v>1221718259.6021154</v>
      </c>
      <c r="AS131" s="369"/>
      <c r="AT131" s="350">
        <f t="shared" si="75"/>
        <v>34457168.124967068</v>
      </c>
      <c r="AU131" s="350">
        <f t="shared" si="58"/>
        <v>69589192.262845844</v>
      </c>
      <c r="AV131" s="350">
        <f t="shared" si="59"/>
        <v>105252634.38741195</v>
      </c>
      <c r="AW131" s="350">
        <f t="shared" si="60"/>
        <v>141461916.43344444</v>
      </c>
      <c r="AX131" s="350">
        <f t="shared" si="61"/>
        <v>178223200.99645522</v>
      </c>
      <c r="AY131" s="350">
        <f t="shared" si="62"/>
        <v>528984112.20512438</v>
      </c>
      <c r="AZ131" s="365"/>
      <c r="BA131" s="377">
        <f t="shared" si="63"/>
        <v>0</v>
      </c>
      <c r="BB131" s="377">
        <f t="shared" si="64"/>
        <v>0</v>
      </c>
      <c r="BC131" s="377">
        <f t="shared" si="65"/>
        <v>0</v>
      </c>
      <c r="BD131" s="377">
        <f t="shared" si="66"/>
        <v>0</v>
      </c>
      <c r="BE131" s="377">
        <f t="shared" si="67"/>
        <v>0</v>
      </c>
      <c r="BF131" s="377">
        <f t="shared" si="68"/>
        <v>0</v>
      </c>
      <c r="BG131" s="328"/>
    </row>
    <row r="132" spans="2:59">
      <c r="B132" s="332">
        <v>117</v>
      </c>
      <c r="C132" s="350">
        <v>138376797.09664211</v>
      </c>
      <c r="D132" s="350">
        <v>139511763.65186051</v>
      </c>
      <c r="E132" s="350">
        <v>140599173.45091259</v>
      </c>
      <c r="F132" s="350">
        <v>141689167.23436284</v>
      </c>
      <c r="G132" s="350">
        <v>142785130.85477349</v>
      </c>
      <c r="H132" s="348">
        <v>702962032.28855157</v>
      </c>
      <c r="I132" s="369"/>
      <c r="J132" s="350">
        <v>170877234.72573692</v>
      </c>
      <c r="K132" s="350">
        <v>205141897.22594076</v>
      </c>
      <c r="L132" s="350">
        <v>239860129.74981833</v>
      </c>
      <c r="M132" s="350">
        <v>275095675.58537483</v>
      </c>
      <c r="N132" s="350">
        <v>310857732.11297041</v>
      </c>
      <c r="O132" s="348">
        <v>1201832669.3998413</v>
      </c>
      <c r="P132" s="369"/>
      <c r="Q132" s="350">
        <f t="shared" si="69"/>
        <v>32500437.629094809</v>
      </c>
      <c r="R132" s="350">
        <f t="shared" si="70"/>
        <v>65630133.574080259</v>
      </c>
      <c r="S132" s="350">
        <f t="shared" si="71"/>
        <v>99260956.29890573</v>
      </c>
      <c r="T132" s="350">
        <f t="shared" si="72"/>
        <v>133406508.35101199</v>
      </c>
      <c r="U132" s="350">
        <f t="shared" si="73"/>
        <v>168072601.25819692</v>
      </c>
      <c r="V132" s="350">
        <f t="shared" si="74"/>
        <v>498870637.11128974</v>
      </c>
      <c r="W132" s="365"/>
      <c r="X132" s="377">
        <f t="shared" si="52"/>
        <v>0</v>
      </c>
      <c r="Y132" s="377">
        <f t="shared" si="53"/>
        <v>0</v>
      </c>
      <c r="Z132" s="377">
        <f t="shared" si="54"/>
        <v>0</v>
      </c>
      <c r="AA132" s="377">
        <f t="shared" si="55"/>
        <v>0</v>
      </c>
      <c r="AB132" s="377">
        <f t="shared" si="56"/>
        <v>0</v>
      </c>
      <c r="AC132" s="377">
        <f t="shared" si="57"/>
        <v>0</v>
      </c>
      <c r="AD132" s="376"/>
      <c r="AE132" s="332">
        <v>117</v>
      </c>
      <c r="AF132" s="350">
        <v>111037586.62670481</v>
      </c>
      <c r="AG132" s="350">
        <v>111948316.96472143</v>
      </c>
      <c r="AH132" s="350">
        <v>112820886.37154648</v>
      </c>
      <c r="AI132" s="350">
        <v>113695529.24298036</v>
      </c>
      <c r="AJ132" s="350">
        <v>114574962.48608452</v>
      </c>
      <c r="AK132" s="348">
        <v>564077281.69203758</v>
      </c>
      <c r="AL132" s="369"/>
      <c r="AM132" s="350">
        <v>142117915.17381284</v>
      </c>
      <c r="AN132" s="350">
        <v>174707296.1971575</v>
      </c>
      <c r="AO132" s="350">
        <v>207737692.66041595</v>
      </c>
      <c r="AP132" s="350">
        <v>241262346.9513081</v>
      </c>
      <c r="AQ132" s="350">
        <v>275289533.04435259</v>
      </c>
      <c r="AR132" s="348">
        <v>1041114784.0270469</v>
      </c>
      <c r="AS132" s="369"/>
      <c r="AT132" s="350">
        <f t="shared" si="75"/>
        <v>31080328.547108024</v>
      </c>
      <c r="AU132" s="350">
        <f t="shared" si="58"/>
        <v>62758979.232436076</v>
      </c>
      <c r="AV132" s="350">
        <f t="shared" si="59"/>
        <v>94916806.28886947</v>
      </c>
      <c r="AW132" s="350">
        <f t="shared" si="60"/>
        <v>127566817.70832774</v>
      </c>
      <c r="AX132" s="350">
        <f t="shared" si="61"/>
        <v>160714570.55826807</v>
      </c>
      <c r="AY132" s="350">
        <f t="shared" si="62"/>
        <v>477037502.33500934</v>
      </c>
      <c r="AZ132" s="365"/>
      <c r="BA132" s="377">
        <f t="shared" si="63"/>
        <v>0</v>
      </c>
      <c r="BB132" s="377">
        <f t="shared" si="64"/>
        <v>0</v>
      </c>
      <c r="BC132" s="377">
        <f t="shared" si="65"/>
        <v>0</v>
      </c>
      <c r="BD132" s="377">
        <f t="shared" si="66"/>
        <v>0</v>
      </c>
      <c r="BE132" s="377">
        <f t="shared" si="67"/>
        <v>0</v>
      </c>
      <c r="BF132" s="377">
        <f t="shared" si="68"/>
        <v>0</v>
      </c>
      <c r="BG132" s="328"/>
    </row>
    <row r="133" spans="2:59">
      <c r="B133" s="332">
        <v>118</v>
      </c>
      <c r="C133" s="350">
        <v>137061255.78884247</v>
      </c>
      <c r="D133" s="350">
        <v>138185432.27363229</v>
      </c>
      <c r="E133" s="350">
        <v>139262504.12196445</v>
      </c>
      <c r="F133" s="350">
        <v>140342135.38888404</v>
      </c>
      <c r="G133" s="350">
        <v>141427679.73782185</v>
      </c>
      <c r="H133" s="348">
        <v>696279007.31114507</v>
      </c>
      <c r="I133" s="369"/>
      <c r="J133" s="350">
        <v>169156931.58814609</v>
      </c>
      <c r="K133" s="350">
        <v>203019597.83474159</v>
      </c>
      <c r="L133" s="350">
        <v>237330378.65304387</v>
      </c>
      <c r="M133" s="350">
        <v>272152372.42750472</v>
      </c>
      <c r="N133" s="350">
        <v>307494675.23772746</v>
      </c>
      <c r="O133" s="348">
        <v>1189153955.7411637</v>
      </c>
      <c r="P133" s="369"/>
      <c r="Q133" s="350">
        <f t="shared" si="69"/>
        <v>32095675.799303621</v>
      </c>
      <c r="R133" s="350">
        <f t="shared" si="70"/>
        <v>64834165.561109304</v>
      </c>
      <c r="S133" s="350">
        <f t="shared" si="71"/>
        <v>98067874.531079412</v>
      </c>
      <c r="T133" s="350">
        <f t="shared" si="72"/>
        <v>131810237.03862068</v>
      </c>
      <c r="U133" s="350">
        <f t="shared" si="73"/>
        <v>166066995.49990562</v>
      </c>
      <c r="V133" s="350">
        <f t="shared" si="74"/>
        <v>492874948.43001866</v>
      </c>
      <c r="W133" s="365"/>
      <c r="X133" s="377">
        <f t="shared" si="52"/>
        <v>0</v>
      </c>
      <c r="Y133" s="377">
        <f t="shared" si="53"/>
        <v>0</v>
      </c>
      <c r="Z133" s="377">
        <f t="shared" si="54"/>
        <v>0</v>
      </c>
      <c r="AA133" s="377">
        <f t="shared" si="55"/>
        <v>0</v>
      </c>
      <c r="AB133" s="377">
        <f t="shared" si="56"/>
        <v>0</v>
      </c>
      <c r="AC133" s="377">
        <f t="shared" si="57"/>
        <v>0</v>
      </c>
      <c r="AD133" s="376"/>
      <c r="AE133" s="332">
        <v>118</v>
      </c>
      <c r="AF133" s="350">
        <v>161049633.07022348</v>
      </c>
      <c r="AG133" s="350">
        <v>162370562.23681813</v>
      </c>
      <c r="AH133" s="350">
        <v>163636142.54225031</v>
      </c>
      <c r="AI133" s="350">
        <v>164904730.21414798</v>
      </c>
      <c r="AJ133" s="350">
        <v>166180265.87206745</v>
      </c>
      <c r="AK133" s="348">
        <v>818141333.9355073</v>
      </c>
      <c r="AL133" s="369"/>
      <c r="AM133" s="350">
        <v>196017237.72154406</v>
      </c>
      <c r="AN133" s="350">
        <v>233021062.07053351</v>
      </c>
      <c r="AO133" s="350">
        <v>270509302.26940644</v>
      </c>
      <c r="AP133" s="350">
        <v>308554951.81335694</v>
      </c>
      <c r="AQ133" s="350">
        <v>347168209.85403657</v>
      </c>
      <c r="AR133" s="348">
        <v>1355270763.7288775</v>
      </c>
      <c r="AS133" s="369"/>
      <c r="AT133" s="350">
        <f t="shared" si="75"/>
        <v>34967604.651320577</v>
      </c>
      <c r="AU133" s="350">
        <f t="shared" si="58"/>
        <v>70650499.833715379</v>
      </c>
      <c r="AV133" s="350">
        <f t="shared" si="59"/>
        <v>106873159.72715613</v>
      </c>
      <c r="AW133" s="350">
        <f t="shared" si="60"/>
        <v>143650221.59920895</v>
      </c>
      <c r="AX133" s="350">
        <f t="shared" si="61"/>
        <v>180987943.98196912</v>
      </c>
      <c r="AY133" s="350">
        <f t="shared" si="62"/>
        <v>537129429.79337025</v>
      </c>
      <c r="AZ133" s="365"/>
      <c r="BA133" s="377">
        <f t="shared" si="63"/>
        <v>0</v>
      </c>
      <c r="BB133" s="377">
        <f t="shared" si="64"/>
        <v>0</v>
      </c>
      <c r="BC133" s="377">
        <f t="shared" si="65"/>
        <v>0</v>
      </c>
      <c r="BD133" s="377">
        <f t="shared" si="66"/>
        <v>0</v>
      </c>
      <c r="BE133" s="377">
        <f t="shared" si="67"/>
        <v>0</v>
      </c>
      <c r="BF133" s="377">
        <f t="shared" si="68"/>
        <v>0</v>
      </c>
      <c r="BG133" s="328"/>
    </row>
    <row r="134" spans="2:59">
      <c r="B134" s="332">
        <v>119</v>
      </c>
      <c r="C134" s="350">
        <v>129342266.01281425</v>
      </c>
      <c r="D134" s="350">
        <v>130403131.33981115</v>
      </c>
      <c r="E134" s="350">
        <v>131419544.8603214</v>
      </c>
      <c r="F134" s="350">
        <v>132438373.6585691</v>
      </c>
      <c r="G134" s="350">
        <v>133462782.52700473</v>
      </c>
      <c r="H134" s="348">
        <v>657066098.39852059</v>
      </c>
      <c r="I134" s="369"/>
      <c r="J134" s="350">
        <v>155965285.53003982</v>
      </c>
      <c r="K134" s="350">
        <v>184193705.59434712</v>
      </c>
      <c r="L134" s="350">
        <v>212788629.47296974</v>
      </c>
      <c r="M134" s="350">
        <v>241808068.51200515</v>
      </c>
      <c r="N134" s="350">
        <v>271259952.50576818</v>
      </c>
      <c r="O134" s="348">
        <v>1066015641.6151301</v>
      </c>
      <c r="P134" s="369"/>
      <c r="Q134" s="350">
        <f t="shared" si="69"/>
        <v>26623019.517225564</v>
      </c>
      <c r="R134" s="350">
        <f t="shared" si="70"/>
        <v>53790574.254535973</v>
      </c>
      <c r="S134" s="350">
        <f t="shared" si="71"/>
        <v>81369084.612648338</v>
      </c>
      <c r="T134" s="350">
        <f t="shared" si="72"/>
        <v>109369694.85343605</v>
      </c>
      <c r="U134" s="350">
        <f t="shared" si="73"/>
        <v>137797169.97876346</v>
      </c>
      <c r="V134" s="350">
        <f t="shared" si="74"/>
        <v>408949543.21660948</v>
      </c>
      <c r="W134" s="365"/>
      <c r="X134" s="377">
        <f t="shared" si="52"/>
        <v>0</v>
      </c>
      <c r="Y134" s="377">
        <f t="shared" si="53"/>
        <v>0</v>
      </c>
      <c r="Z134" s="377">
        <f t="shared" si="54"/>
        <v>0</v>
      </c>
      <c r="AA134" s="377">
        <f t="shared" si="55"/>
        <v>0</v>
      </c>
      <c r="AB134" s="377">
        <f t="shared" si="56"/>
        <v>0</v>
      </c>
      <c r="AC134" s="377">
        <f t="shared" si="57"/>
        <v>0</v>
      </c>
      <c r="AD134" s="376"/>
      <c r="AE134" s="332">
        <v>119</v>
      </c>
      <c r="AF134" s="350">
        <v>126971442.98533142</v>
      </c>
      <c r="AG134" s="350">
        <v>128012862.82073583</v>
      </c>
      <c r="AH134" s="350">
        <v>129010645.64414951</v>
      </c>
      <c r="AI134" s="350">
        <v>130010799.47364637</v>
      </c>
      <c r="AJ134" s="350">
        <v>131016431.0915381</v>
      </c>
      <c r="AK134" s="348">
        <v>645022182.01540124</v>
      </c>
      <c r="AL134" s="369"/>
      <c r="AM134" s="350">
        <v>162273938.46754348</v>
      </c>
      <c r="AN134" s="350">
        <v>199314898.88594335</v>
      </c>
      <c r="AO134" s="350">
        <v>236856765.20931146</v>
      </c>
      <c r="AP134" s="350">
        <v>274960321.5124948</v>
      </c>
      <c r="AQ134" s="350">
        <v>313634989.21826231</v>
      </c>
      <c r="AR134" s="348">
        <v>1187040913.2935553</v>
      </c>
      <c r="AS134" s="369"/>
      <c r="AT134" s="350">
        <f t="shared" si="75"/>
        <v>35302495.482212067</v>
      </c>
      <c r="AU134" s="350">
        <f t="shared" si="58"/>
        <v>71302036.065207526</v>
      </c>
      <c r="AV134" s="350">
        <f t="shared" si="59"/>
        <v>107846119.56516194</v>
      </c>
      <c r="AW134" s="350">
        <f t="shared" si="60"/>
        <v>144949522.03884843</v>
      </c>
      <c r="AX134" s="350">
        <f t="shared" si="61"/>
        <v>182618558.12672421</v>
      </c>
      <c r="AY134" s="350">
        <f t="shared" si="62"/>
        <v>542018731.27815402</v>
      </c>
      <c r="AZ134" s="365"/>
      <c r="BA134" s="377">
        <f t="shared" si="63"/>
        <v>0</v>
      </c>
      <c r="BB134" s="377">
        <f t="shared" si="64"/>
        <v>0</v>
      </c>
      <c r="BC134" s="377">
        <f t="shared" si="65"/>
        <v>0</v>
      </c>
      <c r="BD134" s="377">
        <f t="shared" si="66"/>
        <v>0</v>
      </c>
      <c r="BE134" s="377">
        <f t="shared" si="67"/>
        <v>0</v>
      </c>
      <c r="BF134" s="377">
        <f t="shared" si="68"/>
        <v>0</v>
      </c>
      <c r="BG134" s="328"/>
    </row>
    <row r="135" spans="2:59">
      <c r="B135" s="332">
        <v>120</v>
      </c>
      <c r="C135" s="350">
        <v>117233622.28437935</v>
      </c>
      <c r="D135" s="350">
        <v>118195172.50979</v>
      </c>
      <c r="E135" s="350">
        <v>119116432.37651008</v>
      </c>
      <c r="F135" s="350">
        <v>120039881.40974712</v>
      </c>
      <c r="G135" s="350">
        <v>120968388.12336114</v>
      </c>
      <c r="H135" s="348">
        <v>595553496.70378768</v>
      </c>
      <c r="I135" s="369"/>
      <c r="J135" s="350">
        <v>145415433.83599061</v>
      </c>
      <c r="K135" s="350">
        <v>175113078.61745122</v>
      </c>
      <c r="L135" s="350">
        <v>205205105.27390105</v>
      </c>
      <c r="M135" s="350">
        <v>235745788.86498439</v>
      </c>
      <c r="N135" s="350">
        <v>266743038.52109501</v>
      </c>
      <c r="O135" s="348">
        <v>1028222445.1134224</v>
      </c>
      <c r="P135" s="369"/>
      <c r="Q135" s="350">
        <f t="shared" si="69"/>
        <v>28181811.55161126</v>
      </c>
      <c r="R135" s="350">
        <f t="shared" si="70"/>
        <v>56917906.107661217</v>
      </c>
      <c r="S135" s="350">
        <f t="shared" si="71"/>
        <v>86088672.897390962</v>
      </c>
      <c r="T135" s="350">
        <f t="shared" si="72"/>
        <v>115705907.45523727</v>
      </c>
      <c r="U135" s="350">
        <f t="shared" si="73"/>
        <v>145774650.39773387</v>
      </c>
      <c r="V135" s="350">
        <f t="shared" si="74"/>
        <v>432668948.40963471</v>
      </c>
      <c r="W135" s="365"/>
      <c r="X135" s="377">
        <f t="shared" si="52"/>
        <v>0</v>
      </c>
      <c r="Y135" s="377">
        <f t="shared" si="53"/>
        <v>0</v>
      </c>
      <c r="Z135" s="377">
        <f t="shared" si="54"/>
        <v>0</v>
      </c>
      <c r="AA135" s="377">
        <f t="shared" si="55"/>
        <v>0</v>
      </c>
      <c r="AB135" s="377">
        <f t="shared" si="56"/>
        <v>0</v>
      </c>
      <c r="AC135" s="377">
        <f t="shared" si="57"/>
        <v>0</v>
      </c>
      <c r="AD135" s="376"/>
      <c r="AE135" s="332">
        <v>120</v>
      </c>
      <c r="AF135" s="350">
        <v>153432839.58833852</v>
      </c>
      <c r="AG135" s="350">
        <v>154691295.81119314</v>
      </c>
      <c r="AH135" s="350">
        <v>155897020.88046333</v>
      </c>
      <c r="AI135" s="350">
        <v>157105611.0837155</v>
      </c>
      <c r="AJ135" s="350">
        <v>158320820.67010066</v>
      </c>
      <c r="AK135" s="348">
        <v>779447588.03381109</v>
      </c>
      <c r="AL135" s="369"/>
      <c r="AM135" s="350">
        <v>193261666.52265376</v>
      </c>
      <c r="AN135" s="350">
        <v>235123101.13963991</v>
      </c>
      <c r="AO135" s="350">
        <v>277545975.22173244</v>
      </c>
      <c r="AP135" s="350">
        <v>320602554.95305276</v>
      </c>
      <c r="AQ135" s="350">
        <v>364303716.98650563</v>
      </c>
      <c r="AR135" s="348">
        <v>1390837014.8235846</v>
      </c>
      <c r="AS135" s="369"/>
      <c r="AT135" s="350">
        <f t="shared" si="75"/>
        <v>39828826.934315234</v>
      </c>
      <c r="AU135" s="350">
        <f t="shared" si="58"/>
        <v>80431805.328446776</v>
      </c>
      <c r="AV135" s="350">
        <f t="shared" si="59"/>
        <v>121648954.34126911</v>
      </c>
      <c r="AW135" s="350">
        <f t="shared" si="60"/>
        <v>163496943.86933726</v>
      </c>
      <c r="AX135" s="350">
        <f t="shared" si="61"/>
        <v>205982896.31640497</v>
      </c>
      <c r="AY135" s="350">
        <f t="shared" si="62"/>
        <v>611389426.78977346</v>
      </c>
      <c r="AZ135" s="365"/>
      <c r="BA135" s="377">
        <f t="shared" si="63"/>
        <v>0</v>
      </c>
      <c r="BB135" s="377">
        <f t="shared" si="64"/>
        <v>0</v>
      </c>
      <c r="BC135" s="377">
        <f t="shared" si="65"/>
        <v>0</v>
      </c>
      <c r="BD135" s="377">
        <f t="shared" si="66"/>
        <v>0</v>
      </c>
      <c r="BE135" s="377">
        <f t="shared" si="67"/>
        <v>0</v>
      </c>
      <c r="BF135" s="377">
        <f t="shared" si="68"/>
        <v>0</v>
      </c>
      <c r="BG135" s="328"/>
    </row>
    <row r="136" spans="2:59">
      <c r="B136" s="332">
        <v>121</v>
      </c>
      <c r="C136" s="350">
        <v>141214981.3364594</v>
      </c>
      <c r="D136" s="350">
        <v>142373226.68015486</v>
      </c>
      <c r="E136" s="350">
        <v>143482939.85245043</v>
      </c>
      <c r="F136" s="350">
        <v>144595290.00808594</v>
      </c>
      <c r="G136" s="350">
        <v>145713732.44532225</v>
      </c>
      <c r="H136" s="348">
        <v>717380170.32247293</v>
      </c>
      <c r="I136" s="369"/>
      <c r="J136" s="350">
        <v>175655169.59395802</v>
      </c>
      <c r="K136" s="350">
        <v>211952057.02876365</v>
      </c>
      <c r="L136" s="350">
        <v>248731941.45134333</v>
      </c>
      <c r="M136" s="350">
        <v>286060408.17403632</v>
      </c>
      <c r="N136" s="350">
        <v>323947075.70658249</v>
      </c>
      <c r="O136" s="348">
        <v>1246346651.9546838</v>
      </c>
      <c r="P136" s="369"/>
      <c r="Q136" s="350">
        <f t="shared" si="69"/>
        <v>34440188.257498622</v>
      </c>
      <c r="R136" s="350">
        <f t="shared" si="70"/>
        <v>69578830.348608792</v>
      </c>
      <c r="S136" s="350">
        <f t="shared" si="71"/>
        <v>105249001.5988929</v>
      </c>
      <c r="T136" s="350">
        <f t="shared" si="72"/>
        <v>141465118.16595039</v>
      </c>
      <c r="U136" s="350">
        <f t="shared" si="73"/>
        <v>178233343.26126024</v>
      </c>
      <c r="V136" s="350">
        <f t="shared" si="74"/>
        <v>528966481.63221085</v>
      </c>
      <c r="W136" s="365"/>
      <c r="X136" s="377">
        <f t="shared" si="52"/>
        <v>0</v>
      </c>
      <c r="Y136" s="377">
        <f t="shared" si="53"/>
        <v>0</v>
      </c>
      <c r="Z136" s="377">
        <f t="shared" si="54"/>
        <v>0</v>
      </c>
      <c r="AA136" s="377">
        <f t="shared" si="55"/>
        <v>0</v>
      </c>
      <c r="AB136" s="377">
        <f t="shared" si="56"/>
        <v>0</v>
      </c>
      <c r="AC136" s="377">
        <f t="shared" si="57"/>
        <v>0</v>
      </c>
      <c r="AD136" s="376"/>
      <c r="AE136" s="332">
        <v>121</v>
      </c>
      <c r="AF136" s="350">
        <v>138395740.32390195</v>
      </c>
      <c r="AG136" s="350">
        <v>139530862.25147939</v>
      </c>
      <c r="AH136" s="350">
        <v>140618420.91256163</v>
      </c>
      <c r="AI136" s="350">
        <v>141708563.91177917</v>
      </c>
      <c r="AJ136" s="350">
        <v>142804677.56520373</v>
      </c>
      <c r="AK136" s="348">
        <v>703058264.96492577</v>
      </c>
      <c r="AL136" s="369"/>
      <c r="AM136" s="350">
        <v>171167615.95583221</v>
      </c>
      <c r="AN136" s="350">
        <v>205721541.16417199</v>
      </c>
      <c r="AO136" s="350">
        <v>240733408.72689092</v>
      </c>
      <c r="AP136" s="350">
        <v>276267083.09194642</v>
      </c>
      <c r="AQ136" s="350">
        <v>312331812.53495729</v>
      </c>
      <c r="AR136" s="348">
        <v>1206221461.4737988</v>
      </c>
      <c r="AS136" s="369"/>
      <c r="AT136" s="350">
        <f t="shared" si="75"/>
        <v>32771875.631930262</v>
      </c>
      <c r="AU136" s="350">
        <f t="shared" si="58"/>
        <v>66190678.912692606</v>
      </c>
      <c r="AV136" s="350">
        <f t="shared" si="59"/>
        <v>100114987.8143293</v>
      </c>
      <c r="AW136" s="350">
        <f t="shared" si="60"/>
        <v>134558519.18016726</v>
      </c>
      <c r="AX136" s="350">
        <f t="shared" si="61"/>
        <v>169527134.96975356</v>
      </c>
      <c r="AY136" s="350">
        <f t="shared" si="62"/>
        <v>503163196.50887299</v>
      </c>
      <c r="AZ136" s="365"/>
      <c r="BA136" s="377">
        <f t="shared" si="63"/>
        <v>0</v>
      </c>
      <c r="BB136" s="377">
        <f t="shared" si="64"/>
        <v>0</v>
      </c>
      <c r="BC136" s="377">
        <f t="shared" si="65"/>
        <v>0</v>
      </c>
      <c r="BD136" s="377">
        <f t="shared" si="66"/>
        <v>0</v>
      </c>
      <c r="BE136" s="377">
        <f t="shared" si="67"/>
        <v>0</v>
      </c>
      <c r="BF136" s="377">
        <f t="shared" si="68"/>
        <v>0</v>
      </c>
      <c r="BG136" s="328"/>
    </row>
    <row r="137" spans="2:59">
      <c r="B137" s="332">
        <v>122</v>
      </c>
      <c r="C137" s="350">
        <v>151389630.96239337</v>
      </c>
      <c r="D137" s="350">
        <v>152631328.78713179</v>
      </c>
      <c r="E137" s="350">
        <v>153820997.65964091</v>
      </c>
      <c r="F137" s="350">
        <v>155013493.51219767</v>
      </c>
      <c r="G137" s="350">
        <v>156212520.59999985</v>
      </c>
      <c r="H137" s="348">
        <v>769067971.52136374</v>
      </c>
      <c r="I137" s="369"/>
      <c r="J137" s="350">
        <v>188289626.81222081</v>
      </c>
      <c r="K137" s="350">
        <v>227168910.00019372</v>
      </c>
      <c r="L137" s="350">
        <v>266565489.01169267</v>
      </c>
      <c r="M137" s="350">
        <v>306549664.97866321</v>
      </c>
      <c r="N137" s="350">
        <v>347131743.91947758</v>
      </c>
      <c r="O137" s="348">
        <v>1335705434.7222481</v>
      </c>
      <c r="P137" s="369"/>
      <c r="Q137" s="350">
        <f t="shared" si="69"/>
        <v>36899995.849827439</v>
      </c>
      <c r="R137" s="350">
        <f t="shared" si="70"/>
        <v>74537581.213061929</v>
      </c>
      <c r="S137" s="350">
        <f t="shared" si="71"/>
        <v>112744491.35205176</v>
      </c>
      <c r="T137" s="350">
        <f t="shared" si="72"/>
        <v>151536171.46646553</v>
      </c>
      <c r="U137" s="350">
        <f t="shared" si="73"/>
        <v>190919223.31947774</v>
      </c>
      <c r="V137" s="350">
        <f t="shared" si="74"/>
        <v>566637463.20088434</v>
      </c>
      <c r="W137" s="365"/>
      <c r="X137" s="377">
        <f t="shared" si="52"/>
        <v>0</v>
      </c>
      <c r="Y137" s="377">
        <f t="shared" si="53"/>
        <v>0</v>
      </c>
      <c r="Z137" s="377">
        <f t="shared" si="54"/>
        <v>0</v>
      </c>
      <c r="AA137" s="377">
        <f t="shared" si="55"/>
        <v>0</v>
      </c>
      <c r="AB137" s="377">
        <f t="shared" si="56"/>
        <v>0</v>
      </c>
      <c r="AC137" s="377">
        <f t="shared" si="57"/>
        <v>0</v>
      </c>
      <c r="AD137" s="376"/>
      <c r="AE137" s="332">
        <v>122</v>
      </c>
      <c r="AF137" s="350">
        <v>142089250.10532543</v>
      </c>
      <c r="AG137" s="350">
        <v>143254666.20187652</v>
      </c>
      <c r="AH137" s="350">
        <v>144371249.66201097</v>
      </c>
      <c r="AI137" s="350">
        <v>145490486.43117642</v>
      </c>
      <c r="AJ137" s="350">
        <v>146615853.19955242</v>
      </c>
      <c r="AK137" s="348">
        <v>721821505.59994185</v>
      </c>
      <c r="AL137" s="369"/>
      <c r="AM137" s="350">
        <v>174634925.68489462</v>
      </c>
      <c r="AN137" s="350">
        <v>209004510.71893057</v>
      </c>
      <c r="AO137" s="350">
        <v>243827529.50895724</v>
      </c>
      <c r="AP137" s="350">
        <v>279169091.05726987</v>
      </c>
      <c r="AQ137" s="350">
        <v>315038495.99981862</v>
      </c>
      <c r="AR137" s="348">
        <v>1221674552.9698708</v>
      </c>
      <c r="AS137" s="369"/>
      <c r="AT137" s="350">
        <f t="shared" si="75"/>
        <v>32545675.579569191</v>
      </c>
      <c r="AU137" s="350">
        <f t="shared" si="58"/>
        <v>65749844.517054051</v>
      </c>
      <c r="AV137" s="350">
        <f t="shared" si="59"/>
        <v>99456279.846946269</v>
      </c>
      <c r="AW137" s="350">
        <f t="shared" si="60"/>
        <v>133678604.62609345</v>
      </c>
      <c r="AX137" s="350">
        <f t="shared" si="61"/>
        <v>168422642.80026621</v>
      </c>
      <c r="AY137" s="350">
        <f t="shared" si="62"/>
        <v>499853047.36992896</v>
      </c>
      <c r="AZ137" s="365"/>
      <c r="BA137" s="377">
        <f t="shared" si="63"/>
        <v>0</v>
      </c>
      <c r="BB137" s="377">
        <f t="shared" si="64"/>
        <v>0</v>
      </c>
      <c r="BC137" s="377">
        <f t="shared" si="65"/>
        <v>0</v>
      </c>
      <c r="BD137" s="377">
        <f t="shared" si="66"/>
        <v>0</v>
      </c>
      <c r="BE137" s="377">
        <f t="shared" si="67"/>
        <v>0</v>
      </c>
      <c r="BF137" s="377">
        <f t="shared" si="68"/>
        <v>0</v>
      </c>
      <c r="BG137" s="328"/>
    </row>
    <row r="138" spans="2:59">
      <c r="B138" s="332">
        <v>123</v>
      </c>
      <c r="C138" s="350">
        <v>124595735.53611198</v>
      </c>
      <c r="D138" s="350">
        <v>125617669.81789455</v>
      </c>
      <c r="E138" s="350">
        <v>126596783.5608398</v>
      </c>
      <c r="F138" s="350">
        <v>127578223.94700459</v>
      </c>
      <c r="G138" s="350">
        <v>128565039.62904784</v>
      </c>
      <c r="H138" s="348">
        <v>632953452.49089873</v>
      </c>
      <c r="I138" s="369"/>
      <c r="J138" s="350">
        <v>156883749.89760986</v>
      </c>
      <c r="K138" s="350">
        <v>190835585.65214965</v>
      </c>
      <c r="L138" s="350">
        <v>225242713.25862268</v>
      </c>
      <c r="M138" s="350">
        <v>260163794.47035307</v>
      </c>
      <c r="N138" s="350">
        <v>295607654.03905678</v>
      </c>
      <c r="O138" s="348">
        <v>1128733497.3177919</v>
      </c>
      <c r="P138" s="369"/>
      <c r="Q138" s="350">
        <f t="shared" si="69"/>
        <v>32288014.361497879</v>
      </c>
      <c r="R138" s="350">
        <f t="shared" si="70"/>
        <v>65217915.834255099</v>
      </c>
      <c r="S138" s="350">
        <f t="shared" si="71"/>
        <v>98645929.697782874</v>
      </c>
      <c r="T138" s="350">
        <f t="shared" si="72"/>
        <v>132585570.52334848</v>
      </c>
      <c r="U138" s="350">
        <f t="shared" si="73"/>
        <v>167042614.41000894</v>
      </c>
      <c r="V138" s="350">
        <f t="shared" si="74"/>
        <v>495780044.82689321</v>
      </c>
      <c r="W138" s="365"/>
      <c r="X138" s="377">
        <f t="shared" si="52"/>
        <v>0</v>
      </c>
      <c r="Y138" s="377">
        <f t="shared" si="53"/>
        <v>0</v>
      </c>
      <c r="Z138" s="377">
        <f t="shared" si="54"/>
        <v>0</v>
      </c>
      <c r="AA138" s="377">
        <f t="shared" si="55"/>
        <v>0</v>
      </c>
      <c r="AB138" s="377">
        <f t="shared" si="56"/>
        <v>0</v>
      </c>
      <c r="AC138" s="377">
        <f t="shared" si="57"/>
        <v>0</v>
      </c>
      <c r="AD138" s="376"/>
      <c r="AE138" s="332">
        <v>123</v>
      </c>
      <c r="AF138" s="350">
        <v>155879587.76109833</v>
      </c>
      <c r="AG138" s="350">
        <v>157158112.21362287</v>
      </c>
      <c r="AH138" s="350">
        <v>158383064.62443227</v>
      </c>
      <c r="AI138" s="350">
        <v>159610927.85866886</v>
      </c>
      <c r="AJ138" s="350">
        <v>160845516.0333862</v>
      </c>
      <c r="AK138" s="348">
        <v>791877208.49120855</v>
      </c>
      <c r="AL138" s="369"/>
      <c r="AM138" s="350">
        <v>189919265.13879493</v>
      </c>
      <c r="AN138" s="350">
        <v>225924758.03701934</v>
      </c>
      <c r="AO138" s="350">
        <v>262401979.41358268</v>
      </c>
      <c r="AP138" s="350">
        <v>299421660.47431225</v>
      </c>
      <c r="AQ138" s="350">
        <v>336993706.41061133</v>
      </c>
      <c r="AR138" s="348">
        <v>1314661369.4743207</v>
      </c>
      <c r="AS138" s="369"/>
      <c r="AT138" s="350">
        <f t="shared" si="75"/>
        <v>34039677.377696604</v>
      </c>
      <c r="AU138" s="350">
        <f t="shared" si="58"/>
        <v>68766645.823396474</v>
      </c>
      <c r="AV138" s="350">
        <f t="shared" si="59"/>
        <v>104018914.78915042</v>
      </c>
      <c r="AW138" s="350">
        <f t="shared" si="60"/>
        <v>139810732.61564338</v>
      </c>
      <c r="AX138" s="350">
        <f t="shared" si="61"/>
        <v>176148190.37722513</v>
      </c>
      <c r="AY138" s="350">
        <f t="shared" si="62"/>
        <v>522784160.9831121</v>
      </c>
      <c r="AZ138" s="365"/>
      <c r="BA138" s="377">
        <f t="shared" si="63"/>
        <v>0</v>
      </c>
      <c r="BB138" s="377">
        <f t="shared" si="64"/>
        <v>0</v>
      </c>
      <c r="BC138" s="377">
        <f t="shared" si="65"/>
        <v>0</v>
      </c>
      <c r="BD138" s="377">
        <f t="shared" si="66"/>
        <v>0</v>
      </c>
      <c r="BE138" s="377">
        <f t="shared" si="67"/>
        <v>0</v>
      </c>
      <c r="BF138" s="377">
        <f t="shared" si="68"/>
        <v>0</v>
      </c>
      <c r="BG138" s="328"/>
    </row>
    <row r="139" spans="2:59">
      <c r="B139" s="332">
        <v>124</v>
      </c>
      <c r="C139" s="350">
        <v>132841519.49574289</v>
      </c>
      <c r="D139" s="350">
        <v>133931085.70146134</v>
      </c>
      <c r="E139" s="350">
        <v>134974997.49196005</v>
      </c>
      <c r="F139" s="350">
        <v>136021389.90363958</v>
      </c>
      <c r="G139" s="350">
        <v>137073513.34992611</v>
      </c>
      <c r="H139" s="348">
        <v>674842505.94272995</v>
      </c>
      <c r="I139" s="369"/>
      <c r="J139" s="350">
        <v>168238261.76309508</v>
      </c>
      <c r="K139" s="350">
        <v>205425349.11458516</v>
      </c>
      <c r="L139" s="350">
        <v>243112807.92557651</v>
      </c>
      <c r="M139" s="350">
        <v>281363588.84082788</v>
      </c>
      <c r="N139" s="350">
        <v>320187274.05824727</v>
      </c>
      <c r="O139" s="348">
        <v>1218327281.702332</v>
      </c>
      <c r="P139" s="369"/>
      <c r="Q139" s="350">
        <f t="shared" si="69"/>
        <v>35396742.267352194</v>
      </c>
      <c r="R139" s="350">
        <f t="shared" si="70"/>
        <v>71494263.413123816</v>
      </c>
      <c r="S139" s="350">
        <f t="shared" si="71"/>
        <v>108137810.43361646</v>
      </c>
      <c r="T139" s="350">
        <f t="shared" si="72"/>
        <v>145342198.9371883</v>
      </c>
      <c r="U139" s="350">
        <f t="shared" si="73"/>
        <v>183113760.70832115</v>
      </c>
      <c r="V139" s="350">
        <f t="shared" si="74"/>
        <v>543484775.75960207</v>
      </c>
      <c r="W139" s="365"/>
      <c r="X139" s="377">
        <f t="shared" si="52"/>
        <v>0</v>
      </c>
      <c r="Y139" s="377">
        <f t="shared" si="53"/>
        <v>0</v>
      </c>
      <c r="Z139" s="377">
        <f t="shared" si="54"/>
        <v>0</v>
      </c>
      <c r="AA139" s="377">
        <f t="shared" si="55"/>
        <v>0</v>
      </c>
      <c r="AB139" s="377">
        <f t="shared" si="56"/>
        <v>0</v>
      </c>
      <c r="AC139" s="377">
        <f t="shared" si="57"/>
        <v>0</v>
      </c>
      <c r="AD139" s="376"/>
      <c r="AE139" s="332">
        <v>124</v>
      </c>
      <c r="AF139" s="350">
        <v>122315352.71995454</v>
      </c>
      <c r="AG139" s="350">
        <v>123318583.30080065</v>
      </c>
      <c r="AH139" s="350">
        <v>124279777.05519357</v>
      </c>
      <c r="AI139" s="350">
        <v>125243254.86999054</v>
      </c>
      <c r="AJ139" s="350">
        <v>126212009.60063474</v>
      </c>
      <c r="AK139" s="348">
        <v>621368977.546574</v>
      </c>
      <c r="AL139" s="369"/>
      <c r="AM139" s="350">
        <v>154531886.51150754</v>
      </c>
      <c r="AN139" s="350">
        <v>188396101.10185203</v>
      </c>
      <c r="AO139" s="350">
        <v>222715350.62224087</v>
      </c>
      <c r="AP139" s="350">
        <v>257547440.83304819</v>
      </c>
      <c r="AQ139" s="350">
        <v>292901128.50955033</v>
      </c>
      <c r="AR139" s="348">
        <v>1116091907.5781989</v>
      </c>
      <c r="AS139" s="369"/>
      <c r="AT139" s="350">
        <f t="shared" si="75"/>
        <v>32216533.791553006</v>
      </c>
      <c r="AU139" s="350">
        <f t="shared" si="58"/>
        <v>65077517.801051378</v>
      </c>
      <c r="AV139" s="350">
        <f t="shared" si="59"/>
        <v>98435573.567047298</v>
      </c>
      <c r="AW139" s="350">
        <f t="shared" si="60"/>
        <v>132304185.96305765</v>
      </c>
      <c r="AX139" s="350">
        <f t="shared" si="61"/>
        <v>166689118.90891558</v>
      </c>
      <c r="AY139" s="350">
        <f t="shared" si="62"/>
        <v>494722930.03162491</v>
      </c>
      <c r="AZ139" s="365"/>
      <c r="BA139" s="377">
        <f t="shared" si="63"/>
        <v>0</v>
      </c>
      <c r="BB139" s="377">
        <f t="shared" si="64"/>
        <v>0</v>
      </c>
      <c r="BC139" s="377">
        <f t="shared" si="65"/>
        <v>0</v>
      </c>
      <c r="BD139" s="377">
        <f t="shared" si="66"/>
        <v>0</v>
      </c>
      <c r="BE139" s="377">
        <f t="shared" si="67"/>
        <v>0</v>
      </c>
      <c r="BF139" s="377">
        <f t="shared" si="68"/>
        <v>0</v>
      </c>
      <c r="BG139" s="328"/>
    </row>
    <row r="140" spans="2:59">
      <c r="B140" s="332">
        <v>125</v>
      </c>
      <c r="C140" s="350">
        <v>153131373.20155573</v>
      </c>
      <c r="D140" s="350">
        <v>154387356.79696342</v>
      </c>
      <c r="E140" s="350">
        <v>155590712.84548774</v>
      </c>
      <c r="F140" s="350">
        <v>156796928.39854994</v>
      </c>
      <c r="G140" s="350">
        <v>158009750.32891458</v>
      </c>
      <c r="H140" s="348">
        <v>777916121.57147145</v>
      </c>
      <c r="I140" s="369"/>
      <c r="J140" s="350">
        <v>191037252.35398602</v>
      </c>
      <c r="K140" s="350">
        <v>230950911.87510976</v>
      </c>
      <c r="L140" s="350">
        <v>271396696.29350764</v>
      </c>
      <c r="M140" s="350">
        <v>312445958.56419283</v>
      </c>
      <c r="N140" s="350">
        <v>354109226.38480622</v>
      </c>
      <c r="O140" s="348">
        <v>1359940045.4716024</v>
      </c>
      <c r="P140" s="369"/>
      <c r="Q140" s="350">
        <f t="shared" si="69"/>
        <v>37905879.152430296</v>
      </c>
      <c r="R140" s="350">
        <f t="shared" si="70"/>
        <v>76563555.078146338</v>
      </c>
      <c r="S140" s="350">
        <f t="shared" si="71"/>
        <v>115805983.44801989</v>
      </c>
      <c r="T140" s="350">
        <f t="shared" si="72"/>
        <v>155649030.16564289</v>
      </c>
      <c r="U140" s="350">
        <f t="shared" si="73"/>
        <v>196099476.05589163</v>
      </c>
      <c r="V140" s="350">
        <f t="shared" si="74"/>
        <v>582023923.90013099</v>
      </c>
      <c r="W140" s="365"/>
      <c r="X140" s="377">
        <f t="shared" si="52"/>
        <v>0</v>
      </c>
      <c r="Y140" s="377">
        <f t="shared" si="53"/>
        <v>0</v>
      </c>
      <c r="Z140" s="377">
        <f t="shared" si="54"/>
        <v>0</v>
      </c>
      <c r="AA140" s="377">
        <f t="shared" si="55"/>
        <v>0</v>
      </c>
      <c r="AB140" s="377">
        <f t="shared" si="56"/>
        <v>0</v>
      </c>
      <c r="AC140" s="377">
        <f t="shared" si="57"/>
        <v>0</v>
      </c>
      <c r="AD140" s="376"/>
      <c r="AE140" s="332">
        <v>125</v>
      </c>
      <c r="AF140" s="350">
        <v>104591948.7544921</v>
      </c>
      <c r="AG140" s="350">
        <v>105449811.96763295</v>
      </c>
      <c r="AH140" s="350">
        <v>106271729.45932162</v>
      </c>
      <c r="AI140" s="350">
        <v>107095600.05275448</v>
      </c>
      <c r="AJ140" s="350">
        <v>107923982.9408388</v>
      </c>
      <c r="AK140" s="348">
        <v>531333073.17503995</v>
      </c>
      <c r="AL140" s="369"/>
      <c r="AM140" s="350">
        <v>128844255.51305264</v>
      </c>
      <c r="AN140" s="350">
        <v>154442176.83520794</v>
      </c>
      <c r="AO140" s="350">
        <v>180378384.19552657</v>
      </c>
      <c r="AP140" s="350">
        <v>206700927.84978238</v>
      </c>
      <c r="AQ140" s="350">
        <v>233416706.41527444</v>
      </c>
      <c r="AR140" s="348">
        <v>903782450.80884385</v>
      </c>
      <c r="AS140" s="369"/>
      <c r="AT140" s="350">
        <f t="shared" si="75"/>
        <v>24252306.758560538</v>
      </c>
      <c r="AU140" s="350">
        <f t="shared" si="58"/>
        <v>48992364.86757499</v>
      </c>
      <c r="AV140" s="350">
        <f t="shared" si="59"/>
        <v>74106654.736204952</v>
      </c>
      <c r="AW140" s="350">
        <f t="shared" si="60"/>
        <v>99605327.797027901</v>
      </c>
      <c r="AX140" s="350">
        <f t="shared" si="61"/>
        <v>125492723.47443564</v>
      </c>
      <c r="AY140" s="350">
        <f t="shared" si="62"/>
        <v>372449377.6338039</v>
      </c>
      <c r="AZ140" s="365"/>
      <c r="BA140" s="377">
        <f t="shared" si="63"/>
        <v>0</v>
      </c>
      <c r="BB140" s="377">
        <f t="shared" si="64"/>
        <v>0</v>
      </c>
      <c r="BC140" s="377">
        <f t="shared" si="65"/>
        <v>0</v>
      </c>
      <c r="BD140" s="377">
        <f t="shared" si="66"/>
        <v>0</v>
      </c>
      <c r="BE140" s="377">
        <f t="shared" si="67"/>
        <v>0</v>
      </c>
      <c r="BF140" s="377">
        <f t="shared" si="68"/>
        <v>0</v>
      </c>
      <c r="BG140" s="328"/>
    </row>
    <row r="141" spans="2:59">
      <c r="B141" s="332">
        <v>126</v>
      </c>
      <c r="C141" s="350">
        <v>114725908.54825233</v>
      </c>
      <c r="D141" s="350">
        <v>115666890.50441349</v>
      </c>
      <c r="E141" s="350">
        <v>116568443.94240345</v>
      </c>
      <c r="F141" s="350">
        <v>117472139.71902227</v>
      </c>
      <c r="G141" s="350">
        <v>118380784.98850074</v>
      </c>
      <c r="H141" s="348">
        <v>582814167.70259225</v>
      </c>
      <c r="I141" s="369"/>
      <c r="J141" s="350">
        <v>143294078.39646229</v>
      </c>
      <c r="K141" s="350">
        <v>173356334.51823708</v>
      </c>
      <c r="L141" s="350">
        <v>203819656.65811619</v>
      </c>
      <c r="M141" s="350">
        <v>234737572.43038404</v>
      </c>
      <c r="N141" s="350">
        <v>266117997.37025818</v>
      </c>
      <c r="O141" s="348">
        <v>1021325639.3734578</v>
      </c>
      <c r="P141" s="369"/>
      <c r="Q141" s="350">
        <f t="shared" si="69"/>
        <v>28568169.848209962</v>
      </c>
      <c r="R141" s="350">
        <f t="shared" si="70"/>
        <v>57689444.013823599</v>
      </c>
      <c r="S141" s="350">
        <f t="shared" si="71"/>
        <v>87251212.715712741</v>
      </c>
      <c r="T141" s="350">
        <f t="shared" si="72"/>
        <v>117265432.71136177</v>
      </c>
      <c r="U141" s="350">
        <f t="shared" si="73"/>
        <v>147737212.38175744</v>
      </c>
      <c r="V141" s="350">
        <f t="shared" si="74"/>
        <v>438511471.67086554</v>
      </c>
      <c r="W141" s="365"/>
      <c r="X141" s="377">
        <f t="shared" si="52"/>
        <v>0</v>
      </c>
      <c r="Y141" s="377">
        <f t="shared" si="53"/>
        <v>0</v>
      </c>
      <c r="Z141" s="377">
        <f t="shared" si="54"/>
        <v>0</v>
      </c>
      <c r="AA141" s="377">
        <f t="shared" si="55"/>
        <v>0</v>
      </c>
      <c r="AB141" s="377">
        <f t="shared" si="56"/>
        <v>0</v>
      </c>
      <c r="AC141" s="377">
        <f t="shared" si="57"/>
        <v>0</v>
      </c>
      <c r="AD141" s="376"/>
      <c r="AE141" s="332">
        <v>126</v>
      </c>
      <c r="AF141" s="350">
        <v>119118026.49111106</v>
      </c>
      <c r="AG141" s="350">
        <v>120095032.60071635</v>
      </c>
      <c r="AH141" s="350">
        <v>121031100.72751163</v>
      </c>
      <c r="AI141" s="350">
        <v>121969393.20931761</v>
      </c>
      <c r="AJ141" s="350">
        <v>122912824.66826513</v>
      </c>
      <c r="AK141" s="348">
        <v>605126377.69692183</v>
      </c>
      <c r="AL141" s="369"/>
      <c r="AM141" s="350">
        <v>150796366.060801</v>
      </c>
      <c r="AN141" s="350">
        <v>184082977.81336993</v>
      </c>
      <c r="AO141" s="350">
        <v>217817381.79545814</v>
      </c>
      <c r="AP141" s="350">
        <v>252055999.81209445</v>
      </c>
      <c r="AQ141" s="350">
        <v>286807413.74678743</v>
      </c>
      <c r="AR141" s="348">
        <v>1091560139.2285109</v>
      </c>
      <c r="AS141" s="369"/>
      <c r="AT141" s="350">
        <f t="shared" si="75"/>
        <v>31678339.569689944</v>
      </c>
      <c r="AU141" s="350">
        <f t="shared" si="58"/>
        <v>63987945.212653577</v>
      </c>
      <c r="AV141" s="350">
        <f t="shared" si="59"/>
        <v>96786281.067946509</v>
      </c>
      <c r="AW141" s="350">
        <f t="shared" si="60"/>
        <v>130086606.60277684</v>
      </c>
      <c r="AX141" s="350">
        <f t="shared" si="61"/>
        <v>163894589.07852229</v>
      </c>
      <c r="AY141" s="350">
        <f t="shared" si="62"/>
        <v>486433761.53158903</v>
      </c>
      <c r="AZ141" s="365"/>
      <c r="BA141" s="377">
        <f t="shared" si="63"/>
        <v>0</v>
      </c>
      <c r="BB141" s="377">
        <f t="shared" si="64"/>
        <v>0</v>
      </c>
      <c r="BC141" s="377">
        <f t="shared" si="65"/>
        <v>0</v>
      </c>
      <c r="BD141" s="377">
        <f t="shared" si="66"/>
        <v>0</v>
      </c>
      <c r="BE141" s="377">
        <f t="shared" si="67"/>
        <v>0</v>
      </c>
      <c r="BF141" s="377">
        <f t="shared" si="68"/>
        <v>0</v>
      </c>
      <c r="BG141" s="328"/>
    </row>
    <row r="142" spans="2:59">
      <c r="B142" s="332">
        <v>127</v>
      </c>
      <c r="C142" s="350">
        <v>127936209.46312189</v>
      </c>
      <c r="D142" s="350">
        <v>128985542.31363332</v>
      </c>
      <c r="E142" s="350">
        <v>129990906.58526492</v>
      </c>
      <c r="F142" s="350">
        <v>130998659.87858331</v>
      </c>
      <c r="G142" s="350">
        <v>132011932.58214858</v>
      </c>
      <c r="H142" s="348">
        <v>649923250.822752</v>
      </c>
      <c r="I142" s="369"/>
      <c r="J142" s="350">
        <v>159268342.89788395</v>
      </c>
      <c r="K142" s="350">
        <v>192267019.13373804</v>
      </c>
      <c r="L142" s="350">
        <v>225705004.19866258</v>
      </c>
      <c r="M142" s="350">
        <v>259641769.85272452</v>
      </c>
      <c r="N142" s="350">
        <v>294086050.71703255</v>
      </c>
      <c r="O142" s="348">
        <v>1130968186.8000417</v>
      </c>
      <c r="P142" s="369"/>
      <c r="Q142" s="350">
        <f t="shared" si="69"/>
        <v>31332133.434762061</v>
      </c>
      <c r="R142" s="350">
        <f t="shared" si="70"/>
        <v>63281476.820104718</v>
      </c>
      <c r="S142" s="350">
        <f t="shared" si="71"/>
        <v>95714097.613397658</v>
      </c>
      <c r="T142" s="350">
        <f t="shared" si="72"/>
        <v>128643109.97414121</v>
      </c>
      <c r="U142" s="350">
        <f t="shared" si="73"/>
        <v>162074118.13488397</v>
      </c>
      <c r="V142" s="350">
        <f t="shared" si="74"/>
        <v>481044935.97728968</v>
      </c>
      <c r="W142" s="365"/>
      <c r="X142" s="377">
        <f t="shared" si="52"/>
        <v>0</v>
      </c>
      <c r="Y142" s="377">
        <f t="shared" si="53"/>
        <v>0</v>
      </c>
      <c r="Z142" s="377">
        <f t="shared" si="54"/>
        <v>0</v>
      </c>
      <c r="AA142" s="377">
        <f t="shared" si="55"/>
        <v>0</v>
      </c>
      <c r="AB142" s="377">
        <f t="shared" si="56"/>
        <v>0</v>
      </c>
      <c r="AC142" s="377">
        <f t="shared" si="57"/>
        <v>0</v>
      </c>
      <c r="AD142" s="376"/>
      <c r="AE142" s="332">
        <v>127</v>
      </c>
      <c r="AF142" s="350">
        <v>114799631.16936412</v>
      </c>
      <c r="AG142" s="350">
        <v>115741217.79849853</v>
      </c>
      <c r="AH142" s="350">
        <v>116643350.57278106</v>
      </c>
      <c r="AI142" s="350">
        <v>117547627.06235468</v>
      </c>
      <c r="AJ142" s="350">
        <v>118456856.22532132</v>
      </c>
      <c r="AK142" s="348">
        <v>583188682.82831967</v>
      </c>
      <c r="AL142" s="369"/>
      <c r="AM142" s="350">
        <v>140656736.76752499</v>
      </c>
      <c r="AN142" s="350">
        <v>167964674.10858643</v>
      </c>
      <c r="AO142" s="350">
        <v>195631984.56949711</v>
      </c>
      <c r="AP142" s="350">
        <v>223711088.28413486</v>
      </c>
      <c r="AQ142" s="350">
        <v>252209419.13327831</v>
      </c>
      <c r="AR142" s="348">
        <v>980173902.86302161</v>
      </c>
      <c r="AS142" s="369"/>
      <c r="AT142" s="350">
        <f t="shared" si="75"/>
        <v>25857105.598160863</v>
      </c>
      <c r="AU142" s="350">
        <f t="shared" si="58"/>
        <v>52223456.310087904</v>
      </c>
      <c r="AV142" s="350">
        <f t="shared" si="59"/>
        <v>78988633.996716052</v>
      </c>
      <c r="AW142" s="350">
        <f t="shared" si="60"/>
        <v>106163461.22178018</v>
      </c>
      <c r="AX142" s="350">
        <f t="shared" si="61"/>
        <v>133752562.90795699</v>
      </c>
      <c r="AY142" s="350">
        <f t="shared" si="62"/>
        <v>396985220.03470194</v>
      </c>
      <c r="AZ142" s="365"/>
      <c r="BA142" s="377">
        <f t="shared" si="63"/>
        <v>0</v>
      </c>
      <c r="BB142" s="377">
        <f t="shared" si="64"/>
        <v>0</v>
      </c>
      <c r="BC142" s="377">
        <f t="shared" si="65"/>
        <v>0</v>
      </c>
      <c r="BD142" s="377">
        <f t="shared" si="66"/>
        <v>0</v>
      </c>
      <c r="BE142" s="377">
        <f t="shared" si="67"/>
        <v>0</v>
      </c>
      <c r="BF142" s="377">
        <f t="shared" si="68"/>
        <v>0</v>
      </c>
      <c r="BG142" s="328"/>
    </row>
    <row r="143" spans="2:59">
      <c r="B143" s="332">
        <v>128</v>
      </c>
      <c r="C143" s="350">
        <v>129114602.04091148</v>
      </c>
      <c r="D143" s="350">
        <v>130173600.06790319</v>
      </c>
      <c r="E143" s="350">
        <v>131188224.53100547</v>
      </c>
      <c r="F143" s="350">
        <v>132205260.02055335</v>
      </c>
      <c r="G143" s="350">
        <v>133227865.75843444</v>
      </c>
      <c r="H143" s="348">
        <v>655909552.41880786</v>
      </c>
      <c r="I143" s="369"/>
      <c r="J143" s="350">
        <v>162822983.03888914</v>
      </c>
      <c r="K143" s="350">
        <v>198270839.47790837</v>
      </c>
      <c r="L143" s="350">
        <v>234194508.36461025</v>
      </c>
      <c r="M143" s="350">
        <v>270654883.94893694</v>
      </c>
      <c r="N143" s="350">
        <v>307661157.22580856</v>
      </c>
      <c r="O143" s="348">
        <v>1173604372.0561533</v>
      </c>
      <c r="P143" s="369"/>
      <c r="Q143" s="350">
        <f t="shared" si="69"/>
        <v>33708380.997977659</v>
      </c>
      <c r="R143" s="350">
        <f t="shared" si="70"/>
        <v>68097239.410005182</v>
      </c>
      <c r="S143" s="350">
        <f t="shared" si="71"/>
        <v>103006283.83360478</v>
      </c>
      <c r="T143" s="350">
        <f t="shared" si="72"/>
        <v>138449623.92838359</v>
      </c>
      <c r="U143" s="350">
        <f t="shared" si="73"/>
        <v>174433291.46737412</v>
      </c>
      <c r="V143" s="350">
        <f t="shared" si="74"/>
        <v>517694819.63734543</v>
      </c>
      <c r="W143" s="365"/>
      <c r="X143" s="377">
        <f t="shared" si="52"/>
        <v>0</v>
      </c>
      <c r="Y143" s="377">
        <f t="shared" si="53"/>
        <v>0</v>
      </c>
      <c r="Z143" s="377">
        <f t="shared" si="54"/>
        <v>0</v>
      </c>
      <c r="AA143" s="377">
        <f t="shared" si="55"/>
        <v>0</v>
      </c>
      <c r="AB143" s="377">
        <f t="shared" si="56"/>
        <v>0</v>
      </c>
      <c r="AC143" s="377">
        <f t="shared" si="57"/>
        <v>0</v>
      </c>
      <c r="AD143" s="376"/>
      <c r="AE143" s="332">
        <v>128</v>
      </c>
      <c r="AF143" s="350">
        <v>137179943.11108547</v>
      </c>
      <c r="AG143" s="350">
        <v>138305093.06934842</v>
      </c>
      <c r="AH143" s="350">
        <v>139383097.60119355</v>
      </c>
      <c r="AI143" s="350">
        <v>140463663.76793838</v>
      </c>
      <c r="AJ143" s="350">
        <v>141550148.13709709</v>
      </c>
      <c r="AK143" s="348">
        <v>696881945.68666291</v>
      </c>
      <c r="AL143" s="369"/>
      <c r="AM143" s="350">
        <v>175009361.16202605</v>
      </c>
      <c r="AN143" s="350">
        <v>214703286.00078756</v>
      </c>
      <c r="AO143" s="350">
        <v>254933468.05164671</v>
      </c>
      <c r="AP143" s="350">
        <v>295765447.66895497</v>
      </c>
      <c r="AQ143" s="350">
        <v>337209346.89991343</v>
      </c>
      <c r="AR143" s="348">
        <v>1277620909.7833288</v>
      </c>
      <c r="AS143" s="369"/>
      <c r="AT143" s="350">
        <f t="shared" si="75"/>
        <v>37829418.050940573</v>
      </c>
      <c r="AU143" s="350">
        <f t="shared" si="58"/>
        <v>76398192.931439131</v>
      </c>
      <c r="AV143" s="350">
        <f t="shared" si="59"/>
        <v>115550370.45045316</v>
      </c>
      <c r="AW143" s="350">
        <f t="shared" si="60"/>
        <v>155301783.90101659</v>
      </c>
      <c r="AX143" s="350">
        <f t="shared" si="61"/>
        <v>195659198.76281634</v>
      </c>
      <c r="AY143" s="350">
        <f t="shared" si="62"/>
        <v>580738964.09666586</v>
      </c>
      <c r="AZ143" s="365"/>
      <c r="BA143" s="377">
        <f t="shared" si="63"/>
        <v>0</v>
      </c>
      <c r="BB143" s="377">
        <f t="shared" si="64"/>
        <v>0</v>
      </c>
      <c r="BC143" s="377">
        <f t="shared" si="65"/>
        <v>0</v>
      </c>
      <c r="BD143" s="377">
        <f t="shared" si="66"/>
        <v>0</v>
      </c>
      <c r="BE143" s="377">
        <f t="shared" si="67"/>
        <v>0</v>
      </c>
      <c r="BF143" s="377">
        <f t="shared" si="68"/>
        <v>0</v>
      </c>
      <c r="BG143" s="328"/>
    </row>
    <row r="144" spans="2:59">
      <c r="B144" s="332">
        <v>129</v>
      </c>
      <c r="C144" s="350">
        <v>108450506.71433043</v>
      </c>
      <c r="D144" s="350">
        <v>109340017.82168245</v>
      </c>
      <c r="E144" s="350">
        <v>110192257.11459628</v>
      </c>
      <c r="F144" s="350">
        <v>111046521.56218348</v>
      </c>
      <c r="G144" s="350">
        <v>111905464.76991649</v>
      </c>
      <c r="H144" s="348">
        <v>550934767.98270917</v>
      </c>
      <c r="I144" s="369"/>
      <c r="J144" s="350">
        <v>136121597.96231127</v>
      </c>
      <c r="K144" s="350">
        <v>165223477.7176308</v>
      </c>
      <c r="L144" s="350">
        <v>194714834.46147811</v>
      </c>
      <c r="M144" s="350">
        <v>224646546.77023318</v>
      </c>
      <c r="N144" s="350">
        <v>255026217.06621987</v>
      </c>
      <c r="O144" s="348">
        <v>975732673.97787333</v>
      </c>
      <c r="P144" s="369"/>
      <c r="Q144" s="350">
        <f t="shared" si="69"/>
        <v>27671091.247980833</v>
      </c>
      <c r="R144" s="350">
        <f t="shared" si="70"/>
        <v>55883459.89594835</v>
      </c>
      <c r="S144" s="350">
        <f t="shared" si="71"/>
        <v>84522577.346881837</v>
      </c>
      <c r="T144" s="350">
        <f t="shared" si="72"/>
        <v>113600025.2080497</v>
      </c>
      <c r="U144" s="350">
        <f t="shared" si="73"/>
        <v>143120752.29630339</v>
      </c>
      <c r="V144" s="350">
        <f t="shared" si="74"/>
        <v>424797905.99516416</v>
      </c>
      <c r="W144" s="365"/>
      <c r="X144" s="377">
        <f t="shared" ref="X144:X207" si="76">IF(Q144&lt;Q$8,1,0)</f>
        <v>0</v>
      </c>
      <c r="Y144" s="377">
        <f t="shared" ref="Y144:Y207" si="77">IF(R144&lt;R$8,1,0)</f>
        <v>0</v>
      </c>
      <c r="Z144" s="377">
        <f t="shared" ref="Z144:Z207" si="78">IF(S144&lt;S$8,1,0)</f>
        <v>0</v>
      </c>
      <c r="AA144" s="377">
        <f t="shared" ref="AA144:AA207" si="79">IF(T144&lt;T$8,1,0)</f>
        <v>0</v>
      </c>
      <c r="AB144" s="377">
        <f t="shared" ref="AB144:AB207" si="80">IF(U144&lt;U$8,1,0)</f>
        <v>0</v>
      </c>
      <c r="AC144" s="377">
        <f t="shared" ref="AC144:AC207" si="81">IF(V144&lt;V$8,1,0)</f>
        <v>0</v>
      </c>
      <c r="AD144" s="376"/>
      <c r="AE144" s="332">
        <v>129</v>
      </c>
      <c r="AF144" s="350">
        <v>150845989.65718099</v>
      </c>
      <c r="AG144" s="350">
        <v>152083228.53567702</v>
      </c>
      <c r="AH144" s="350">
        <v>153268625.29830307</v>
      </c>
      <c r="AI144" s="350">
        <v>154456838.88927019</v>
      </c>
      <c r="AJ144" s="350">
        <v>155651560.26176772</v>
      </c>
      <c r="AK144" s="348">
        <v>766306242.64219892</v>
      </c>
      <c r="AL144" s="369"/>
      <c r="AM144" s="350">
        <v>186536628.39072096</v>
      </c>
      <c r="AN144" s="350">
        <v>224195741.51959872</v>
      </c>
      <c r="AO144" s="350">
        <v>262353956.09730074</v>
      </c>
      <c r="AP144" s="350">
        <v>301080871.05828285</v>
      </c>
      <c r="AQ144" s="350">
        <v>340386565.47335666</v>
      </c>
      <c r="AR144" s="348">
        <v>1314553762.5392599</v>
      </c>
      <c r="AS144" s="369"/>
      <c r="AT144" s="350">
        <f t="shared" si="75"/>
        <v>35690638.733539969</v>
      </c>
      <c r="AU144" s="350">
        <f t="shared" ref="AU144:AU207" si="82">AN144-AG144</f>
        <v>72112512.983921707</v>
      </c>
      <c r="AV144" s="350">
        <f t="shared" ref="AV144:AV207" si="83">AO144-AH144</f>
        <v>109085330.79899767</v>
      </c>
      <c r="AW144" s="350">
        <f t="shared" ref="AW144:AW207" si="84">AP144-AI144</f>
        <v>146624032.16901267</v>
      </c>
      <c r="AX144" s="350">
        <f t="shared" ref="AX144:AX207" si="85">AQ144-AJ144</f>
        <v>184735005.21158895</v>
      </c>
      <c r="AY144" s="350">
        <f t="shared" ref="AY144:AY207" si="86">AR144-AK144</f>
        <v>548247519.89706099</v>
      </c>
      <c r="AZ144" s="365"/>
      <c r="BA144" s="377">
        <f t="shared" ref="BA144:BA207" si="87">IF(AT144&lt;AT$8,1,0)</f>
        <v>0</v>
      </c>
      <c r="BB144" s="377">
        <f t="shared" ref="BB144:BB207" si="88">IF(AU144&lt;AU$8,1,0)</f>
        <v>0</v>
      </c>
      <c r="BC144" s="377">
        <f t="shared" ref="BC144:BC207" si="89">IF(AV144&lt;AV$8,1,0)</f>
        <v>0</v>
      </c>
      <c r="BD144" s="377">
        <f t="shared" ref="BD144:BD207" si="90">IF(AW144&lt;AW$8,1,0)</f>
        <v>0</v>
      </c>
      <c r="BE144" s="377">
        <f t="shared" ref="BE144:BE207" si="91">IF(AX144&lt;AX$8,1,0)</f>
        <v>0</v>
      </c>
      <c r="BF144" s="377">
        <f t="shared" ref="BF144:BF207" si="92">IF(AY144&lt;AY$8,1,0)</f>
        <v>0</v>
      </c>
      <c r="BG144" s="328"/>
    </row>
    <row r="145" spans="2:59">
      <c r="B145" s="332">
        <v>130</v>
      </c>
      <c r="C145" s="350">
        <v>117537713.49401873</v>
      </c>
      <c r="D145" s="350">
        <v>118501757.87567462</v>
      </c>
      <c r="E145" s="350">
        <v>119425407.3898508</v>
      </c>
      <c r="F145" s="350">
        <v>120351251.74900275</v>
      </c>
      <c r="G145" s="350">
        <v>121282166.90760213</v>
      </c>
      <c r="H145" s="348">
        <v>597098297.41614902</v>
      </c>
      <c r="I145" s="369"/>
      <c r="J145" s="350">
        <v>150327761.0281772</v>
      </c>
      <c r="K145" s="350">
        <v>184722880.68427375</v>
      </c>
      <c r="L145" s="350">
        <v>219583293.83060926</v>
      </c>
      <c r="M145" s="350">
        <v>254965314.28115284</v>
      </c>
      <c r="N145" s="350">
        <v>290877682.24503171</v>
      </c>
      <c r="O145" s="348">
        <v>1100476932.0692449</v>
      </c>
      <c r="P145" s="369"/>
      <c r="Q145" s="350">
        <f t="shared" ref="Q145:Q208" si="93">J145-C145</f>
        <v>32790047.534158468</v>
      </c>
      <c r="R145" s="350">
        <f t="shared" ref="R145:R208" si="94">K145-D145</f>
        <v>66221122.808599129</v>
      </c>
      <c r="S145" s="350">
        <f t="shared" ref="S145:S208" si="95">L145-E145</f>
        <v>100157886.44075847</v>
      </c>
      <c r="T145" s="350">
        <f t="shared" ref="T145:T208" si="96">M145-F145</f>
        <v>134614062.53215009</v>
      </c>
      <c r="U145" s="350">
        <f t="shared" ref="U145:U208" si="97">N145-G145</f>
        <v>169595515.33742958</v>
      </c>
      <c r="V145" s="350">
        <f t="shared" ref="V145:V208" si="98">O145-H145</f>
        <v>503378634.65309584</v>
      </c>
      <c r="W145" s="365"/>
      <c r="X145" s="377">
        <f t="shared" si="76"/>
        <v>0</v>
      </c>
      <c r="Y145" s="377">
        <f t="shared" si="77"/>
        <v>0</v>
      </c>
      <c r="Z145" s="377">
        <f t="shared" si="78"/>
        <v>0</v>
      </c>
      <c r="AA145" s="377">
        <f t="shared" si="79"/>
        <v>0</v>
      </c>
      <c r="AB145" s="377">
        <f t="shared" si="80"/>
        <v>0</v>
      </c>
      <c r="AC145" s="377">
        <f t="shared" si="81"/>
        <v>0</v>
      </c>
      <c r="AD145" s="376"/>
      <c r="AE145" s="332">
        <v>130</v>
      </c>
      <c r="AF145" s="350">
        <v>111866027.06978986</v>
      </c>
      <c r="AG145" s="350">
        <v>112783552.27671239</v>
      </c>
      <c r="AH145" s="350">
        <v>113662631.83751298</v>
      </c>
      <c r="AI145" s="350">
        <v>114543800.33283663</v>
      </c>
      <c r="AJ145" s="350">
        <v>115429794.94031936</v>
      </c>
      <c r="AK145" s="348">
        <v>568285806.4571712</v>
      </c>
      <c r="AL145" s="369"/>
      <c r="AM145" s="350">
        <v>141405746.73552424</v>
      </c>
      <c r="AN145" s="350">
        <v>172456567.37963957</v>
      </c>
      <c r="AO145" s="350">
        <v>203924754.98127067</v>
      </c>
      <c r="AP145" s="350">
        <v>235863208.70903286</v>
      </c>
      <c r="AQ145" s="350">
        <v>268279951.15443802</v>
      </c>
      <c r="AR145" s="348">
        <v>1021930228.9599054</v>
      </c>
      <c r="AS145" s="369"/>
      <c r="AT145" s="350">
        <f t="shared" ref="AT145:AT208" si="99">AM145-AF145</f>
        <v>29539719.66573438</v>
      </c>
      <c r="AU145" s="350">
        <f t="shared" si="82"/>
        <v>59673015.102927178</v>
      </c>
      <c r="AV145" s="350">
        <f t="shared" si="83"/>
        <v>90262123.143757686</v>
      </c>
      <c r="AW145" s="350">
        <f t="shared" si="84"/>
        <v>121319408.37619624</v>
      </c>
      <c r="AX145" s="350">
        <f t="shared" si="85"/>
        <v>152850156.21411866</v>
      </c>
      <c r="AY145" s="350">
        <f t="shared" si="86"/>
        <v>453644422.50273418</v>
      </c>
      <c r="AZ145" s="365"/>
      <c r="BA145" s="377">
        <f t="shared" si="87"/>
        <v>0</v>
      </c>
      <c r="BB145" s="377">
        <f t="shared" si="88"/>
        <v>0</v>
      </c>
      <c r="BC145" s="377">
        <f t="shared" si="89"/>
        <v>0</v>
      </c>
      <c r="BD145" s="377">
        <f t="shared" si="90"/>
        <v>0</v>
      </c>
      <c r="BE145" s="377">
        <f t="shared" si="91"/>
        <v>0</v>
      </c>
      <c r="BF145" s="377">
        <f t="shared" si="92"/>
        <v>0</v>
      </c>
      <c r="BG145" s="328"/>
    </row>
    <row r="146" spans="2:59">
      <c r="B146" s="332">
        <v>131</v>
      </c>
      <c r="C146" s="350">
        <v>139186089.64284772</v>
      </c>
      <c r="D146" s="350">
        <v>140327694.01591283</v>
      </c>
      <c r="E146" s="350">
        <v>141421463.49854985</v>
      </c>
      <c r="F146" s="350">
        <v>142517832.07794037</v>
      </c>
      <c r="G146" s="350">
        <v>143620205.40870363</v>
      </c>
      <c r="H146" s="348">
        <v>707073284.64395428</v>
      </c>
      <c r="I146" s="369"/>
      <c r="J146" s="350">
        <v>171141438.41854107</v>
      </c>
      <c r="K146" s="350">
        <v>204874015.29892841</v>
      </c>
      <c r="L146" s="350">
        <v>239051743.05064958</v>
      </c>
      <c r="M146" s="350">
        <v>273738431.01006478</v>
      </c>
      <c r="N146" s="350">
        <v>308943201.47274178</v>
      </c>
      <c r="O146" s="348">
        <v>1197748829.2509258</v>
      </c>
      <c r="P146" s="369"/>
      <c r="Q146" s="350">
        <f t="shared" si="93"/>
        <v>31955348.775693357</v>
      </c>
      <c r="R146" s="350">
        <f t="shared" si="94"/>
        <v>64546321.283015579</v>
      </c>
      <c r="S146" s="350">
        <f t="shared" si="95"/>
        <v>97630279.552099735</v>
      </c>
      <c r="T146" s="350">
        <f t="shared" si="96"/>
        <v>131220598.93212441</v>
      </c>
      <c r="U146" s="350">
        <f t="shared" si="97"/>
        <v>165322996.06403816</v>
      </c>
      <c r="V146" s="350">
        <f t="shared" si="98"/>
        <v>490675544.6069715</v>
      </c>
      <c r="W146" s="365"/>
      <c r="X146" s="377">
        <f t="shared" si="76"/>
        <v>0</v>
      </c>
      <c r="Y146" s="377">
        <f t="shared" si="77"/>
        <v>0</v>
      </c>
      <c r="Z146" s="377">
        <f t="shared" si="78"/>
        <v>0</v>
      </c>
      <c r="AA146" s="377">
        <f t="shared" si="79"/>
        <v>0</v>
      </c>
      <c r="AB146" s="377">
        <f t="shared" si="80"/>
        <v>0</v>
      </c>
      <c r="AC146" s="377">
        <f t="shared" si="81"/>
        <v>0</v>
      </c>
      <c r="AD146" s="376"/>
      <c r="AE146" s="332">
        <v>131</v>
      </c>
      <c r="AF146" s="350">
        <v>157596943.59929907</v>
      </c>
      <c r="AG146" s="350">
        <v>158889553.8052206</v>
      </c>
      <c r="AH146" s="350">
        <v>160128001.75578883</v>
      </c>
      <c r="AI146" s="350">
        <v>161369392.598894</v>
      </c>
      <c r="AJ146" s="350">
        <v>162617582.47246152</v>
      </c>
      <c r="AK146" s="348">
        <v>800601474.23166394</v>
      </c>
      <c r="AL146" s="369"/>
      <c r="AM146" s="350">
        <v>196081978.33989686</v>
      </c>
      <c r="AN146" s="350">
        <v>236596725.24426079</v>
      </c>
      <c r="AO146" s="350">
        <v>277650588.50576079</v>
      </c>
      <c r="AP146" s="350">
        <v>319316780.13276625</v>
      </c>
      <c r="AQ146" s="350">
        <v>361606036.69443393</v>
      </c>
      <c r="AR146" s="348">
        <v>1391252108.9171185</v>
      </c>
      <c r="AS146" s="369"/>
      <c r="AT146" s="350">
        <f t="shared" si="99"/>
        <v>38485034.740597785</v>
      </c>
      <c r="AU146" s="350">
        <f t="shared" si="82"/>
        <v>77707171.439040184</v>
      </c>
      <c r="AV146" s="350">
        <f t="shared" si="83"/>
        <v>117522586.74997196</v>
      </c>
      <c r="AW146" s="350">
        <f t="shared" si="84"/>
        <v>157947387.53387225</v>
      </c>
      <c r="AX146" s="350">
        <f t="shared" si="85"/>
        <v>198988454.22197241</v>
      </c>
      <c r="AY146" s="350">
        <f t="shared" si="86"/>
        <v>590650634.68545461</v>
      </c>
      <c r="AZ146" s="365"/>
      <c r="BA146" s="377">
        <f t="shared" si="87"/>
        <v>0</v>
      </c>
      <c r="BB146" s="377">
        <f t="shared" si="88"/>
        <v>0</v>
      </c>
      <c r="BC146" s="377">
        <f t="shared" si="89"/>
        <v>0</v>
      </c>
      <c r="BD146" s="377">
        <f t="shared" si="90"/>
        <v>0</v>
      </c>
      <c r="BE146" s="377">
        <f t="shared" si="91"/>
        <v>0</v>
      </c>
      <c r="BF146" s="377">
        <f t="shared" si="92"/>
        <v>0</v>
      </c>
      <c r="BG146" s="328"/>
    </row>
    <row r="147" spans="2:59">
      <c r="B147" s="332">
        <v>132</v>
      </c>
      <c r="C147" s="350">
        <v>147040851.69098899</v>
      </c>
      <c r="D147" s="350">
        <v>148246880.82608712</v>
      </c>
      <c r="E147" s="350">
        <v>149402375.57914221</v>
      </c>
      <c r="F147" s="350">
        <v>150560616.10514945</v>
      </c>
      <c r="G147" s="350">
        <v>151725200.25183246</v>
      </c>
      <c r="H147" s="348">
        <v>746975924.45320034</v>
      </c>
      <c r="I147" s="369"/>
      <c r="J147" s="350">
        <v>189944943.94020399</v>
      </c>
      <c r="K147" s="350">
        <v>234902438.4585073</v>
      </c>
      <c r="L147" s="350">
        <v>280471200.2207998</v>
      </c>
      <c r="M147" s="350">
        <v>326722467.14272046</v>
      </c>
      <c r="N147" s="350">
        <v>373667511.46383852</v>
      </c>
      <c r="O147" s="348">
        <v>1405708561.2260702</v>
      </c>
      <c r="P147" s="369"/>
      <c r="Q147" s="350">
        <f t="shared" si="93"/>
        <v>42904092.249215007</v>
      </c>
      <c r="R147" s="350">
        <f t="shared" si="94"/>
        <v>86655557.632420182</v>
      </c>
      <c r="S147" s="350">
        <f t="shared" si="95"/>
        <v>131068824.64165759</v>
      </c>
      <c r="T147" s="350">
        <f t="shared" si="96"/>
        <v>176161851.03757101</v>
      </c>
      <c r="U147" s="350">
        <f t="shared" si="97"/>
        <v>221942311.21200606</v>
      </c>
      <c r="V147" s="350">
        <f t="shared" si="98"/>
        <v>658732636.77286983</v>
      </c>
      <c r="W147" s="365"/>
      <c r="X147" s="377">
        <f t="shared" si="76"/>
        <v>0</v>
      </c>
      <c r="Y147" s="377">
        <f t="shared" si="77"/>
        <v>0</v>
      </c>
      <c r="Z147" s="377">
        <f t="shared" si="78"/>
        <v>0</v>
      </c>
      <c r="AA147" s="377">
        <f t="shared" si="79"/>
        <v>0</v>
      </c>
      <c r="AB147" s="377">
        <f t="shared" si="80"/>
        <v>0</v>
      </c>
      <c r="AC147" s="377">
        <f t="shared" si="81"/>
        <v>0</v>
      </c>
      <c r="AD147" s="376"/>
      <c r="AE147" s="332">
        <v>132</v>
      </c>
      <c r="AF147" s="350">
        <v>124515207.43057382</v>
      </c>
      <c r="AG147" s="350">
        <v>125536481.22079667</v>
      </c>
      <c r="AH147" s="350">
        <v>126514962.14774314</v>
      </c>
      <c r="AI147" s="350">
        <v>127495768.21416454</v>
      </c>
      <c r="AJ147" s="350">
        <v>128481946.1023294</v>
      </c>
      <c r="AK147" s="348">
        <v>632544365.11560762</v>
      </c>
      <c r="AL147" s="369"/>
      <c r="AM147" s="350">
        <v>159348272.64814684</v>
      </c>
      <c r="AN147" s="350">
        <v>195884773.12233067</v>
      </c>
      <c r="AO147" s="350">
        <v>232915695.1353181</v>
      </c>
      <c r="AP147" s="350">
        <v>270500735.951989</v>
      </c>
      <c r="AQ147" s="350">
        <v>308649172.06992257</v>
      </c>
      <c r="AR147" s="348">
        <v>1167298648.9277072</v>
      </c>
      <c r="AS147" s="369"/>
      <c r="AT147" s="350">
        <f t="shared" si="99"/>
        <v>34833065.217573017</v>
      </c>
      <c r="AU147" s="350">
        <f t="shared" si="82"/>
        <v>70348291.901533991</v>
      </c>
      <c r="AV147" s="350">
        <f t="shared" si="83"/>
        <v>106400732.98757496</v>
      </c>
      <c r="AW147" s="350">
        <f t="shared" si="84"/>
        <v>143004967.73782444</v>
      </c>
      <c r="AX147" s="350">
        <f t="shared" si="85"/>
        <v>180167225.96759316</v>
      </c>
      <c r="AY147" s="350">
        <f t="shared" si="86"/>
        <v>534754283.81209958</v>
      </c>
      <c r="AZ147" s="365"/>
      <c r="BA147" s="377">
        <f t="shared" si="87"/>
        <v>0</v>
      </c>
      <c r="BB147" s="377">
        <f t="shared" si="88"/>
        <v>0</v>
      </c>
      <c r="BC147" s="377">
        <f t="shared" si="89"/>
        <v>0</v>
      </c>
      <c r="BD147" s="377">
        <f t="shared" si="90"/>
        <v>0</v>
      </c>
      <c r="BE147" s="377">
        <f t="shared" si="91"/>
        <v>0</v>
      </c>
      <c r="BF147" s="377">
        <f t="shared" si="92"/>
        <v>0</v>
      </c>
      <c r="BG147" s="328"/>
    </row>
    <row r="148" spans="2:59">
      <c r="B148" s="332">
        <v>133</v>
      </c>
      <c r="C148" s="350">
        <v>140753085.23576283</v>
      </c>
      <c r="D148" s="350">
        <v>141907542.1074219</v>
      </c>
      <c r="E148" s="350">
        <v>143013625.55019218</v>
      </c>
      <c r="F148" s="350">
        <v>144122337.35106784</v>
      </c>
      <c r="G148" s="350">
        <v>145237121.50647235</v>
      </c>
      <c r="H148" s="348">
        <v>715033711.75091708</v>
      </c>
      <c r="I148" s="369"/>
      <c r="J148" s="350">
        <v>178271080.55213746</v>
      </c>
      <c r="K148" s="350">
        <v>217701347.23229539</v>
      </c>
      <c r="L148" s="350">
        <v>257662222.99780825</v>
      </c>
      <c r="M148" s="350">
        <v>298220413.94824541</v>
      </c>
      <c r="N148" s="350">
        <v>339386077.61081421</v>
      </c>
      <c r="O148" s="348">
        <v>1291241142.3413007</v>
      </c>
      <c r="P148" s="369"/>
      <c r="Q148" s="350">
        <f t="shared" si="93"/>
        <v>37517995.31637463</v>
      </c>
      <c r="R148" s="350">
        <f t="shared" si="94"/>
        <v>75793805.124873489</v>
      </c>
      <c r="S148" s="350">
        <f t="shared" si="95"/>
        <v>114648597.44761607</v>
      </c>
      <c r="T148" s="350">
        <f t="shared" si="96"/>
        <v>154098076.59717757</v>
      </c>
      <c r="U148" s="350">
        <f t="shared" si="97"/>
        <v>194148956.10434186</v>
      </c>
      <c r="V148" s="350">
        <f t="shared" si="98"/>
        <v>576207430.59038365</v>
      </c>
      <c r="W148" s="365"/>
      <c r="X148" s="377">
        <f t="shared" si="76"/>
        <v>0</v>
      </c>
      <c r="Y148" s="377">
        <f t="shared" si="77"/>
        <v>0</v>
      </c>
      <c r="Z148" s="377">
        <f t="shared" si="78"/>
        <v>0</v>
      </c>
      <c r="AA148" s="377">
        <f t="shared" si="79"/>
        <v>0</v>
      </c>
      <c r="AB148" s="377">
        <f t="shared" si="80"/>
        <v>0</v>
      </c>
      <c r="AC148" s="377">
        <f t="shared" si="81"/>
        <v>0</v>
      </c>
      <c r="AD148" s="376"/>
      <c r="AE148" s="332">
        <v>133</v>
      </c>
      <c r="AF148" s="350">
        <v>140262644.76861551</v>
      </c>
      <c r="AG148" s="350">
        <v>141413079.04733118</v>
      </c>
      <c r="AH148" s="350">
        <v>142515308.44967693</v>
      </c>
      <c r="AI148" s="350">
        <v>143620157.05186927</v>
      </c>
      <c r="AJ148" s="350">
        <v>144731056.85006034</v>
      </c>
      <c r="AK148" s="348">
        <v>712542246.16755331</v>
      </c>
      <c r="AL148" s="369"/>
      <c r="AM148" s="350">
        <v>176826062.49043638</v>
      </c>
      <c r="AN148" s="350">
        <v>215246172.68595907</v>
      </c>
      <c r="AO148" s="350">
        <v>254181826.2261245</v>
      </c>
      <c r="AP148" s="350">
        <v>293699150.13850856</v>
      </c>
      <c r="AQ148" s="350">
        <v>333808114.20985377</v>
      </c>
      <c r="AR148" s="348">
        <v>1273761325.7508821</v>
      </c>
      <c r="AS148" s="369"/>
      <c r="AT148" s="350">
        <f t="shared" si="99"/>
        <v>36563417.721820861</v>
      </c>
      <c r="AU148" s="350">
        <f t="shared" si="82"/>
        <v>73833093.638627887</v>
      </c>
      <c r="AV148" s="350">
        <f t="shared" si="83"/>
        <v>111666517.77644756</v>
      </c>
      <c r="AW148" s="350">
        <f t="shared" si="84"/>
        <v>150078993.08663929</v>
      </c>
      <c r="AX148" s="350">
        <f t="shared" si="85"/>
        <v>189077057.35979342</v>
      </c>
      <c r="AY148" s="350">
        <f t="shared" si="86"/>
        <v>561219079.58332884</v>
      </c>
      <c r="AZ148" s="365"/>
      <c r="BA148" s="377">
        <f t="shared" si="87"/>
        <v>0</v>
      </c>
      <c r="BB148" s="377">
        <f t="shared" si="88"/>
        <v>0</v>
      </c>
      <c r="BC148" s="377">
        <f t="shared" si="89"/>
        <v>0</v>
      </c>
      <c r="BD148" s="377">
        <f t="shared" si="90"/>
        <v>0</v>
      </c>
      <c r="BE148" s="377">
        <f t="shared" si="91"/>
        <v>0</v>
      </c>
      <c r="BF148" s="377">
        <f t="shared" si="92"/>
        <v>0</v>
      </c>
      <c r="BG148" s="328"/>
    </row>
    <row r="149" spans="2:59">
      <c r="B149" s="332">
        <v>134</v>
      </c>
      <c r="C149" s="350">
        <v>135056718.61828542</v>
      </c>
      <c r="D149" s="350">
        <v>136164453.88825446</v>
      </c>
      <c r="E149" s="350">
        <v>137225773.43267757</v>
      </c>
      <c r="F149" s="350">
        <v>138289614.9638868</v>
      </c>
      <c r="G149" s="350">
        <v>139359283.09758633</v>
      </c>
      <c r="H149" s="348">
        <v>686095844.0006907</v>
      </c>
      <c r="I149" s="369"/>
      <c r="J149" s="350">
        <v>169551752.19580251</v>
      </c>
      <c r="K149" s="350">
        <v>205835308.54166907</v>
      </c>
      <c r="L149" s="350">
        <v>242604532.03506184</v>
      </c>
      <c r="M149" s="350">
        <v>279922798.45992762</v>
      </c>
      <c r="N149" s="350">
        <v>317799582.59183657</v>
      </c>
      <c r="O149" s="348">
        <v>1215713973.8242974</v>
      </c>
      <c r="P149" s="369"/>
      <c r="Q149" s="350">
        <f t="shared" si="93"/>
        <v>34495033.577517092</v>
      </c>
      <c r="R149" s="350">
        <f t="shared" si="94"/>
        <v>69670854.653414607</v>
      </c>
      <c r="S149" s="350">
        <f t="shared" si="95"/>
        <v>105378758.60238427</v>
      </c>
      <c r="T149" s="350">
        <f t="shared" si="96"/>
        <v>141633183.49604082</v>
      </c>
      <c r="U149" s="350">
        <f t="shared" si="97"/>
        <v>178440299.49425024</v>
      </c>
      <c r="V149" s="350">
        <f t="shared" si="98"/>
        <v>529618129.82360673</v>
      </c>
      <c r="W149" s="365"/>
      <c r="X149" s="377">
        <f t="shared" si="76"/>
        <v>0</v>
      </c>
      <c r="Y149" s="377">
        <f t="shared" si="77"/>
        <v>0</v>
      </c>
      <c r="Z149" s="377">
        <f t="shared" si="78"/>
        <v>0</v>
      </c>
      <c r="AA149" s="377">
        <f t="shared" si="79"/>
        <v>0</v>
      </c>
      <c r="AB149" s="377">
        <f t="shared" si="80"/>
        <v>0</v>
      </c>
      <c r="AC149" s="377">
        <f t="shared" si="81"/>
        <v>0</v>
      </c>
      <c r="AD149" s="376"/>
      <c r="AE149" s="332">
        <v>134</v>
      </c>
      <c r="AF149" s="350">
        <v>142789737.22574568</v>
      </c>
      <c r="AG149" s="350">
        <v>143960898.71798968</v>
      </c>
      <c r="AH149" s="350">
        <v>145082986.83334693</v>
      </c>
      <c r="AI149" s="350">
        <v>146207741.33830819</v>
      </c>
      <c r="AJ149" s="350">
        <v>147338656.06282029</v>
      </c>
      <c r="AK149" s="348">
        <v>725380020.17821085</v>
      </c>
      <c r="AL149" s="369"/>
      <c r="AM149" s="350">
        <v>175635512.15226281</v>
      </c>
      <c r="AN149" s="350">
        <v>210338346.99097988</v>
      </c>
      <c r="AO149" s="350">
        <v>245499338.73533753</v>
      </c>
      <c r="AP149" s="350">
        <v>281183977.01044518</v>
      </c>
      <c r="AQ149" s="350">
        <v>317401636.55019099</v>
      </c>
      <c r="AR149" s="348">
        <v>1230058811.4392164</v>
      </c>
      <c r="AS149" s="369"/>
      <c r="AT149" s="350">
        <f t="shared" si="99"/>
        <v>32845774.926517129</v>
      </c>
      <c r="AU149" s="350">
        <f t="shared" si="82"/>
        <v>66377448.272990197</v>
      </c>
      <c r="AV149" s="350">
        <f t="shared" si="83"/>
        <v>100416351.90199059</v>
      </c>
      <c r="AW149" s="350">
        <f t="shared" si="84"/>
        <v>134976235.67213699</v>
      </c>
      <c r="AX149" s="350">
        <f t="shared" si="85"/>
        <v>170062980.4873707</v>
      </c>
      <c r="AY149" s="350">
        <f t="shared" si="86"/>
        <v>504678791.26100552</v>
      </c>
      <c r="AZ149" s="365"/>
      <c r="BA149" s="377">
        <f t="shared" si="87"/>
        <v>0</v>
      </c>
      <c r="BB149" s="377">
        <f t="shared" si="88"/>
        <v>0</v>
      </c>
      <c r="BC149" s="377">
        <f t="shared" si="89"/>
        <v>0</v>
      </c>
      <c r="BD149" s="377">
        <f t="shared" si="90"/>
        <v>0</v>
      </c>
      <c r="BE149" s="377">
        <f t="shared" si="91"/>
        <v>0</v>
      </c>
      <c r="BF149" s="377">
        <f t="shared" si="92"/>
        <v>0</v>
      </c>
      <c r="BG149" s="328"/>
    </row>
    <row r="150" spans="2:59">
      <c r="B150" s="332">
        <v>135</v>
      </c>
      <c r="C150" s="350">
        <v>154894339.40966946</v>
      </c>
      <c r="D150" s="350">
        <v>156164782.85474968</v>
      </c>
      <c r="E150" s="350">
        <v>157381992.86412823</v>
      </c>
      <c r="F150" s="350">
        <v>158602095.29886127</v>
      </c>
      <c r="G150" s="350">
        <v>159828880.16859615</v>
      </c>
      <c r="H150" s="348">
        <v>786872090.59600484</v>
      </c>
      <c r="I150" s="369"/>
      <c r="J150" s="350">
        <v>190043958.54588118</v>
      </c>
      <c r="K150" s="350">
        <v>227156202.29218668</v>
      </c>
      <c r="L150" s="350">
        <v>264757368.62616611</v>
      </c>
      <c r="M150" s="350">
        <v>302918295.37586015</v>
      </c>
      <c r="N150" s="350">
        <v>341649059.56433523</v>
      </c>
      <c r="O150" s="348">
        <v>1326524884.4044294</v>
      </c>
      <c r="P150" s="369"/>
      <c r="Q150" s="350">
        <f t="shared" si="93"/>
        <v>35149619.136211723</v>
      </c>
      <c r="R150" s="350">
        <f t="shared" si="94"/>
        <v>70991419.437436998</v>
      </c>
      <c r="S150" s="350">
        <f t="shared" si="95"/>
        <v>107375375.76203787</v>
      </c>
      <c r="T150" s="350">
        <f t="shared" si="96"/>
        <v>144316200.07699889</v>
      </c>
      <c r="U150" s="350">
        <f t="shared" si="97"/>
        <v>181820179.39573908</v>
      </c>
      <c r="V150" s="350">
        <f t="shared" si="98"/>
        <v>539652793.80842459</v>
      </c>
      <c r="W150" s="365"/>
      <c r="X150" s="377">
        <f t="shared" si="76"/>
        <v>0</v>
      </c>
      <c r="Y150" s="377">
        <f t="shared" si="77"/>
        <v>0</v>
      </c>
      <c r="Z150" s="377">
        <f t="shared" si="78"/>
        <v>0</v>
      </c>
      <c r="AA150" s="377">
        <f t="shared" si="79"/>
        <v>0</v>
      </c>
      <c r="AB150" s="377">
        <f t="shared" si="80"/>
        <v>0</v>
      </c>
      <c r="AC150" s="377">
        <f t="shared" si="81"/>
        <v>0</v>
      </c>
      <c r="AD150" s="376"/>
      <c r="AE150" s="332">
        <v>135</v>
      </c>
      <c r="AF150" s="350">
        <v>122384690.13382754</v>
      </c>
      <c r="AG150" s="350">
        <v>123388489.42017509</v>
      </c>
      <c r="AH150" s="350">
        <v>124350228.05047828</v>
      </c>
      <c r="AI150" s="350">
        <v>125314252.03596047</v>
      </c>
      <c r="AJ150" s="350">
        <v>126283555.92863712</v>
      </c>
      <c r="AK150" s="348">
        <v>621721215.56907856</v>
      </c>
      <c r="AL150" s="369"/>
      <c r="AM150" s="350">
        <v>152563891.93114653</v>
      </c>
      <c r="AN150" s="350">
        <v>184332440.4472003</v>
      </c>
      <c r="AO150" s="350">
        <v>216524282.9732216</v>
      </c>
      <c r="AP150" s="350">
        <v>249196396.6195392</v>
      </c>
      <c r="AQ150" s="350">
        <v>282357172.58491695</v>
      </c>
      <c r="AR150" s="348">
        <v>1084974184.5560246</v>
      </c>
      <c r="AS150" s="369"/>
      <c r="AT150" s="350">
        <f t="shared" si="99"/>
        <v>30179201.797318995</v>
      </c>
      <c r="AU150" s="350">
        <f t="shared" si="82"/>
        <v>60943951.027025208</v>
      </c>
      <c r="AV150" s="350">
        <f t="shared" si="83"/>
        <v>92174054.92274332</v>
      </c>
      <c r="AW150" s="350">
        <f t="shared" si="84"/>
        <v>123882144.58357874</v>
      </c>
      <c r="AX150" s="350">
        <f t="shared" si="85"/>
        <v>156073616.65627983</v>
      </c>
      <c r="AY150" s="350">
        <f t="shared" si="86"/>
        <v>463252968.98694599</v>
      </c>
      <c r="AZ150" s="365"/>
      <c r="BA150" s="377">
        <f t="shared" si="87"/>
        <v>0</v>
      </c>
      <c r="BB150" s="377">
        <f t="shared" si="88"/>
        <v>0</v>
      </c>
      <c r="BC150" s="377">
        <f t="shared" si="89"/>
        <v>0</v>
      </c>
      <c r="BD150" s="377">
        <f t="shared" si="90"/>
        <v>0</v>
      </c>
      <c r="BE150" s="377">
        <f t="shared" si="91"/>
        <v>0</v>
      </c>
      <c r="BF150" s="377">
        <f t="shared" si="92"/>
        <v>0</v>
      </c>
      <c r="BG150" s="328"/>
    </row>
    <row r="151" spans="2:59">
      <c r="B151" s="332">
        <v>136</v>
      </c>
      <c r="C151" s="350">
        <v>139094924.28576168</v>
      </c>
      <c r="D151" s="350">
        <v>140235780.92052481</v>
      </c>
      <c r="E151" s="350">
        <v>141328833.99618679</v>
      </c>
      <c r="F151" s="350">
        <v>142424484.46622247</v>
      </c>
      <c r="G151" s="350">
        <v>143526135.75458479</v>
      </c>
      <c r="H151" s="348">
        <v>706610159.42328048</v>
      </c>
      <c r="I151" s="369"/>
      <c r="J151" s="350">
        <v>172115523.61817768</v>
      </c>
      <c r="K151" s="350">
        <v>206950370.55580109</v>
      </c>
      <c r="L151" s="350">
        <v>242247092.10597417</v>
      </c>
      <c r="M151" s="350">
        <v>278069911.36774367</v>
      </c>
      <c r="N151" s="350">
        <v>314428141.50418973</v>
      </c>
      <c r="O151" s="348">
        <v>1213811039.1518865</v>
      </c>
      <c r="P151" s="369"/>
      <c r="Q151" s="350">
        <f t="shared" si="93"/>
        <v>33020599.332415998</v>
      </c>
      <c r="R151" s="350">
        <f t="shared" si="94"/>
        <v>66714589.635276288</v>
      </c>
      <c r="S151" s="350">
        <f t="shared" si="95"/>
        <v>100918258.10978737</v>
      </c>
      <c r="T151" s="350">
        <f t="shared" si="96"/>
        <v>135645426.90152121</v>
      </c>
      <c r="U151" s="350">
        <f t="shared" si="97"/>
        <v>170902005.74960494</v>
      </c>
      <c r="V151" s="350">
        <f t="shared" si="98"/>
        <v>507200879.72860599</v>
      </c>
      <c r="W151" s="365"/>
      <c r="X151" s="377">
        <f t="shared" si="76"/>
        <v>0</v>
      </c>
      <c r="Y151" s="377">
        <f t="shared" si="77"/>
        <v>0</v>
      </c>
      <c r="Z151" s="377">
        <f t="shared" si="78"/>
        <v>0</v>
      </c>
      <c r="AA151" s="377">
        <f t="shared" si="79"/>
        <v>0</v>
      </c>
      <c r="AB151" s="377">
        <f t="shared" si="80"/>
        <v>0</v>
      </c>
      <c r="AC151" s="377">
        <f t="shared" si="81"/>
        <v>0</v>
      </c>
      <c r="AD151" s="376"/>
      <c r="AE151" s="332">
        <v>136</v>
      </c>
      <c r="AF151" s="350">
        <v>134886612.03139734</v>
      </c>
      <c r="AG151" s="350">
        <v>135992952.08706027</v>
      </c>
      <c r="AH151" s="350">
        <v>137052934.8786943</v>
      </c>
      <c r="AI151" s="350">
        <v>138115436.48062259</v>
      </c>
      <c r="AJ151" s="350">
        <v>139183757.34632102</v>
      </c>
      <c r="AK151" s="348">
        <v>685231692.82409549</v>
      </c>
      <c r="AL151" s="369"/>
      <c r="AM151" s="350">
        <v>174869835.43195808</v>
      </c>
      <c r="AN151" s="350">
        <v>216746999.19113851</v>
      </c>
      <c r="AO151" s="350">
        <v>259194520.0069285</v>
      </c>
      <c r="AP151" s="350">
        <v>302278009.05160117</v>
      </c>
      <c r="AQ151" s="350">
        <v>346007918.38716829</v>
      </c>
      <c r="AR151" s="348">
        <v>1299097282.0687947</v>
      </c>
      <c r="AS151" s="369"/>
      <c r="AT151" s="350">
        <f t="shared" si="99"/>
        <v>39983223.400560737</v>
      </c>
      <c r="AU151" s="350">
        <f t="shared" si="82"/>
        <v>80754047.104078233</v>
      </c>
      <c r="AV151" s="350">
        <f t="shared" si="83"/>
        <v>122141585.12823421</v>
      </c>
      <c r="AW151" s="350">
        <f t="shared" si="84"/>
        <v>164162572.57097858</v>
      </c>
      <c r="AX151" s="350">
        <f t="shared" si="85"/>
        <v>206824161.04084727</v>
      </c>
      <c r="AY151" s="350">
        <f t="shared" si="86"/>
        <v>613865589.24469924</v>
      </c>
      <c r="AZ151" s="365"/>
      <c r="BA151" s="377">
        <f t="shared" si="87"/>
        <v>0</v>
      </c>
      <c r="BB151" s="377">
        <f t="shared" si="88"/>
        <v>0</v>
      </c>
      <c r="BC151" s="377">
        <f t="shared" si="89"/>
        <v>0</v>
      </c>
      <c r="BD151" s="377">
        <f t="shared" si="90"/>
        <v>0</v>
      </c>
      <c r="BE151" s="377">
        <f t="shared" si="91"/>
        <v>0</v>
      </c>
      <c r="BF151" s="377">
        <f t="shared" si="92"/>
        <v>0</v>
      </c>
      <c r="BG151" s="328"/>
    </row>
    <row r="152" spans="2:59">
      <c r="B152" s="332">
        <v>137</v>
      </c>
      <c r="C152" s="350">
        <v>138203217.99624437</v>
      </c>
      <c r="D152" s="350">
        <v>139336760.85559925</v>
      </c>
      <c r="E152" s="350">
        <v>140422806.61372364</v>
      </c>
      <c r="F152" s="350">
        <v>141511433.11491024</v>
      </c>
      <c r="G152" s="350">
        <v>142606021.96452627</v>
      </c>
      <c r="H152" s="348">
        <v>702080240.54500377</v>
      </c>
      <c r="I152" s="369"/>
      <c r="J152" s="350">
        <v>175528899.18539652</v>
      </c>
      <c r="K152" s="350">
        <v>214716488.50286451</v>
      </c>
      <c r="L152" s="350">
        <v>254432196.89388168</v>
      </c>
      <c r="M152" s="350">
        <v>294741724.59581333</v>
      </c>
      <c r="N152" s="350">
        <v>335655128.42955649</v>
      </c>
      <c r="O152" s="348">
        <v>1275074437.6075125</v>
      </c>
      <c r="P152" s="369"/>
      <c r="Q152" s="350">
        <f t="shared" si="93"/>
        <v>37325681.189152151</v>
      </c>
      <c r="R152" s="350">
        <f t="shared" si="94"/>
        <v>75379727.647265255</v>
      </c>
      <c r="S152" s="350">
        <f t="shared" si="95"/>
        <v>114009390.28015804</v>
      </c>
      <c r="T152" s="350">
        <f t="shared" si="96"/>
        <v>153230291.48090309</v>
      </c>
      <c r="U152" s="350">
        <f t="shared" si="97"/>
        <v>193049106.46503022</v>
      </c>
      <c r="V152" s="350">
        <f t="shared" si="98"/>
        <v>572994197.0625087</v>
      </c>
      <c r="W152" s="365"/>
      <c r="X152" s="377">
        <f t="shared" si="76"/>
        <v>0</v>
      </c>
      <c r="Y152" s="377">
        <f t="shared" si="77"/>
        <v>0</v>
      </c>
      <c r="Z152" s="377">
        <f t="shared" si="78"/>
        <v>0</v>
      </c>
      <c r="AA152" s="377">
        <f t="shared" si="79"/>
        <v>0</v>
      </c>
      <c r="AB152" s="377">
        <f t="shared" si="80"/>
        <v>0</v>
      </c>
      <c r="AC152" s="377">
        <f t="shared" si="81"/>
        <v>0</v>
      </c>
      <c r="AD152" s="376"/>
      <c r="AE152" s="332">
        <v>137</v>
      </c>
      <c r="AF152" s="350">
        <v>124862937.52591442</v>
      </c>
      <c r="AG152" s="350">
        <v>125887063.39854369</v>
      </c>
      <c r="AH152" s="350">
        <v>126868276.90147853</v>
      </c>
      <c r="AI152" s="350">
        <v>127851822.03723955</v>
      </c>
      <c r="AJ152" s="350">
        <v>128840753.99647859</v>
      </c>
      <c r="AK152" s="348">
        <v>634310853.85965478</v>
      </c>
      <c r="AL152" s="369"/>
      <c r="AM152" s="350">
        <v>153990131.95829362</v>
      </c>
      <c r="AN152" s="350">
        <v>184727196.04641372</v>
      </c>
      <c r="AO152" s="350">
        <v>215870802.02809811</v>
      </c>
      <c r="AP152" s="350">
        <v>247478385.84650388</v>
      </c>
      <c r="AQ152" s="350">
        <v>279558214.36462075</v>
      </c>
      <c r="AR152" s="348">
        <v>1081624730.2439301</v>
      </c>
      <c r="AS152" s="369"/>
      <c r="AT152" s="350">
        <f t="shared" si="99"/>
        <v>29127194.432379201</v>
      </c>
      <c r="AU152" s="350">
        <f t="shared" si="82"/>
        <v>58840132.647870034</v>
      </c>
      <c r="AV152" s="350">
        <f t="shared" si="83"/>
        <v>89002525.126619577</v>
      </c>
      <c r="AW152" s="350">
        <f t="shared" si="84"/>
        <v>119626563.80926433</v>
      </c>
      <c r="AX152" s="350">
        <f t="shared" si="85"/>
        <v>150717460.36814216</v>
      </c>
      <c r="AY152" s="350">
        <f t="shared" si="86"/>
        <v>447313876.38427532</v>
      </c>
      <c r="AZ152" s="365"/>
      <c r="BA152" s="377">
        <f t="shared" si="87"/>
        <v>0</v>
      </c>
      <c r="BB152" s="377">
        <f t="shared" si="88"/>
        <v>0</v>
      </c>
      <c r="BC152" s="377">
        <f t="shared" si="89"/>
        <v>0</v>
      </c>
      <c r="BD152" s="377">
        <f t="shared" si="90"/>
        <v>0</v>
      </c>
      <c r="BE152" s="377">
        <f t="shared" si="91"/>
        <v>0</v>
      </c>
      <c r="BF152" s="377">
        <f t="shared" si="92"/>
        <v>0</v>
      </c>
      <c r="BG152" s="328"/>
    </row>
    <row r="153" spans="2:59">
      <c r="B153" s="332">
        <v>138</v>
      </c>
      <c r="C153" s="350">
        <v>112526807.91917866</v>
      </c>
      <c r="D153" s="350">
        <v>113449752.85094026</v>
      </c>
      <c r="E153" s="350">
        <v>114334025.04219429</v>
      </c>
      <c r="F153" s="350">
        <v>115220398.50708774</v>
      </c>
      <c r="G153" s="350">
        <v>116111626.59147695</v>
      </c>
      <c r="H153" s="348">
        <v>571642610.91087782</v>
      </c>
      <c r="I153" s="369"/>
      <c r="J153" s="350">
        <v>140806730.93740323</v>
      </c>
      <c r="K153" s="350">
        <v>170554290.23069441</v>
      </c>
      <c r="L153" s="350">
        <v>200699182.67082733</v>
      </c>
      <c r="M153" s="350">
        <v>231294018.23088881</v>
      </c>
      <c r="N153" s="350">
        <v>262346606.66290793</v>
      </c>
      <c r="O153" s="348">
        <v>1005700828.7327217</v>
      </c>
      <c r="P153" s="369"/>
      <c r="Q153" s="350">
        <f t="shared" si="93"/>
        <v>28279923.018224567</v>
      </c>
      <c r="R153" s="350">
        <f t="shared" si="94"/>
        <v>57104537.379754156</v>
      </c>
      <c r="S153" s="350">
        <f t="shared" si="95"/>
        <v>86365157.628633037</v>
      </c>
      <c r="T153" s="350">
        <f t="shared" si="96"/>
        <v>116073619.72380108</v>
      </c>
      <c r="U153" s="350">
        <f t="shared" si="97"/>
        <v>146234980.07143098</v>
      </c>
      <c r="V153" s="350">
        <f t="shared" si="98"/>
        <v>434058217.82184386</v>
      </c>
      <c r="W153" s="365"/>
      <c r="X153" s="377">
        <f t="shared" si="76"/>
        <v>0</v>
      </c>
      <c r="Y153" s="377">
        <f t="shared" si="77"/>
        <v>0</v>
      </c>
      <c r="Z153" s="377">
        <f t="shared" si="78"/>
        <v>0</v>
      </c>
      <c r="AA153" s="377">
        <f t="shared" si="79"/>
        <v>0</v>
      </c>
      <c r="AB153" s="377">
        <f t="shared" si="80"/>
        <v>0</v>
      </c>
      <c r="AC153" s="377">
        <f t="shared" si="81"/>
        <v>0</v>
      </c>
      <c r="AD153" s="376"/>
      <c r="AE153" s="332">
        <v>138</v>
      </c>
      <c r="AF153" s="350">
        <v>119002580.92849012</v>
      </c>
      <c r="AG153" s="350">
        <v>119978640.15353623</v>
      </c>
      <c r="AH153" s="350">
        <v>120913801.07161808</v>
      </c>
      <c r="AI153" s="350">
        <v>121851184.18893366</v>
      </c>
      <c r="AJ153" s="350">
        <v>122793701.3028506</v>
      </c>
      <c r="AK153" s="348">
        <v>604539907.64542866</v>
      </c>
      <c r="AL153" s="369"/>
      <c r="AM153" s="350">
        <v>145720263.85293365</v>
      </c>
      <c r="AN153" s="350">
        <v>173939105.73124254</v>
      </c>
      <c r="AO153" s="350">
        <v>202529132.99846387</v>
      </c>
      <c r="AP153" s="350">
        <v>231544648.86077923</v>
      </c>
      <c r="AQ153" s="350">
        <v>260993343.79810688</v>
      </c>
      <c r="AR153" s="348">
        <v>1014726495.2415261</v>
      </c>
      <c r="AS153" s="369"/>
      <c r="AT153" s="350">
        <f t="shared" si="99"/>
        <v>26717682.924443528</v>
      </c>
      <c r="AU153" s="350">
        <f t="shared" si="82"/>
        <v>53960465.577706307</v>
      </c>
      <c r="AV153" s="350">
        <f t="shared" si="83"/>
        <v>81615331.926845789</v>
      </c>
      <c r="AW153" s="350">
        <f t="shared" si="84"/>
        <v>109693464.67184557</v>
      </c>
      <c r="AX153" s="350">
        <f t="shared" si="85"/>
        <v>138199642.49525627</v>
      </c>
      <c r="AY153" s="350">
        <f t="shared" si="86"/>
        <v>410186587.59609747</v>
      </c>
      <c r="AZ153" s="365"/>
      <c r="BA153" s="377">
        <f t="shared" si="87"/>
        <v>0</v>
      </c>
      <c r="BB153" s="377">
        <f t="shared" si="88"/>
        <v>0</v>
      </c>
      <c r="BC153" s="377">
        <f t="shared" si="89"/>
        <v>0</v>
      </c>
      <c r="BD153" s="377">
        <f t="shared" si="90"/>
        <v>0</v>
      </c>
      <c r="BE153" s="377">
        <f t="shared" si="91"/>
        <v>0</v>
      </c>
      <c r="BF153" s="377">
        <f t="shared" si="92"/>
        <v>0</v>
      </c>
      <c r="BG153" s="328"/>
    </row>
    <row r="154" spans="2:59">
      <c r="B154" s="332">
        <v>139</v>
      </c>
      <c r="C154" s="350">
        <v>123646322.32838093</v>
      </c>
      <c r="D154" s="350">
        <v>124660469.52258474</v>
      </c>
      <c r="E154" s="350">
        <v>125632122.46829301</v>
      </c>
      <c r="F154" s="350">
        <v>126606084.32831715</v>
      </c>
      <c r="G154" s="350">
        <v>127585380.52473679</v>
      </c>
      <c r="H154" s="348">
        <v>628130379.17231262</v>
      </c>
      <c r="I154" s="369"/>
      <c r="J154" s="350">
        <v>153527979.85842377</v>
      </c>
      <c r="K154" s="350">
        <v>185003245.20536637</v>
      </c>
      <c r="L154" s="350">
        <v>216896778.03125727</v>
      </c>
      <c r="M154" s="350">
        <v>249265888.04742756</v>
      </c>
      <c r="N154" s="350">
        <v>282118944.06792939</v>
      </c>
      <c r="O154" s="348">
        <v>1086812835.2104044</v>
      </c>
      <c r="P154" s="369"/>
      <c r="Q154" s="350">
        <f t="shared" si="93"/>
        <v>29881657.530042842</v>
      </c>
      <c r="R154" s="350">
        <f t="shared" si="94"/>
        <v>60342775.682781637</v>
      </c>
      <c r="S154" s="350">
        <f t="shared" si="95"/>
        <v>91264655.562964261</v>
      </c>
      <c r="T154" s="350">
        <f t="shared" si="96"/>
        <v>122659803.71911041</v>
      </c>
      <c r="U154" s="350">
        <f t="shared" si="97"/>
        <v>154533563.5431926</v>
      </c>
      <c r="V154" s="350">
        <f t="shared" si="98"/>
        <v>458682456.03809178</v>
      </c>
      <c r="W154" s="365"/>
      <c r="X154" s="377">
        <f t="shared" si="76"/>
        <v>0</v>
      </c>
      <c r="Y154" s="377">
        <f t="shared" si="77"/>
        <v>0</v>
      </c>
      <c r="Z154" s="377">
        <f t="shared" si="78"/>
        <v>0</v>
      </c>
      <c r="AA154" s="377">
        <f t="shared" si="79"/>
        <v>0</v>
      </c>
      <c r="AB154" s="377">
        <f t="shared" si="80"/>
        <v>0</v>
      </c>
      <c r="AC154" s="377">
        <f t="shared" si="81"/>
        <v>0</v>
      </c>
      <c r="AD154" s="376"/>
      <c r="AE154" s="332">
        <v>139</v>
      </c>
      <c r="AF154" s="350">
        <v>124271297.16085364</v>
      </c>
      <c r="AG154" s="350">
        <v>125290570.39892894</v>
      </c>
      <c r="AH154" s="350">
        <v>126267134.59978443</v>
      </c>
      <c r="AI154" s="350">
        <v>127246019.38544706</v>
      </c>
      <c r="AJ154" s="350">
        <v>128230265.47010252</v>
      </c>
      <c r="AK154" s="348">
        <v>631305287.01511657</v>
      </c>
      <c r="AL154" s="369"/>
      <c r="AM154" s="350">
        <v>151716767.02236047</v>
      </c>
      <c r="AN154" s="350">
        <v>180732862.29314834</v>
      </c>
      <c r="AO154" s="350">
        <v>210129743.60713777</v>
      </c>
      <c r="AP154" s="350">
        <v>239963928.5658699</v>
      </c>
      <c r="AQ154" s="350">
        <v>270243368.56078911</v>
      </c>
      <c r="AR154" s="348">
        <v>1052786670.0493057</v>
      </c>
      <c r="AS154" s="369"/>
      <c r="AT154" s="350">
        <f t="shared" si="99"/>
        <v>27445469.861506835</v>
      </c>
      <c r="AU154" s="350">
        <f t="shared" si="82"/>
        <v>55442291.894219398</v>
      </c>
      <c r="AV154" s="350">
        <f t="shared" si="83"/>
        <v>83862609.007353336</v>
      </c>
      <c r="AW154" s="350">
        <f t="shared" si="84"/>
        <v>112717909.18042284</v>
      </c>
      <c r="AX154" s="350">
        <f t="shared" si="85"/>
        <v>142013103.09068659</v>
      </c>
      <c r="AY154" s="350">
        <f t="shared" si="86"/>
        <v>421481383.03418911</v>
      </c>
      <c r="AZ154" s="365"/>
      <c r="BA154" s="377">
        <f t="shared" si="87"/>
        <v>0</v>
      </c>
      <c r="BB154" s="377">
        <f t="shared" si="88"/>
        <v>0</v>
      </c>
      <c r="BC154" s="377">
        <f t="shared" si="89"/>
        <v>0</v>
      </c>
      <c r="BD154" s="377">
        <f t="shared" si="90"/>
        <v>0</v>
      </c>
      <c r="BE154" s="377">
        <f t="shared" si="91"/>
        <v>0</v>
      </c>
      <c r="BF154" s="377">
        <f t="shared" si="92"/>
        <v>0</v>
      </c>
      <c r="BG154" s="328"/>
    </row>
    <row r="155" spans="2:59">
      <c r="B155" s="332">
        <v>140</v>
      </c>
      <c r="C155" s="350">
        <v>114671720.97005168</v>
      </c>
      <c r="D155" s="350">
        <v>115612258.47967079</v>
      </c>
      <c r="E155" s="350">
        <v>116513386.09407791</v>
      </c>
      <c r="F155" s="350">
        <v>117416655.03524013</v>
      </c>
      <c r="G155" s="350">
        <v>118324871.1315072</v>
      </c>
      <c r="H155" s="348">
        <v>582538891.71054769</v>
      </c>
      <c r="I155" s="369"/>
      <c r="J155" s="350">
        <v>145587300.87442112</v>
      </c>
      <c r="K155" s="350">
        <v>178074969.28658456</v>
      </c>
      <c r="L155" s="350">
        <v>211000431.62511685</v>
      </c>
      <c r="M155" s="350">
        <v>244418180.17454642</v>
      </c>
      <c r="N155" s="350">
        <v>278336553.93036139</v>
      </c>
      <c r="O155" s="348">
        <v>1057417435.8910304</v>
      </c>
      <c r="P155" s="369"/>
      <c r="Q155" s="350">
        <f t="shared" si="93"/>
        <v>30915579.904369444</v>
      </c>
      <c r="R155" s="350">
        <f t="shared" si="94"/>
        <v>62462710.806913763</v>
      </c>
      <c r="S155" s="350">
        <f t="shared" si="95"/>
        <v>94487045.53103894</v>
      </c>
      <c r="T155" s="350">
        <f t="shared" si="96"/>
        <v>127001525.13930629</v>
      </c>
      <c r="U155" s="350">
        <f t="shared" si="97"/>
        <v>160011682.79885417</v>
      </c>
      <c r="V155" s="350">
        <f t="shared" si="98"/>
        <v>474878544.18048275</v>
      </c>
      <c r="W155" s="365"/>
      <c r="X155" s="377">
        <f t="shared" si="76"/>
        <v>0</v>
      </c>
      <c r="Y155" s="377">
        <f t="shared" si="77"/>
        <v>0</v>
      </c>
      <c r="Z155" s="377">
        <f t="shared" si="78"/>
        <v>0</v>
      </c>
      <c r="AA155" s="377">
        <f t="shared" si="79"/>
        <v>0</v>
      </c>
      <c r="AB155" s="377">
        <f t="shared" si="80"/>
        <v>0</v>
      </c>
      <c r="AC155" s="377">
        <f t="shared" si="81"/>
        <v>0</v>
      </c>
      <c r="AD155" s="376"/>
      <c r="AE155" s="332">
        <v>140</v>
      </c>
      <c r="AF155" s="350">
        <v>123221444.10802919</v>
      </c>
      <c r="AG155" s="350">
        <v>124232106.45086879</v>
      </c>
      <c r="AH155" s="350">
        <v>125200420.56557427</v>
      </c>
      <c r="AI155" s="350">
        <v>126171035.66061589</v>
      </c>
      <c r="AJ155" s="350">
        <v>127146966.76200241</v>
      </c>
      <c r="AK155" s="348">
        <v>625971973.54709053</v>
      </c>
      <c r="AL155" s="369"/>
      <c r="AM155" s="350">
        <v>156017376.91075969</v>
      </c>
      <c r="AN155" s="350">
        <v>190468741.88505587</v>
      </c>
      <c r="AO155" s="350">
        <v>225383594.29267371</v>
      </c>
      <c r="AP155" s="350">
        <v>260820310.10838097</v>
      </c>
      <c r="AQ155" s="350">
        <v>296787770.21901608</v>
      </c>
      <c r="AR155" s="348">
        <v>1129477793.4158864</v>
      </c>
      <c r="AS155" s="369"/>
      <c r="AT155" s="350">
        <f t="shared" si="99"/>
        <v>32795932.802730501</v>
      </c>
      <c r="AU155" s="350">
        <f t="shared" si="82"/>
        <v>66236635.434187084</v>
      </c>
      <c r="AV155" s="350">
        <f t="shared" si="83"/>
        <v>100183173.72709943</v>
      </c>
      <c r="AW155" s="350">
        <f t="shared" si="84"/>
        <v>134649274.44776508</v>
      </c>
      <c r="AX155" s="350">
        <f t="shared" si="85"/>
        <v>169640803.45701367</v>
      </c>
      <c r="AY155" s="350">
        <f t="shared" si="86"/>
        <v>503505819.86879587</v>
      </c>
      <c r="AZ155" s="365"/>
      <c r="BA155" s="377">
        <f t="shared" si="87"/>
        <v>0</v>
      </c>
      <c r="BB155" s="377">
        <f t="shared" si="88"/>
        <v>0</v>
      </c>
      <c r="BC155" s="377">
        <f t="shared" si="89"/>
        <v>0</v>
      </c>
      <c r="BD155" s="377">
        <f t="shared" si="90"/>
        <v>0</v>
      </c>
      <c r="BE155" s="377">
        <f t="shared" si="91"/>
        <v>0</v>
      </c>
      <c r="BF155" s="377">
        <f t="shared" si="92"/>
        <v>0</v>
      </c>
      <c r="BG155" s="328"/>
    </row>
    <row r="156" spans="2:59">
      <c r="B156" s="332">
        <v>141</v>
      </c>
      <c r="C156" s="350">
        <v>136017553.49447381</v>
      </c>
      <c r="D156" s="350">
        <v>137133169.53255168</v>
      </c>
      <c r="E156" s="350">
        <v>138202039.62939084</v>
      </c>
      <c r="F156" s="350">
        <v>139273449.65520281</v>
      </c>
      <c r="G156" s="350">
        <v>140350727.7357403</v>
      </c>
      <c r="H156" s="348">
        <v>690976940.04735935</v>
      </c>
      <c r="I156" s="369"/>
      <c r="J156" s="350">
        <v>166360589.81035668</v>
      </c>
      <c r="K156" s="350">
        <v>198447527.13165879</v>
      </c>
      <c r="L156" s="350">
        <v>230956216.13239416</v>
      </c>
      <c r="M156" s="350">
        <v>263948644.5506919</v>
      </c>
      <c r="N156" s="350">
        <v>297433572.49428278</v>
      </c>
      <c r="O156" s="348">
        <v>1157146550.1193843</v>
      </c>
      <c r="P156" s="369"/>
      <c r="Q156" s="350">
        <f t="shared" si="93"/>
        <v>30343036.315882862</v>
      </c>
      <c r="R156" s="350">
        <f t="shared" si="94"/>
        <v>61314357.599107116</v>
      </c>
      <c r="S156" s="350">
        <f t="shared" si="95"/>
        <v>92754176.503003329</v>
      </c>
      <c r="T156" s="350">
        <f t="shared" si="96"/>
        <v>124675194.8954891</v>
      </c>
      <c r="U156" s="350">
        <f t="shared" si="97"/>
        <v>157082844.75854248</v>
      </c>
      <c r="V156" s="350">
        <f t="shared" si="98"/>
        <v>466169610.07202494</v>
      </c>
      <c r="W156" s="365"/>
      <c r="X156" s="377">
        <f t="shared" si="76"/>
        <v>0</v>
      </c>
      <c r="Y156" s="377">
        <f t="shared" si="77"/>
        <v>0</v>
      </c>
      <c r="Z156" s="377">
        <f t="shared" si="78"/>
        <v>0</v>
      </c>
      <c r="AA156" s="377">
        <f t="shared" si="79"/>
        <v>0</v>
      </c>
      <c r="AB156" s="377">
        <f t="shared" si="80"/>
        <v>0</v>
      </c>
      <c r="AC156" s="377">
        <f t="shared" si="81"/>
        <v>0</v>
      </c>
      <c r="AD156" s="376"/>
      <c r="AE156" s="332">
        <v>141</v>
      </c>
      <c r="AF156" s="350">
        <v>135756735.97860476</v>
      </c>
      <c r="AG156" s="350">
        <v>136870212.79129413</v>
      </c>
      <c r="AH156" s="350">
        <v>137937033.29941267</v>
      </c>
      <c r="AI156" s="350">
        <v>139006388.86611819</v>
      </c>
      <c r="AJ156" s="350">
        <v>140081601.23538801</v>
      </c>
      <c r="AK156" s="348">
        <v>689651972.17081785</v>
      </c>
      <c r="AL156" s="369"/>
      <c r="AM156" s="350">
        <v>168175684.06540924</v>
      </c>
      <c r="AN156" s="350">
        <v>202346713.09614629</v>
      </c>
      <c r="AO156" s="350">
        <v>236971126.39391339</v>
      </c>
      <c r="AP156" s="350">
        <v>272111684.37010932</v>
      </c>
      <c r="AQ156" s="350">
        <v>307777507.39244944</v>
      </c>
      <c r="AR156" s="348">
        <v>1187382715.3180277</v>
      </c>
      <c r="AS156" s="369"/>
      <c r="AT156" s="350">
        <f t="shared" si="99"/>
        <v>32418948.086804479</v>
      </c>
      <c r="AU156" s="350">
        <f t="shared" si="82"/>
        <v>65476500.304852158</v>
      </c>
      <c r="AV156" s="350">
        <f t="shared" si="83"/>
        <v>99034093.094500721</v>
      </c>
      <c r="AW156" s="350">
        <f t="shared" si="84"/>
        <v>133105295.50399113</v>
      </c>
      <c r="AX156" s="350">
        <f t="shared" si="85"/>
        <v>167695906.15706143</v>
      </c>
      <c r="AY156" s="350">
        <f t="shared" si="86"/>
        <v>497730743.14720988</v>
      </c>
      <c r="AZ156" s="365"/>
      <c r="BA156" s="377">
        <f t="shared" si="87"/>
        <v>0</v>
      </c>
      <c r="BB156" s="377">
        <f t="shared" si="88"/>
        <v>0</v>
      </c>
      <c r="BC156" s="377">
        <f t="shared" si="89"/>
        <v>0</v>
      </c>
      <c r="BD156" s="377">
        <f t="shared" si="90"/>
        <v>0</v>
      </c>
      <c r="BE156" s="377">
        <f t="shared" si="91"/>
        <v>0</v>
      </c>
      <c r="BF156" s="377">
        <f t="shared" si="92"/>
        <v>0</v>
      </c>
      <c r="BG156" s="328"/>
    </row>
    <row r="157" spans="2:59">
      <c r="B157" s="332">
        <v>142</v>
      </c>
      <c r="C157" s="350">
        <v>132921851.60503337</v>
      </c>
      <c r="D157" s="350">
        <v>134012076.69475023</v>
      </c>
      <c r="E157" s="350">
        <v>135056619.76104558</v>
      </c>
      <c r="F157" s="350">
        <v>136103644.94860646</v>
      </c>
      <c r="G157" s="350">
        <v>137156404.63645357</v>
      </c>
      <c r="H157" s="348">
        <v>675250597.64588928</v>
      </c>
      <c r="I157" s="369"/>
      <c r="J157" s="350">
        <v>167181012.16738316</v>
      </c>
      <c r="K157" s="350">
        <v>203214035.08592409</v>
      </c>
      <c r="L157" s="350">
        <v>239729937.52602851</v>
      </c>
      <c r="M157" s="350">
        <v>276791223.39515865</v>
      </c>
      <c r="N157" s="350">
        <v>314407274.18693328</v>
      </c>
      <c r="O157" s="348">
        <v>1201323482.3614278</v>
      </c>
      <c r="P157" s="369"/>
      <c r="Q157" s="350">
        <f t="shared" si="93"/>
        <v>34259160.562349796</v>
      </c>
      <c r="R157" s="350">
        <f t="shared" si="94"/>
        <v>69201958.391173854</v>
      </c>
      <c r="S157" s="350">
        <f t="shared" si="95"/>
        <v>104673317.76498294</v>
      </c>
      <c r="T157" s="350">
        <f t="shared" si="96"/>
        <v>140687578.44655219</v>
      </c>
      <c r="U157" s="350">
        <f t="shared" si="97"/>
        <v>177250869.55047971</v>
      </c>
      <c r="V157" s="350">
        <f t="shared" si="98"/>
        <v>526072884.7155385</v>
      </c>
      <c r="W157" s="365"/>
      <c r="X157" s="377">
        <f t="shared" si="76"/>
        <v>0</v>
      </c>
      <c r="Y157" s="377">
        <f t="shared" si="77"/>
        <v>0</v>
      </c>
      <c r="Z157" s="377">
        <f t="shared" si="78"/>
        <v>0</v>
      </c>
      <c r="AA157" s="377">
        <f t="shared" si="79"/>
        <v>0</v>
      </c>
      <c r="AB157" s="377">
        <f t="shared" si="80"/>
        <v>0</v>
      </c>
      <c r="AC157" s="377">
        <f t="shared" si="81"/>
        <v>0</v>
      </c>
      <c r="AD157" s="376"/>
      <c r="AE157" s="332">
        <v>142</v>
      </c>
      <c r="AF157" s="350">
        <v>132722206.83356063</v>
      </c>
      <c r="AG157" s="350">
        <v>133810794.4367675</v>
      </c>
      <c r="AH157" s="350">
        <v>134853768.62962899</v>
      </c>
      <c r="AI157" s="350">
        <v>135899221.21568173</v>
      </c>
      <c r="AJ157" s="350">
        <v>136950399.68896735</v>
      </c>
      <c r="AK157" s="348">
        <v>674236390.8046062</v>
      </c>
      <c r="AL157" s="369"/>
      <c r="AM157" s="350">
        <v>167276477.95614344</v>
      </c>
      <c r="AN157" s="350">
        <v>203583385.14464828</v>
      </c>
      <c r="AO157" s="350">
        <v>240377396.36364239</v>
      </c>
      <c r="AP157" s="350">
        <v>277721065.28738946</v>
      </c>
      <c r="AQ157" s="350">
        <v>315623817.43213868</v>
      </c>
      <c r="AR157" s="348">
        <v>1204582142.1839623</v>
      </c>
      <c r="AS157" s="369"/>
      <c r="AT157" s="350">
        <f t="shared" si="99"/>
        <v>34554271.122582808</v>
      </c>
      <c r="AU157" s="350">
        <f t="shared" si="82"/>
        <v>69772590.70788078</v>
      </c>
      <c r="AV157" s="350">
        <f t="shared" si="83"/>
        <v>105523627.73401341</v>
      </c>
      <c r="AW157" s="350">
        <f t="shared" si="84"/>
        <v>141821844.07170773</v>
      </c>
      <c r="AX157" s="350">
        <f t="shared" si="85"/>
        <v>178673417.74317133</v>
      </c>
      <c r="AY157" s="350">
        <f t="shared" si="86"/>
        <v>530345751.37935615</v>
      </c>
      <c r="AZ157" s="365"/>
      <c r="BA157" s="377">
        <f t="shared" si="87"/>
        <v>0</v>
      </c>
      <c r="BB157" s="377">
        <f t="shared" si="88"/>
        <v>0</v>
      </c>
      <c r="BC157" s="377">
        <f t="shared" si="89"/>
        <v>0</v>
      </c>
      <c r="BD157" s="377">
        <f t="shared" si="90"/>
        <v>0</v>
      </c>
      <c r="BE157" s="377">
        <f t="shared" si="91"/>
        <v>0</v>
      </c>
      <c r="BF157" s="377">
        <f t="shared" si="92"/>
        <v>0</v>
      </c>
      <c r="BG157" s="328"/>
    </row>
    <row r="158" spans="2:59">
      <c r="B158" s="332">
        <v>143</v>
      </c>
      <c r="C158" s="350">
        <v>106453289.1854541</v>
      </c>
      <c r="D158" s="350">
        <v>107326419.11368984</v>
      </c>
      <c r="E158" s="350">
        <v>108162963.62281545</v>
      </c>
      <c r="F158" s="350">
        <v>109001495.99149676</v>
      </c>
      <c r="G158" s="350">
        <v>109844620.95657906</v>
      </c>
      <c r="H158" s="348">
        <v>540788788.87003517</v>
      </c>
      <c r="I158" s="369"/>
      <c r="J158" s="350">
        <v>137403428.3311618</v>
      </c>
      <c r="K158" s="350">
        <v>169834553.56268451</v>
      </c>
      <c r="L158" s="350">
        <v>202706450.26364636</v>
      </c>
      <c r="M158" s="350">
        <v>236070645.88572186</v>
      </c>
      <c r="N158" s="350">
        <v>269935280.79359972</v>
      </c>
      <c r="O158" s="348">
        <v>1015950358.8368143</v>
      </c>
      <c r="P158" s="369"/>
      <c r="Q158" s="350">
        <f t="shared" si="93"/>
        <v>30950139.145707697</v>
      </c>
      <c r="R158" s="350">
        <f t="shared" si="94"/>
        <v>62508134.448994666</v>
      </c>
      <c r="S158" s="350">
        <f t="shared" si="95"/>
        <v>94543486.640830919</v>
      </c>
      <c r="T158" s="350">
        <f t="shared" si="96"/>
        <v>127069149.89422511</v>
      </c>
      <c r="U158" s="350">
        <f t="shared" si="97"/>
        <v>160090659.83702067</v>
      </c>
      <c r="V158" s="350">
        <f t="shared" si="98"/>
        <v>475161569.96677911</v>
      </c>
      <c r="W158" s="365"/>
      <c r="X158" s="377">
        <f t="shared" si="76"/>
        <v>0</v>
      </c>
      <c r="Y158" s="377">
        <f t="shared" si="77"/>
        <v>0</v>
      </c>
      <c r="Z158" s="377">
        <f t="shared" si="78"/>
        <v>0</v>
      </c>
      <c r="AA158" s="377">
        <f t="shared" si="79"/>
        <v>0</v>
      </c>
      <c r="AB158" s="377">
        <f t="shared" si="80"/>
        <v>0</v>
      </c>
      <c r="AC158" s="377">
        <f t="shared" si="81"/>
        <v>0</v>
      </c>
      <c r="AD158" s="376"/>
      <c r="AE158" s="332">
        <v>143</v>
      </c>
      <c r="AF158" s="350">
        <v>149254567.56126738</v>
      </c>
      <c r="AG158" s="350">
        <v>150478753.59498021</v>
      </c>
      <c r="AH158" s="350">
        <v>151651644.44608191</v>
      </c>
      <c r="AI158" s="350">
        <v>152827322.40804332</v>
      </c>
      <c r="AJ158" s="350">
        <v>154009439.49457359</v>
      </c>
      <c r="AK158" s="348">
        <v>758221727.50494647</v>
      </c>
      <c r="AL158" s="369"/>
      <c r="AM158" s="350">
        <v>181529737.69631362</v>
      </c>
      <c r="AN158" s="350">
        <v>215652546.55110162</v>
      </c>
      <c r="AO158" s="350">
        <v>250221691.07421696</v>
      </c>
      <c r="AP158" s="350">
        <v>285304761.74416018</v>
      </c>
      <c r="AQ158" s="350">
        <v>320911181.60106307</v>
      </c>
      <c r="AR158" s="348">
        <v>1253619918.6668553</v>
      </c>
      <c r="AS158" s="369"/>
      <c r="AT158" s="350">
        <f t="shared" si="99"/>
        <v>32275170.135046244</v>
      </c>
      <c r="AU158" s="350">
        <f t="shared" si="82"/>
        <v>65173792.956121415</v>
      </c>
      <c r="AV158" s="350">
        <f t="shared" si="83"/>
        <v>98570046.628135055</v>
      </c>
      <c r="AW158" s="350">
        <f t="shared" si="84"/>
        <v>132477439.33611685</v>
      </c>
      <c r="AX158" s="350">
        <f t="shared" si="85"/>
        <v>166901742.10648948</v>
      </c>
      <c r="AY158" s="350">
        <f t="shared" si="86"/>
        <v>495398191.16190886</v>
      </c>
      <c r="AZ158" s="365"/>
      <c r="BA158" s="377">
        <f t="shared" si="87"/>
        <v>0</v>
      </c>
      <c r="BB158" s="377">
        <f t="shared" si="88"/>
        <v>0</v>
      </c>
      <c r="BC158" s="377">
        <f t="shared" si="89"/>
        <v>0</v>
      </c>
      <c r="BD158" s="377">
        <f t="shared" si="90"/>
        <v>0</v>
      </c>
      <c r="BE158" s="377">
        <f t="shared" si="91"/>
        <v>0</v>
      </c>
      <c r="BF158" s="377">
        <f t="shared" si="92"/>
        <v>0</v>
      </c>
      <c r="BG158" s="328"/>
    </row>
    <row r="159" spans="2:59">
      <c r="B159" s="332">
        <v>144</v>
      </c>
      <c r="C159" s="350">
        <v>135839560.40436184</v>
      </c>
      <c r="D159" s="350">
        <v>136953716.54303044</v>
      </c>
      <c r="E159" s="350">
        <v>138021187.9123776</v>
      </c>
      <c r="F159" s="350">
        <v>139091195.88693681</v>
      </c>
      <c r="G159" s="350">
        <v>140167064.23726279</v>
      </c>
      <c r="H159" s="348">
        <v>690072724.98396945</v>
      </c>
      <c r="I159" s="369"/>
      <c r="J159" s="350">
        <v>173011116.29739556</v>
      </c>
      <c r="K159" s="350">
        <v>212074570.79598695</v>
      </c>
      <c r="L159" s="350">
        <v>251665396.4794029</v>
      </c>
      <c r="M159" s="350">
        <v>291848375.51797795</v>
      </c>
      <c r="N159" s="350">
        <v>332633487.33059841</v>
      </c>
      <c r="O159" s="348">
        <v>1261232946.4213617</v>
      </c>
      <c r="P159" s="369"/>
      <c r="Q159" s="350">
        <f t="shared" si="93"/>
        <v>37171555.893033713</v>
      </c>
      <c r="R159" s="350">
        <f t="shared" si="94"/>
        <v>75120854.25295651</v>
      </c>
      <c r="S159" s="350">
        <f t="shared" si="95"/>
        <v>113644208.5670253</v>
      </c>
      <c r="T159" s="350">
        <f t="shared" si="96"/>
        <v>152757179.63104114</v>
      </c>
      <c r="U159" s="350">
        <f t="shared" si="97"/>
        <v>192466423.09333563</v>
      </c>
      <c r="V159" s="350">
        <f t="shared" si="98"/>
        <v>571160221.43739223</v>
      </c>
      <c r="W159" s="365"/>
      <c r="X159" s="377">
        <f t="shared" si="76"/>
        <v>0</v>
      </c>
      <c r="Y159" s="377">
        <f t="shared" si="77"/>
        <v>0</v>
      </c>
      <c r="Z159" s="377">
        <f t="shared" si="78"/>
        <v>0</v>
      </c>
      <c r="AA159" s="377">
        <f t="shared" si="79"/>
        <v>0</v>
      </c>
      <c r="AB159" s="377">
        <f t="shared" si="80"/>
        <v>0</v>
      </c>
      <c r="AC159" s="377">
        <f t="shared" si="81"/>
        <v>0</v>
      </c>
      <c r="AD159" s="376"/>
      <c r="AE159" s="332">
        <v>144</v>
      </c>
      <c r="AF159" s="350">
        <v>129416930.89733072</v>
      </c>
      <c r="AG159" s="350">
        <v>130478408.62574568</v>
      </c>
      <c r="AH159" s="350">
        <v>131495408.88716027</v>
      </c>
      <c r="AI159" s="350">
        <v>132514825.82056987</v>
      </c>
      <c r="AJ159" s="350">
        <v>133539826.04535189</v>
      </c>
      <c r="AK159" s="348">
        <v>657445400.27615845</v>
      </c>
      <c r="AL159" s="369"/>
      <c r="AM159" s="350">
        <v>163035241.78551227</v>
      </c>
      <c r="AN159" s="350">
        <v>198374549.75391304</v>
      </c>
      <c r="AO159" s="350">
        <v>234187877.94323263</v>
      </c>
      <c r="AP159" s="350">
        <v>270536191.38701195</v>
      </c>
      <c r="AQ159" s="350">
        <v>307428669.43898934</v>
      </c>
      <c r="AR159" s="348">
        <v>1173562530.3086593</v>
      </c>
      <c r="AS159" s="369"/>
      <c r="AT159" s="350">
        <f t="shared" si="99"/>
        <v>33618310.888181552</v>
      </c>
      <c r="AU159" s="350">
        <f t="shared" si="82"/>
        <v>67896141.128167361</v>
      </c>
      <c r="AV159" s="350">
        <f t="shared" si="83"/>
        <v>102692469.05607235</v>
      </c>
      <c r="AW159" s="350">
        <f t="shared" si="84"/>
        <v>138021365.56644207</v>
      </c>
      <c r="AX159" s="350">
        <f t="shared" si="85"/>
        <v>173888843.39363745</v>
      </c>
      <c r="AY159" s="350">
        <f t="shared" si="86"/>
        <v>516117130.03250086</v>
      </c>
      <c r="AZ159" s="365"/>
      <c r="BA159" s="377">
        <f t="shared" si="87"/>
        <v>0</v>
      </c>
      <c r="BB159" s="377">
        <f t="shared" si="88"/>
        <v>0</v>
      </c>
      <c r="BC159" s="377">
        <f t="shared" si="89"/>
        <v>0</v>
      </c>
      <c r="BD159" s="377">
        <f t="shared" si="90"/>
        <v>0</v>
      </c>
      <c r="BE159" s="377">
        <f t="shared" si="91"/>
        <v>0</v>
      </c>
      <c r="BF159" s="377">
        <f t="shared" si="92"/>
        <v>0</v>
      </c>
      <c r="BG159" s="328"/>
    </row>
    <row r="160" spans="2:59">
      <c r="B160" s="332">
        <v>145</v>
      </c>
      <c r="C160" s="350">
        <v>143516205.1989598</v>
      </c>
      <c r="D160" s="350">
        <v>144693325.18186364</v>
      </c>
      <c r="E160" s="350">
        <v>145821122.11842027</v>
      </c>
      <c r="F160" s="350">
        <v>146951599.01030836</v>
      </c>
      <c r="G160" s="350">
        <v>148088267.46295074</v>
      </c>
      <c r="H160" s="348">
        <v>729070518.97250283</v>
      </c>
      <c r="I160" s="369"/>
      <c r="J160" s="350">
        <v>180988705.57356727</v>
      </c>
      <c r="K160" s="350">
        <v>220363306.36765113</v>
      </c>
      <c r="L160" s="350">
        <v>260266367.02779496</v>
      </c>
      <c r="M160" s="350">
        <v>300765574.05158395</v>
      </c>
      <c r="N160" s="350">
        <v>341871139.56269693</v>
      </c>
      <c r="O160" s="348">
        <v>1304255092.5832942</v>
      </c>
      <c r="P160" s="369"/>
      <c r="Q160" s="350">
        <f t="shared" si="93"/>
        <v>37472500.374607474</v>
      </c>
      <c r="R160" s="350">
        <f t="shared" si="94"/>
        <v>75669981.185787499</v>
      </c>
      <c r="S160" s="350">
        <f t="shared" si="95"/>
        <v>114445244.90937468</v>
      </c>
      <c r="T160" s="350">
        <f t="shared" si="96"/>
        <v>153813975.04127559</v>
      </c>
      <c r="U160" s="350">
        <f t="shared" si="97"/>
        <v>193782872.0997462</v>
      </c>
      <c r="V160" s="350">
        <f t="shared" si="98"/>
        <v>575184573.61079133</v>
      </c>
      <c r="W160" s="365"/>
      <c r="X160" s="377">
        <f t="shared" si="76"/>
        <v>0</v>
      </c>
      <c r="Y160" s="377">
        <f t="shared" si="77"/>
        <v>0</v>
      </c>
      <c r="Z160" s="377">
        <f t="shared" si="78"/>
        <v>0</v>
      </c>
      <c r="AA160" s="377">
        <f t="shared" si="79"/>
        <v>0</v>
      </c>
      <c r="AB160" s="377">
        <f t="shared" si="80"/>
        <v>0</v>
      </c>
      <c r="AC160" s="377">
        <f t="shared" si="81"/>
        <v>0</v>
      </c>
      <c r="AD160" s="376"/>
      <c r="AE160" s="332">
        <v>145</v>
      </c>
      <c r="AF160" s="350">
        <v>140303791.81807256</v>
      </c>
      <c r="AG160" s="350">
        <v>141454563.58490735</v>
      </c>
      <c r="AH160" s="350">
        <v>142557116.33412713</v>
      </c>
      <c r="AI160" s="350">
        <v>143662289.05155453</v>
      </c>
      <c r="AJ160" s="350">
        <v>144773514.74014223</v>
      </c>
      <c r="AK160" s="348">
        <v>712751275.52880383</v>
      </c>
      <c r="AL160" s="369"/>
      <c r="AM160" s="350">
        <v>171396169.85713556</v>
      </c>
      <c r="AN160" s="350">
        <v>204254912.91182438</v>
      </c>
      <c r="AO160" s="350">
        <v>237545064.71096355</v>
      </c>
      <c r="AP160" s="350">
        <v>271330478.22212464</v>
      </c>
      <c r="AQ160" s="350">
        <v>305620148.27102059</v>
      </c>
      <c r="AR160" s="348">
        <v>1190146773.9730687</v>
      </c>
      <c r="AS160" s="369"/>
      <c r="AT160" s="350">
        <f t="shared" si="99"/>
        <v>31092378.039063007</v>
      </c>
      <c r="AU160" s="350">
        <f t="shared" si="82"/>
        <v>62800349.326917022</v>
      </c>
      <c r="AV160" s="350">
        <f t="shared" si="83"/>
        <v>94987948.376836419</v>
      </c>
      <c r="AW160" s="350">
        <f t="shared" si="84"/>
        <v>127668189.17057011</v>
      </c>
      <c r="AX160" s="350">
        <f t="shared" si="85"/>
        <v>160846633.53087837</v>
      </c>
      <c r="AY160" s="350">
        <f t="shared" si="86"/>
        <v>477395498.44426489</v>
      </c>
      <c r="AZ160" s="365"/>
      <c r="BA160" s="377">
        <f t="shared" si="87"/>
        <v>0</v>
      </c>
      <c r="BB160" s="377">
        <f t="shared" si="88"/>
        <v>0</v>
      </c>
      <c r="BC160" s="377">
        <f t="shared" si="89"/>
        <v>0</v>
      </c>
      <c r="BD160" s="377">
        <f t="shared" si="90"/>
        <v>0</v>
      </c>
      <c r="BE160" s="377">
        <f t="shared" si="91"/>
        <v>0</v>
      </c>
      <c r="BF160" s="377">
        <f t="shared" si="92"/>
        <v>0</v>
      </c>
      <c r="BG160" s="328"/>
    </row>
    <row r="161" spans="2:59">
      <c r="B161" s="332">
        <v>146</v>
      </c>
      <c r="C161" s="350">
        <v>131860091.11655137</v>
      </c>
      <c r="D161" s="350">
        <v>132941607.64623967</v>
      </c>
      <c r="E161" s="350">
        <v>133977807.05388957</v>
      </c>
      <c r="F161" s="350">
        <v>135016468.75598004</v>
      </c>
      <c r="G161" s="350">
        <v>136060819.15199941</v>
      </c>
      <c r="H161" s="348">
        <v>669856793.72466016</v>
      </c>
      <c r="I161" s="369"/>
      <c r="J161" s="350">
        <v>170011231.95082173</v>
      </c>
      <c r="K161" s="350">
        <v>210012764.45093974</v>
      </c>
      <c r="L161" s="350">
        <v>250557706.18758291</v>
      </c>
      <c r="M161" s="350">
        <v>291709805.81634402</v>
      </c>
      <c r="N161" s="350">
        <v>333479116.2998029</v>
      </c>
      <c r="O161" s="348">
        <v>1255770624.7054913</v>
      </c>
      <c r="P161" s="369"/>
      <c r="Q161" s="350">
        <f t="shared" si="93"/>
        <v>38151140.834270358</v>
      </c>
      <c r="R161" s="350">
        <f t="shared" si="94"/>
        <v>77071156.804700077</v>
      </c>
      <c r="S161" s="350">
        <f t="shared" si="95"/>
        <v>116579899.13369334</v>
      </c>
      <c r="T161" s="350">
        <f t="shared" si="96"/>
        <v>156693337.06036398</v>
      </c>
      <c r="U161" s="350">
        <f t="shared" si="97"/>
        <v>197418297.14780349</v>
      </c>
      <c r="V161" s="350">
        <f t="shared" si="98"/>
        <v>585913830.98083115</v>
      </c>
      <c r="W161" s="365"/>
      <c r="X161" s="377">
        <f t="shared" si="76"/>
        <v>0</v>
      </c>
      <c r="Y161" s="377">
        <f t="shared" si="77"/>
        <v>0</v>
      </c>
      <c r="Z161" s="377">
        <f t="shared" si="78"/>
        <v>0</v>
      </c>
      <c r="AA161" s="377">
        <f t="shared" si="79"/>
        <v>0</v>
      </c>
      <c r="AB161" s="377">
        <f t="shared" si="80"/>
        <v>0</v>
      </c>
      <c r="AC161" s="377">
        <f t="shared" si="81"/>
        <v>0</v>
      </c>
      <c r="AD161" s="376"/>
      <c r="AE161" s="332">
        <v>146</v>
      </c>
      <c r="AF161" s="350">
        <v>122268937.56185934</v>
      </c>
      <c r="AG161" s="350">
        <v>123271787.44555685</v>
      </c>
      <c r="AH161" s="350">
        <v>124232616.45456764</v>
      </c>
      <c r="AI161" s="350">
        <v>125195728.65724723</v>
      </c>
      <c r="AJ161" s="350">
        <v>126164115.77333629</v>
      </c>
      <c r="AK161" s="348">
        <v>621133185.8925674</v>
      </c>
      <c r="AL161" s="369"/>
      <c r="AM161" s="350">
        <v>156224240.75079584</v>
      </c>
      <c r="AN161" s="350">
        <v>191841856.67599174</v>
      </c>
      <c r="AO161" s="350">
        <v>227941042.93221703</v>
      </c>
      <c r="AP161" s="350">
        <v>264580315.15952176</v>
      </c>
      <c r="AQ161" s="350">
        <v>301768737.06632632</v>
      </c>
      <c r="AR161" s="348">
        <v>1142356192.5848527</v>
      </c>
      <c r="AS161" s="369"/>
      <c r="AT161" s="350">
        <f t="shared" si="99"/>
        <v>33955303.188936502</v>
      </c>
      <c r="AU161" s="350">
        <f t="shared" si="82"/>
        <v>68570069.230434895</v>
      </c>
      <c r="AV161" s="350">
        <f t="shared" si="83"/>
        <v>103708426.47764939</v>
      </c>
      <c r="AW161" s="350">
        <f t="shared" si="84"/>
        <v>139384586.50227451</v>
      </c>
      <c r="AX161" s="350">
        <f t="shared" si="85"/>
        <v>175604621.29299003</v>
      </c>
      <c r="AY161" s="350">
        <f t="shared" si="86"/>
        <v>521223006.6922853</v>
      </c>
      <c r="AZ161" s="365"/>
      <c r="BA161" s="377">
        <f t="shared" si="87"/>
        <v>0</v>
      </c>
      <c r="BB161" s="377">
        <f t="shared" si="88"/>
        <v>0</v>
      </c>
      <c r="BC161" s="377">
        <f t="shared" si="89"/>
        <v>0</v>
      </c>
      <c r="BD161" s="377">
        <f t="shared" si="90"/>
        <v>0</v>
      </c>
      <c r="BE161" s="377">
        <f t="shared" si="91"/>
        <v>0</v>
      </c>
      <c r="BF161" s="377">
        <f t="shared" si="92"/>
        <v>0</v>
      </c>
      <c r="BG161" s="328"/>
    </row>
    <row r="162" spans="2:59">
      <c r="B162" s="332">
        <v>147</v>
      </c>
      <c r="C162" s="350">
        <v>126781066.67117187</v>
      </c>
      <c r="D162" s="350">
        <v>127820925.03995751</v>
      </c>
      <c r="E162" s="350">
        <v>128817211.82448414</v>
      </c>
      <c r="F162" s="350">
        <v>129815866.06009459</v>
      </c>
      <c r="G162" s="350">
        <v>130819989.87090531</v>
      </c>
      <c r="H162" s="348">
        <v>644055059.46661341</v>
      </c>
      <c r="I162" s="369"/>
      <c r="J162" s="350">
        <v>153126534.10056356</v>
      </c>
      <c r="K162" s="350">
        <v>181043417.60310933</v>
      </c>
      <c r="L162" s="350">
        <v>209323287.01273531</v>
      </c>
      <c r="M162" s="350">
        <v>238023109.03909546</v>
      </c>
      <c r="N162" s="350">
        <v>267150700.01737636</v>
      </c>
      <c r="O162" s="348">
        <v>1048667047.7728801</v>
      </c>
      <c r="P162" s="369"/>
      <c r="Q162" s="350">
        <f t="shared" si="93"/>
        <v>26345467.429391682</v>
      </c>
      <c r="R162" s="350">
        <f t="shared" si="94"/>
        <v>53222492.563151821</v>
      </c>
      <c r="S162" s="350">
        <f t="shared" si="95"/>
        <v>80506075.188251168</v>
      </c>
      <c r="T162" s="350">
        <f t="shared" si="96"/>
        <v>108207242.97900087</v>
      </c>
      <c r="U162" s="350">
        <f t="shared" si="97"/>
        <v>136330710.14647105</v>
      </c>
      <c r="V162" s="350">
        <f t="shared" si="98"/>
        <v>404611988.30626667</v>
      </c>
      <c r="W162" s="365"/>
      <c r="X162" s="377">
        <f t="shared" si="76"/>
        <v>0</v>
      </c>
      <c r="Y162" s="377">
        <f t="shared" si="77"/>
        <v>0</v>
      </c>
      <c r="Z162" s="377">
        <f t="shared" si="78"/>
        <v>0</v>
      </c>
      <c r="AA162" s="377">
        <f t="shared" si="79"/>
        <v>0</v>
      </c>
      <c r="AB162" s="377">
        <f t="shared" si="80"/>
        <v>0</v>
      </c>
      <c r="AC162" s="377">
        <f t="shared" si="81"/>
        <v>0</v>
      </c>
      <c r="AD162" s="376"/>
      <c r="AE162" s="332">
        <v>147</v>
      </c>
      <c r="AF162" s="350">
        <v>112962977.6578477</v>
      </c>
      <c r="AG162" s="350">
        <v>113889500.05401216</v>
      </c>
      <c r="AH162" s="350">
        <v>114777199.80868599</v>
      </c>
      <c r="AI162" s="350">
        <v>115667008.98183152</v>
      </c>
      <c r="AJ162" s="350">
        <v>116561691.59166093</v>
      </c>
      <c r="AK162" s="348">
        <v>573858378.09403837</v>
      </c>
      <c r="AL162" s="369"/>
      <c r="AM162" s="350">
        <v>144441718.8970958</v>
      </c>
      <c r="AN162" s="350">
        <v>177453447.92494839</v>
      </c>
      <c r="AO162" s="350">
        <v>210911680.53216836</v>
      </c>
      <c r="AP162" s="350">
        <v>244870523.54386702</v>
      </c>
      <c r="AQ162" s="350">
        <v>279338369.35295457</v>
      </c>
      <c r="AR162" s="348">
        <v>1057015740.251034</v>
      </c>
      <c r="AS162" s="369"/>
      <c r="AT162" s="350">
        <f t="shared" si="99"/>
        <v>31478741.239248097</v>
      </c>
      <c r="AU162" s="350">
        <f t="shared" si="82"/>
        <v>63563947.87093623</v>
      </c>
      <c r="AV162" s="350">
        <f t="shared" si="83"/>
        <v>96134480.72348237</v>
      </c>
      <c r="AW162" s="350">
        <f t="shared" si="84"/>
        <v>129203514.5620355</v>
      </c>
      <c r="AX162" s="350">
        <f t="shared" si="85"/>
        <v>162776677.76129365</v>
      </c>
      <c r="AY162" s="350">
        <f t="shared" si="86"/>
        <v>483157362.15699565</v>
      </c>
      <c r="AZ162" s="365"/>
      <c r="BA162" s="377">
        <f t="shared" si="87"/>
        <v>0</v>
      </c>
      <c r="BB162" s="377">
        <f t="shared" si="88"/>
        <v>0</v>
      </c>
      <c r="BC162" s="377">
        <f t="shared" si="89"/>
        <v>0</v>
      </c>
      <c r="BD162" s="377">
        <f t="shared" si="90"/>
        <v>0</v>
      </c>
      <c r="BE162" s="377">
        <f t="shared" si="91"/>
        <v>0</v>
      </c>
      <c r="BF162" s="377">
        <f t="shared" si="92"/>
        <v>0</v>
      </c>
      <c r="BG162" s="328"/>
    </row>
    <row r="163" spans="2:59">
      <c r="B163" s="332">
        <v>148</v>
      </c>
      <c r="C163" s="350">
        <v>154473280.49237168</v>
      </c>
      <c r="D163" s="350">
        <v>155740270.41201311</v>
      </c>
      <c r="E163" s="350">
        <v>156954171.60371223</v>
      </c>
      <c r="F163" s="350">
        <v>158170957.3581062</v>
      </c>
      <c r="G163" s="350">
        <v>159394407.38222322</v>
      </c>
      <c r="H163" s="348">
        <v>784733087.24842656</v>
      </c>
      <c r="I163" s="369"/>
      <c r="J163" s="350">
        <v>196355326.41664493</v>
      </c>
      <c r="K163" s="350">
        <v>240302398.18049201</v>
      </c>
      <c r="L163" s="350">
        <v>284841963.20001477</v>
      </c>
      <c r="M163" s="350">
        <v>330047523.12318885</v>
      </c>
      <c r="N163" s="350">
        <v>375930344.7824738</v>
      </c>
      <c r="O163" s="348">
        <v>1427477555.7028146</v>
      </c>
      <c r="P163" s="369"/>
      <c r="Q163" s="350">
        <f t="shared" si="93"/>
        <v>41882045.924273252</v>
      </c>
      <c r="R163" s="350">
        <f t="shared" si="94"/>
        <v>84562127.7684789</v>
      </c>
      <c r="S163" s="350">
        <f t="shared" si="95"/>
        <v>127887791.59630254</v>
      </c>
      <c r="T163" s="350">
        <f t="shared" si="96"/>
        <v>171876565.76508266</v>
      </c>
      <c r="U163" s="350">
        <f t="shared" si="97"/>
        <v>216535937.40025058</v>
      </c>
      <c r="V163" s="350">
        <f t="shared" si="98"/>
        <v>642744468.45438802</v>
      </c>
      <c r="W163" s="365"/>
      <c r="X163" s="377">
        <f t="shared" si="76"/>
        <v>0</v>
      </c>
      <c r="Y163" s="377">
        <f t="shared" si="77"/>
        <v>0</v>
      </c>
      <c r="Z163" s="377">
        <f t="shared" si="78"/>
        <v>0</v>
      </c>
      <c r="AA163" s="377">
        <f t="shared" si="79"/>
        <v>0</v>
      </c>
      <c r="AB163" s="377">
        <f t="shared" si="80"/>
        <v>0</v>
      </c>
      <c r="AC163" s="377">
        <f t="shared" si="81"/>
        <v>0</v>
      </c>
      <c r="AD163" s="376"/>
      <c r="AE163" s="332">
        <v>148</v>
      </c>
      <c r="AF163" s="350">
        <v>112294437.69162706</v>
      </c>
      <c r="AG163" s="350">
        <v>113215476.72267245</v>
      </c>
      <c r="AH163" s="350">
        <v>114097922.87323359</v>
      </c>
      <c r="AI163" s="350">
        <v>114982465.95825988</v>
      </c>
      <c r="AJ163" s="350">
        <v>115871853.63789046</v>
      </c>
      <c r="AK163" s="348">
        <v>570462156.88368344</v>
      </c>
      <c r="AL163" s="369"/>
      <c r="AM163" s="350">
        <v>143649368.03101307</v>
      </c>
      <c r="AN163" s="350">
        <v>176556075.59975767</v>
      </c>
      <c r="AO163" s="350">
        <v>209908023.21160346</v>
      </c>
      <c r="AP163" s="350">
        <v>243759025.10945624</v>
      </c>
      <c r="AQ163" s="350">
        <v>278117439.26001155</v>
      </c>
      <c r="AR163" s="348">
        <v>1051989931.2118419</v>
      </c>
      <c r="AS163" s="369"/>
      <c r="AT163" s="350">
        <f t="shared" si="99"/>
        <v>31354930.339386016</v>
      </c>
      <c r="AU163" s="350">
        <f t="shared" si="82"/>
        <v>63340598.877085224</v>
      </c>
      <c r="AV163" s="350">
        <f t="shared" si="83"/>
        <v>95810100.338369876</v>
      </c>
      <c r="AW163" s="350">
        <f t="shared" si="84"/>
        <v>128776559.15119636</v>
      </c>
      <c r="AX163" s="350">
        <f t="shared" si="85"/>
        <v>162245585.6221211</v>
      </c>
      <c r="AY163" s="350">
        <f t="shared" si="86"/>
        <v>481527774.3281585</v>
      </c>
      <c r="AZ163" s="365"/>
      <c r="BA163" s="377">
        <f t="shared" si="87"/>
        <v>0</v>
      </c>
      <c r="BB163" s="377">
        <f t="shared" si="88"/>
        <v>0</v>
      </c>
      <c r="BC163" s="377">
        <f t="shared" si="89"/>
        <v>0</v>
      </c>
      <c r="BD163" s="377">
        <f t="shared" si="90"/>
        <v>0</v>
      </c>
      <c r="BE163" s="377">
        <f t="shared" si="91"/>
        <v>0</v>
      </c>
      <c r="BF163" s="377">
        <f t="shared" si="92"/>
        <v>0</v>
      </c>
      <c r="BG163" s="328"/>
    </row>
    <row r="164" spans="2:59">
      <c r="B164" s="332">
        <v>149</v>
      </c>
      <c r="C164" s="350">
        <v>124626702.61036713</v>
      </c>
      <c r="D164" s="350">
        <v>125648890.8841074</v>
      </c>
      <c r="E164" s="350">
        <v>126628247.97637638</v>
      </c>
      <c r="F164" s="350">
        <v>127609932.29012974</v>
      </c>
      <c r="G164" s="350">
        <v>128596993.23573975</v>
      </c>
      <c r="H164" s="348">
        <v>633110766.99672043</v>
      </c>
      <c r="I164" s="369"/>
      <c r="J164" s="350">
        <v>153785350.04314479</v>
      </c>
      <c r="K164" s="350">
        <v>184548700.64895695</v>
      </c>
      <c r="L164" s="350">
        <v>215719099.48519269</v>
      </c>
      <c r="M164" s="350">
        <v>247353909.84635317</v>
      </c>
      <c r="N164" s="350">
        <v>279461397.85356069</v>
      </c>
      <c r="O164" s="348">
        <v>1080868457.8772082</v>
      </c>
      <c r="P164" s="369"/>
      <c r="Q164" s="350">
        <f t="shared" si="93"/>
        <v>29158647.432777658</v>
      </c>
      <c r="R164" s="350">
        <f t="shared" si="94"/>
        <v>58899809.764849558</v>
      </c>
      <c r="S164" s="350">
        <f t="shared" si="95"/>
        <v>89090851.508816302</v>
      </c>
      <c r="T164" s="350">
        <f t="shared" si="96"/>
        <v>119743977.55622344</v>
      </c>
      <c r="U164" s="350">
        <f t="shared" si="97"/>
        <v>150864404.61782092</v>
      </c>
      <c r="V164" s="350">
        <f t="shared" si="98"/>
        <v>447757690.8804878</v>
      </c>
      <c r="W164" s="365"/>
      <c r="X164" s="377">
        <f t="shared" si="76"/>
        <v>0</v>
      </c>
      <c r="Y164" s="377">
        <f t="shared" si="77"/>
        <v>0</v>
      </c>
      <c r="Z164" s="377">
        <f t="shared" si="78"/>
        <v>0</v>
      </c>
      <c r="AA164" s="377">
        <f t="shared" si="79"/>
        <v>0</v>
      </c>
      <c r="AB164" s="377">
        <f t="shared" si="80"/>
        <v>0</v>
      </c>
      <c r="AC164" s="377">
        <f t="shared" si="81"/>
        <v>0</v>
      </c>
      <c r="AD164" s="376"/>
      <c r="AE164" s="332">
        <v>149</v>
      </c>
      <c r="AF164" s="350">
        <v>155268609.09306848</v>
      </c>
      <c r="AG164" s="350">
        <v>156542122.29826888</v>
      </c>
      <c r="AH164" s="350">
        <v>157762273.44033548</v>
      </c>
      <c r="AI164" s="350">
        <v>158985323.99669582</v>
      </c>
      <c r="AJ164" s="350">
        <v>160215073.13476065</v>
      </c>
      <c r="AK164" s="348">
        <v>788773401.96312928</v>
      </c>
      <c r="AL164" s="369"/>
      <c r="AM164" s="350">
        <v>190453835.0360857</v>
      </c>
      <c r="AN164" s="350">
        <v>227637643.07775846</v>
      </c>
      <c r="AO164" s="350">
        <v>265311296.03674704</v>
      </c>
      <c r="AP164" s="350">
        <v>303545784.04922903</v>
      </c>
      <c r="AQ164" s="350">
        <v>342351204.57784247</v>
      </c>
      <c r="AR164" s="348">
        <v>1329299762.7776628</v>
      </c>
      <c r="AS164" s="369"/>
      <c r="AT164" s="350">
        <f t="shared" si="99"/>
        <v>35185225.943017215</v>
      </c>
      <c r="AU164" s="350">
        <f t="shared" si="82"/>
        <v>71095520.779489577</v>
      </c>
      <c r="AV164" s="350">
        <f t="shared" si="83"/>
        <v>107549022.59641156</v>
      </c>
      <c r="AW164" s="350">
        <f t="shared" si="84"/>
        <v>144560460.05253321</v>
      </c>
      <c r="AX164" s="350">
        <f t="shared" si="85"/>
        <v>182136131.44308183</v>
      </c>
      <c r="AY164" s="350">
        <f t="shared" si="86"/>
        <v>540526360.81453347</v>
      </c>
      <c r="AZ164" s="365"/>
      <c r="BA164" s="377">
        <f t="shared" si="87"/>
        <v>0</v>
      </c>
      <c r="BB164" s="377">
        <f t="shared" si="88"/>
        <v>0</v>
      </c>
      <c r="BC164" s="377">
        <f t="shared" si="89"/>
        <v>0</v>
      </c>
      <c r="BD164" s="377">
        <f t="shared" si="90"/>
        <v>0</v>
      </c>
      <c r="BE164" s="377">
        <f t="shared" si="91"/>
        <v>0</v>
      </c>
      <c r="BF164" s="377">
        <f t="shared" si="92"/>
        <v>0</v>
      </c>
      <c r="BG164" s="328"/>
    </row>
    <row r="165" spans="2:59">
      <c r="B165" s="332">
        <v>150</v>
      </c>
      <c r="C165" s="350">
        <v>123068868.82858345</v>
      </c>
      <c r="D165" s="350">
        <v>124078279.74890888</v>
      </c>
      <c r="E165" s="350">
        <v>125045394.8775311</v>
      </c>
      <c r="F165" s="350">
        <v>126014808.1373692</v>
      </c>
      <c r="G165" s="350">
        <v>126989530.8211658</v>
      </c>
      <c r="H165" s="348">
        <v>625196882.41355848</v>
      </c>
      <c r="I165" s="369"/>
      <c r="J165" s="350">
        <v>153394057.05582494</v>
      </c>
      <c r="K165" s="350">
        <v>185328583.18095845</v>
      </c>
      <c r="L165" s="350">
        <v>217688599.25420308</v>
      </c>
      <c r="M165" s="350">
        <v>250531392.03985199</v>
      </c>
      <c r="N165" s="350">
        <v>283865397.34526658</v>
      </c>
      <c r="O165" s="348">
        <v>1090808028.8761051</v>
      </c>
      <c r="P165" s="369"/>
      <c r="Q165" s="350">
        <f t="shared" si="93"/>
        <v>30325188.227241486</v>
      </c>
      <c r="R165" s="350">
        <f t="shared" si="94"/>
        <v>61250303.432049572</v>
      </c>
      <c r="S165" s="350">
        <f t="shared" si="95"/>
        <v>92643204.376671985</v>
      </c>
      <c r="T165" s="350">
        <f t="shared" si="96"/>
        <v>124516583.90248279</v>
      </c>
      <c r="U165" s="350">
        <f t="shared" si="97"/>
        <v>156875866.52410078</v>
      </c>
      <c r="V165" s="350">
        <f t="shared" si="98"/>
        <v>465611146.46254659</v>
      </c>
      <c r="W165" s="365"/>
      <c r="X165" s="377">
        <f t="shared" si="76"/>
        <v>0</v>
      </c>
      <c r="Y165" s="377">
        <f t="shared" si="77"/>
        <v>0</v>
      </c>
      <c r="Z165" s="377">
        <f t="shared" si="78"/>
        <v>0</v>
      </c>
      <c r="AA165" s="377">
        <f t="shared" si="79"/>
        <v>0</v>
      </c>
      <c r="AB165" s="377">
        <f t="shared" si="80"/>
        <v>0</v>
      </c>
      <c r="AC165" s="377">
        <f t="shared" si="81"/>
        <v>0</v>
      </c>
      <c r="AD165" s="376"/>
      <c r="AE165" s="332">
        <v>150</v>
      </c>
      <c r="AF165" s="350">
        <v>120034715.18819796</v>
      </c>
      <c r="AG165" s="350">
        <v>121019239.97893026</v>
      </c>
      <c r="AH165" s="350">
        <v>121962511.74313292</v>
      </c>
      <c r="AI165" s="350">
        <v>122908024.98016778</v>
      </c>
      <c r="AJ165" s="350">
        <v>123858716.74202973</v>
      </c>
      <c r="AK165" s="348">
        <v>609783208.63245869</v>
      </c>
      <c r="AL165" s="369"/>
      <c r="AM165" s="350">
        <v>154745760.60648757</v>
      </c>
      <c r="AN165" s="350">
        <v>191124468.97440612</v>
      </c>
      <c r="AO165" s="350">
        <v>227997309.33890569</v>
      </c>
      <c r="AP165" s="350">
        <v>265422304.57754841</v>
      </c>
      <c r="AQ165" s="350">
        <v>303408600.24851173</v>
      </c>
      <c r="AR165" s="348">
        <v>1142698443.7458594</v>
      </c>
      <c r="AS165" s="369"/>
      <c r="AT165" s="350">
        <f t="shared" si="99"/>
        <v>34711045.418289617</v>
      </c>
      <c r="AU165" s="350">
        <f t="shared" si="82"/>
        <v>70105228.995475858</v>
      </c>
      <c r="AV165" s="350">
        <f t="shared" si="83"/>
        <v>106034797.59577277</v>
      </c>
      <c r="AW165" s="350">
        <f t="shared" si="84"/>
        <v>142514279.59738064</v>
      </c>
      <c r="AX165" s="350">
        <f t="shared" si="85"/>
        <v>179549883.50648201</v>
      </c>
      <c r="AY165" s="350">
        <f t="shared" si="86"/>
        <v>532915235.1134007</v>
      </c>
      <c r="AZ165" s="365"/>
      <c r="BA165" s="377">
        <f t="shared" si="87"/>
        <v>0</v>
      </c>
      <c r="BB165" s="377">
        <f t="shared" si="88"/>
        <v>0</v>
      </c>
      <c r="BC165" s="377">
        <f t="shared" si="89"/>
        <v>0</v>
      </c>
      <c r="BD165" s="377">
        <f t="shared" si="90"/>
        <v>0</v>
      </c>
      <c r="BE165" s="377">
        <f t="shared" si="91"/>
        <v>0</v>
      </c>
      <c r="BF165" s="377">
        <f t="shared" si="92"/>
        <v>0</v>
      </c>
      <c r="BG165" s="328"/>
    </row>
    <row r="166" spans="2:59">
      <c r="B166" s="332">
        <v>151</v>
      </c>
      <c r="C166" s="350">
        <v>131623262.40530309</v>
      </c>
      <c r="D166" s="350">
        <v>132702836.46578977</v>
      </c>
      <c r="E166" s="350">
        <v>133737174.79653433</v>
      </c>
      <c r="F166" s="350">
        <v>134773970.99928954</v>
      </c>
      <c r="G166" s="350">
        <v>135816445.67873475</v>
      </c>
      <c r="H166" s="348">
        <v>668653690.34565151</v>
      </c>
      <c r="I166" s="369"/>
      <c r="J166" s="350">
        <v>163894272.40177765</v>
      </c>
      <c r="K166" s="350">
        <v>197863988.90941352</v>
      </c>
      <c r="L166" s="350">
        <v>232285970.30112794</v>
      </c>
      <c r="M166" s="350">
        <v>267221416.38696492</v>
      </c>
      <c r="N166" s="350">
        <v>302679317.40698159</v>
      </c>
      <c r="O166" s="348">
        <v>1163944965.4062657</v>
      </c>
      <c r="P166" s="369"/>
      <c r="Q166" s="350">
        <f t="shared" si="93"/>
        <v>32271009.996474564</v>
      </c>
      <c r="R166" s="350">
        <f t="shared" si="94"/>
        <v>65161152.443623751</v>
      </c>
      <c r="S166" s="350">
        <f t="shared" si="95"/>
        <v>98548795.504593611</v>
      </c>
      <c r="T166" s="350">
        <f t="shared" si="96"/>
        <v>132447445.38767537</v>
      </c>
      <c r="U166" s="350">
        <f t="shared" si="97"/>
        <v>166862871.72824684</v>
      </c>
      <c r="V166" s="350">
        <f t="shared" si="98"/>
        <v>495291275.06061423</v>
      </c>
      <c r="W166" s="365"/>
      <c r="X166" s="377">
        <f t="shared" si="76"/>
        <v>0</v>
      </c>
      <c r="Y166" s="377">
        <f t="shared" si="77"/>
        <v>0</v>
      </c>
      <c r="Z166" s="377">
        <f t="shared" si="78"/>
        <v>0</v>
      </c>
      <c r="AA166" s="377">
        <f t="shared" si="79"/>
        <v>0</v>
      </c>
      <c r="AB166" s="377">
        <f t="shared" si="80"/>
        <v>0</v>
      </c>
      <c r="AC166" s="377">
        <f t="shared" si="81"/>
        <v>0</v>
      </c>
      <c r="AD166" s="376"/>
      <c r="AE166" s="332">
        <v>151</v>
      </c>
      <c r="AF166" s="350">
        <v>114923624.99100663</v>
      </c>
      <c r="AG166" s="350">
        <v>115866228.61752471</v>
      </c>
      <c r="AH166" s="350">
        <v>116769335.77551544</v>
      </c>
      <c r="AI166" s="350">
        <v>117674588.9642005</v>
      </c>
      <c r="AJ166" s="350">
        <v>118584800.17560682</v>
      </c>
      <c r="AK166" s="348">
        <v>583818578.52385414</v>
      </c>
      <c r="AL166" s="369"/>
      <c r="AM166" s="350">
        <v>142699186.44129756</v>
      </c>
      <c r="AN166" s="350">
        <v>171971152.42372417</v>
      </c>
      <c r="AO166" s="350">
        <v>201632145.26958048</v>
      </c>
      <c r="AP166" s="350">
        <v>231735433.39319393</v>
      </c>
      <c r="AQ166" s="350">
        <v>262288797.88702428</v>
      </c>
      <c r="AR166" s="348">
        <v>1010326715.4148204</v>
      </c>
      <c r="AS166" s="369"/>
      <c r="AT166" s="350">
        <f t="shared" si="99"/>
        <v>27775561.450290933</v>
      </c>
      <c r="AU166" s="350">
        <f t="shared" si="82"/>
        <v>56104923.806199461</v>
      </c>
      <c r="AV166" s="350">
        <f t="shared" si="83"/>
        <v>84862809.494065046</v>
      </c>
      <c r="AW166" s="350">
        <f t="shared" si="84"/>
        <v>114060844.42899343</v>
      </c>
      <c r="AX166" s="350">
        <f t="shared" si="85"/>
        <v>143703997.71141747</v>
      </c>
      <c r="AY166" s="350">
        <f t="shared" si="86"/>
        <v>426508136.8909663</v>
      </c>
      <c r="AZ166" s="365"/>
      <c r="BA166" s="377">
        <f t="shared" si="87"/>
        <v>0</v>
      </c>
      <c r="BB166" s="377">
        <f t="shared" si="88"/>
        <v>0</v>
      </c>
      <c r="BC166" s="377">
        <f t="shared" si="89"/>
        <v>0</v>
      </c>
      <c r="BD166" s="377">
        <f t="shared" si="90"/>
        <v>0</v>
      </c>
      <c r="BE166" s="377">
        <f t="shared" si="91"/>
        <v>0</v>
      </c>
      <c r="BF166" s="377">
        <f t="shared" si="92"/>
        <v>0</v>
      </c>
      <c r="BG166" s="328"/>
    </row>
    <row r="167" spans="2:59">
      <c r="B167" s="332">
        <v>152</v>
      </c>
      <c r="C167" s="350">
        <v>149994993.31993634</v>
      </c>
      <c r="D167" s="350">
        <v>151225252.32607192</v>
      </c>
      <c r="E167" s="350">
        <v>152403961.68318284</v>
      </c>
      <c r="F167" s="350">
        <v>153585471.97752219</v>
      </c>
      <c r="G167" s="350">
        <v>154773453.33979917</v>
      </c>
      <c r="H167" s="348">
        <v>761983132.64651251</v>
      </c>
      <c r="I167" s="369"/>
      <c r="J167" s="350">
        <v>182226117.20181778</v>
      </c>
      <c r="K167" s="350">
        <v>216363704.90411681</v>
      </c>
      <c r="L167" s="350">
        <v>250947530.29174152</v>
      </c>
      <c r="M167" s="350">
        <v>286045436.67965889</v>
      </c>
      <c r="N167" s="350">
        <v>321666865.53128868</v>
      </c>
      <c r="O167" s="348">
        <v>1257249654.6086237</v>
      </c>
      <c r="P167" s="369"/>
      <c r="Q167" s="350">
        <f t="shared" si="93"/>
        <v>32231123.881881446</v>
      </c>
      <c r="R167" s="350">
        <f t="shared" si="94"/>
        <v>65138452.578044891</v>
      </c>
      <c r="S167" s="350">
        <f t="shared" si="95"/>
        <v>98543568.608558685</v>
      </c>
      <c r="T167" s="350">
        <f t="shared" si="96"/>
        <v>132459964.7021367</v>
      </c>
      <c r="U167" s="350">
        <f t="shared" si="97"/>
        <v>166893412.19148952</v>
      </c>
      <c r="V167" s="350">
        <f t="shared" si="98"/>
        <v>495266521.96211123</v>
      </c>
      <c r="W167" s="365"/>
      <c r="X167" s="377">
        <f t="shared" si="76"/>
        <v>0</v>
      </c>
      <c r="Y167" s="377">
        <f t="shared" si="77"/>
        <v>0</v>
      </c>
      <c r="Z167" s="377">
        <f t="shared" si="78"/>
        <v>0</v>
      </c>
      <c r="AA167" s="377">
        <f t="shared" si="79"/>
        <v>0</v>
      </c>
      <c r="AB167" s="377">
        <f t="shared" si="80"/>
        <v>0</v>
      </c>
      <c r="AC167" s="377">
        <f t="shared" si="81"/>
        <v>0</v>
      </c>
      <c r="AD167" s="376"/>
      <c r="AE167" s="332">
        <v>152</v>
      </c>
      <c r="AF167" s="350">
        <v>171119305.88417524</v>
      </c>
      <c r="AG167" s="350">
        <v>172522826.51195136</v>
      </c>
      <c r="AH167" s="350">
        <v>173867537.57572517</v>
      </c>
      <c r="AI167" s="350">
        <v>175215444.04238382</v>
      </c>
      <c r="AJ167" s="350">
        <v>176570732.9198103</v>
      </c>
      <c r="AK167" s="348">
        <v>869295846.93404591</v>
      </c>
      <c r="AL167" s="369"/>
      <c r="AM167" s="350">
        <v>206579481.51264378</v>
      </c>
      <c r="AN167" s="350">
        <v>244168036.62209168</v>
      </c>
      <c r="AO167" s="350">
        <v>282245142.35822749</v>
      </c>
      <c r="AP167" s="350">
        <v>320887647.11509073</v>
      </c>
      <c r="AQ167" s="350">
        <v>360106084.51595587</v>
      </c>
      <c r="AR167" s="348">
        <v>1413986392.1240096</v>
      </c>
      <c r="AS167" s="369"/>
      <c r="AT167" s="350">
        <f t="shared" si="99"/>
        <v>35460175.628468543</v>
      </c>
      <c r="AU167" s="350">
        <f t="shared" si="82"/>
        <v>71645210.110140324</v>
      </c>
      <c r="AV167" s="350">
        <f t="shared" si="83"/>
        <v>108377604.78250232</v>
      </c>
      <c r="AW167" s="350">
        <f t="shared" si="84"/>
        <v>145672203.07270691</v>
      </c>
      <c r="AX167" s="350">
        <f t="shared" si="85"/>
        <v>183535351.59614557</v>
      </c>
      <c r="AY167" s="350">
        <f t="shared" si="86"/>
        <v>544690545.1899637</v>
      </c>
      <c r="AZ167" s="365"/>
      <c r="BA167" s="377">
        <f t="shared" si="87"/>
        <v>0</v>
      </c>
      <c r="BB167" s="377">
        <f t="shared" si="88"/>
        <v>0</v>
      </c>
      <c r="BC167" s="377">
        <f t="shared" si="89"/>
        <v>0</v>
      </c>
      <c r="BD167" s="377">
        <f t="shared" si="90"/>
        <v>0</v>
      </c>
      <c r="BE167" s="377">
        <f t="shared" si="91"/>
        <v>0</v>
      </c>
      <c r="BF167" s="377">
        <f t="shared" si="92"/>
        <v>0</v>
      </c>
      <c r="BG167" s="328"/>
    </row>
    <row r="168" spans="2:59">
      <c r="B168" s="332">
        <v>153</v>
      </c>
      <c r="C168" s="350">
        <v>159719397.20019892</v>
      </c>
      <c r="D168" s="350">
        <v>161029415.77155861</v>
      </c>
      <c r="E168" s="350">
        <v>162284542.65163001</v>
      </c>
      <c r="F168" s="350">
        <v>163542652.0579567</v>
      </c>
      <c r="G168" s="350">
        <v>164807652.06141162</v>
      </c>
      <c r="H168" s="348">
        <v>811383659.74275589</v>
      </c>
      <c r="I168" s="369"/>
      <c r="J168" s="350">
        <v>194739669.34928119</v>
      </c>
      <c r="K168" s="350">
        <v>231761663.80970743</v>
      </c>
      <c r="L168" s="350">
        <v>269268959.7883513</v>
      </c>
      <c r="M168" s="350">
        <v>307334089.44621831</v>
      </c>
      <c r="N168" s="350">
        <v>345967225.04796481</v>
      </c>
      <c r="O168" s="348">
        <v>1349071607.4415231</v>
      </c>
      <c r="P168" s="369"/>
      <c r="Q168" s="350">
        <f t="shared" si="93"/>
        <v>35020272.149082273</v>
      </c>
      <c r="R168" s="350">
        <f t="shared" si="94"/>
        <v>70732248.03814882</v>
      </c>
      <c r="S168" s="350">
        <f t="shared" si="95"/>
        <v>106984417.13672128</v>
      </c>
      <c r="T168" s="350">
        <f t="shared" si="96"/>
        <v>143791437.38826162</v>
      </c>
      <c r="U168" s="350">
        <f t="shared" si="97"/>
        <v>181159572.98655319</v>
      </c>
      <c r="V168" s="350">
        <f t="shared" si="98"/>
        <v>537687947.69876719</v>
      </c>
      <c r="W168" s="365"/>
      <c r="X168" s="377">
        <f t="shared" si="76"/>
        <v>0</v>
      </c>
      <c r="Y168" s="377">
        <f t="shared" si="77"/>
        <v>0</v>
      </c>
      <c r="Z168" s="377">
        <f t="shared" si="78"/>
        <v>0</v>
      </c>
      <c r="AA168" s="377">
        <f t="shared" si="79"/>
        <v>0</v>
      </c>
      <c r="AB168" s="377">
        <f t="shared" si="80"/>
        <v>0</v>
      </c>
      <c r="AC168" s="377">
        <f t="shared" si="81"/>
        <v>0</v>
      </c>
      <c r="AD168" s="376"/>
      <c r="AE168" s="332">
        <v>153</v>
      </c>
      <c r="AF168" s="350">
        <v>122194074.3754399</v>
      </c>
      <c r="AG168" s="350">
        <v>123196310.23124698</v>
      </c>
      <c r="AH168" s="350">
        <v>124156550.94103268</v>
      </c>
      <c r="AI168" s="350">
        <v>125119073.44652662</v>
      </c>
      <c r="AJ168" s="350">
        <v>126086867.63569044</v>
      </c>
      <c r="AK168" s="348">
        <v>620752876.6299367</v>
      </c>
      <c r="AL168" s="369"/>
      <c r="AM168" s="350">
        <v>154243169.52875432</v>
      </c>
      <c r="AN168" s="350">
        <v>187919996.65348297</v>
      </c>
      <c r="AO168" s="350">
        <v>222049073.70456997</v>
      </c>
      <c r="AP168" s="350">
        <v>256688091.54540277</v>
      </c>
      <c r="AQ168" s="350">
        <v>291845771.64508379</v>
      </c>
      <c r="AR168" s="348">
        <v>1112746103.0772939</v>
      </c>
      <c r="AS168" s="369"/>
      <c r="AT168" s="350">
        <f t="shared" si="99"/>
        <v>32049095.153314427</v>
      </c>
      <c r="AU168" s="350">
        <f t="shared" si="82"/>
        <v>64723686.422235996</v>
      </c>
      <c r="AV168" s="350">
        <f t="shared" si="83"/>
        <v>97892522.763537288</v>
      </c>
      <c r="AW168" s="350">
        <f t="shared" si="84"/>
        <v>131569018.09887615</v>
      </c>
      <c r="AX168" s="350">
        <f t="shared" si="85"/>
        <v>165758904.00939333</v>
      </c>
      <c r="AY168" s="350">
        <f t="shared" si="86"/>
        <v>491993226.44735718</v>
      </c>
      <c r="AZ168" s="365"/>
      <c r="BA168" s="377">
        <f t="shared" si="87"/>
        <v>0</v>
      </c>
      <c r="BB168" s="377">
        <f t="shared" si="88"/>
        <v>0</v>
      </c>
      <c r="BC168" s="377">
        <f t="shared" si="89"/>
        <v>0</v>
      </c>
      <c r="BD168" s="377">
        <f t="shared" si="90"/>
        <v>0</v>
      </c>
      <c r="BE168" s="377">
        <f t="shared" si="91"/>
        <v>0</v>
      </c>
      <c r="BF168" s="377">
        <f t="shared" si="92"/>
        <v>0</v>
      </c>
      <c r="BG168" s="328"/>
    </row>
    <row r="169" spans="2:59">
      <c r="B169" s="332">
        <v>154</v>
      </c>
      <c r="C169" s="350">
        <v>170205057.57693017</v>
      </c>
      <c r="D169" s="350">
        <v>171601079.53965798</v>
      </c>
      <c r="E169" s="350">
        <v>172938606.14340001</v>
      </c>
      <c r="F169" s="350">
        <v>174279311.07777628</v>
      </c>
      <c r="G169" s="350">
        <v>175627358.98051775</v>
      </c>
      <c r="H169" s="348">
        <v>864651413.31828213</v>
      </c>
      <c r="I169" s="369"/>
      <c r="J169" s="350">
        <v>209986292.97823426</v>
      </c>
      <c r="K169" s="350">
        <v>251958667.00047243</v>
      </c>
      <c r="L169" s="350">
        <v>294486323.65115082</v>
      </c>
      <c r="M169" s="350">
        <v>337647587.81388485</v>
      </c>
      <c r="N169" s="350">
        <v>381453741.36095715</v>
      </c>
      <c r="O169" s="348">
        <v>1475532612.8046994</v>
      </c>
      <c r="P169" s="369"/>
      <c r="Q169" s="350">
        <f t="shared" si="93"/>
        <v>39781235.401304096</v>
      </c>
      <c r="R169" s="350">
        <f t="shared" si="94"/>
        <v>80357587.460814446</v>
      </c>
      <c r="S169" s="350">
        <f t="shared" si="95"/>
        <v>121547717.50775081</v>
      </c>
      <c r="T169" s="350">
        <f t="shared" si="96"/>
        <v>163368276.73610857</v>
      </c>
      <c r="U169" s="350">
        <f t="shared" si="97"/>
        <v>205826382.3804394</v>
      </c>
      <c r="V169" s="350">
        <f t="shared" si="98"/>
        <v>610881199.48641729</v>
      </c>
      <c r="W169" s="365"/>
      <c r="X169" s="377">
        <f t="shared" si="76"/>
        <v>0</v>
      </c>
      <c r="Y169" s="377">
        <f t="shared" si="77"/>
        <v>0</v>
      </c>
      <c r="Z169" s="377">
        <f t="shared" si="78"/>
        <v>0</v>
      </c>
      <c r="AA169" s="377">
        <f t="shared" si="79"/>
        <v>0</v>
      </c>
      <c r="AB169" s="377">
        <f t="shared" si="80"/>
        <v>0</v>
      </c>
      <c r="AC169" s="377">
        <f t="shared" si="81"/>
        <v>0</v>
      </c>
      <c r="AD169" s="376"/>
      <c r="AE169" s="332">
        <v>154</v>
      </c>
      <c r="AF169" s="350">
        <v>105322352.9445066</v>
      </c>
      <c r="AG169" s="350">
        <v>106186206.93315935</v>
      </c>
      <c r="AH169" s="350">
        <v>107013864.17811705</v>
      </c>
      <c r="AI169" s="350">
        <v>107843488.16404939</v>
      </c>
      <c r="AJ169" s="350">
        <v>108677655.95565258</v>
      </c>
      <c r="AK169" s="348">
        <v>535043568.17548496</v>
      </c>
      <c r="AL169" s="369"/>
      <c r="AM169" s="350">
        <v>133190706.8705893</v>
      </c>
      <c r="AN169" s="350">
        <v>162474144.20631438</v>
      </c>
      <c r="AO169" s="350">
        <v>192151270.8114883</v>
      </c>
      <c r="AP169" s="350">
        <v>222271914.68000665</v>
      </c>
      <c r="AQ169" s="350">
        <v>252843637.90282255</v>
      </c>
      <c r="AR169" s="348">
        <v>962931674.47122121</v>
      </c>
      <c r="AS169" s="369"/>
      <c r="AT169" s="350">
        <f t="shared" si="99"/>
        <v>27868353.9260827</v>
      </c>
      <c r="AU169" s="350">
        <f t="shared" si="82"/>
        <v>56287937.273155034</v>
      </c>
      <c r="AV169" s="350">
        <f t="shared" si="83"/>
        <v>85137406.633371249</v>
      </c>
      <c r="AW169" s="350">
        <f t="shared" si="84"/>
        <v>114428426.51595727</v>
      </c>
      <c r="AX169" s="350">
        <f t="shared" si="85"/>
        <v>144165981.94716996</v>
      </c>
      <c r="AY169" s="350">
        <f t="shared" si="86"/>
        <v>427888106.29573625</v>
      </c>
      <c r="AZ169" s="365"/>
      <c r="BA169" s="377">
        <f t="shared" si="87"/>
        <v>0</v>
      </c>
      <c r="BB169" s="377">
        <f t="shared" si="88"/>
        <v>0</v>
      </c>
      <c r="BC169" s="377">
        <f t="shared" si="89"/>
        <v>0</v>
      </c>
      <c r="BD169" s="377">
        <f t="shared" si="90"/>
        <v>0</v>
      </c>
      <c r="BE169" s="377">
        <f t="shared" si="91"/>
        <v>0</v>
      </c>
      <c r="BF169" s="377">
        <f t="shared" si="92"/>
        <v>0</v>
      </c>
      <c r="BG169" s="328"/>
    </row>
    <row r="170" spans="2:59">
      <c r="B170" s="332">
        <v>155</v>
      </c>
      <c r="C170" s="350">
        <v>116711820.97228032</v>
      </c>
      <c r="D170" s="350">
        <v>117669091.3830824</v>
      </c>
      <c r="E170" s="350">
        <v>118586250.76567626</v>
      </c>
      <c r="F170" s="350">
        <v>119505589.57091033</v>
      </c>
      <c r="G170" s="350">
        <v>120429963.54502513</v>
      </c>
      <c r="H170" s="348">
        <v>592902716.23697448</v>
      </c>
      <c r="I170" s="369"/>
      <c r="J170" s="350">
        <v>148786120.28586149</v>
      </c>
      <c r="K170" s="350">
        <v>182456372.69270465</v>
      </c>
      <c r="L170" s="350">
        <v>216581345.72406036</v>
      </c>
      <c r="M170" s="350">
        <v>251216755.00683492</v>
      </c>
      <c r="N170" s="350">
        <v>286371194.31359875</v>
      </c>
      <c r="O170" s="348">
        <v>1085411788.0230603</v>
      </c>
      <c r="P170" s="369"/>
      <c r="Q170" s="350">
        <f t="shared" si="93"/>
        <v>32074299.313581169</v>
      </c>
      <c r="R170" s="350">
        <f t="shared" si="94"/>
        <v>64787281.309622243</v>
      </c>
      <c r="S170" s="350">
        <f t="shared" si="95"/>
        <v>97995094.958384097</v>
      </c>
      <c r="T170" s="350">
        <f t="shared" si="96"/>
        <v>131711165.43592459</v>
      </c>
      <c r="U170" s="350">
        <f t="shared" si="97"/>
        <v>165941230.76857364</v>
      </c>
      <c r="V170" s="350">
        <f t="shared" si="98"/>
        <v>492509071.78608584</v>
      </c>
      <c r="W170" s="365"/>
      <c r="X170" s="377">
        <f t="shared" si="76"/>
        <v>0</v>
      </c>
      <c r="Y170" s="377">
        <f t="shared" si="77"/>
        <v>0</v>
      </c>
      <c r="Z170" s="377">
        <f t="shared" si="78"/>
        <v>0</v>
      </c>
      <c r="AA170" s="377">
        <f t="shared" si="79"/>
        <v>0</v>
      </c>
      <c r="AB170" s="377">
        <f t="shared" si="80"/>
        <v>0</v>
      </c>
      <c r="AC170" s="377">
        <f t="shared" si="81"/>
        <v>0</v>
      </c>
      <c r="AD170" s="376"/>
      <c r="AE170" s="332">
        <v>155</v>
      </c>
      <c r="AF170" s="350">
        <v>129960609.50558028</v>
      </c>
      <c r="AG170" s="350">
        <v>131026546.4861972</v>
      </c>
      <c r="AH170" s="350">
        <v>132047819.1506342</v>
      </c>
      <c r="AI170" s="350">
        <v>133071518.63946944</v>
      </c>
      <c r="AJ170" s="350">
        <v>134100824.87500137</v>
      </c>
      <c r="AK170" s="348">
        <v>660207318.65688252</v>
      </c>
      <c r="AL170" s="369"/>
      <c r="AM170" s="350">
        <v>162934790.17837417</v>
      </c>
      <c r="AN170" s="350">
        <v>197618782.03602189</v>
      </c>
      <c r="AO170" s="350">
        <v>232766625.89575258</v>
      </c>
      <c r="AP170" s="350">
        <v>268439214.02575874</v>
      </c>
      <c r="AQ170" s="350">
        <v>304645623.41885245</v>
      </c>
      <c r="AR170" s="348">
        <v>1166405035.55476</v>
      </c>
      <c r="AS170" s="369"/>
      <c r="AT170" s="350">
        <f t="shared" si="99"/>
        <v>32974180.672793895</v>
      </c>
      <c r="AU170" s="350">
        <f t="shared" si="82"/>
        <v>66592235.549824685</v>
      </c>
      <c r="AV170" s="350">
        <f t="shared" si="83"/>
        <v>100718806.74511838</v>
      </c>
      <c r="AW170" s="350">
        <f t="shared" si="84"/>
        <v>135367695.3862893</v>
      </c>
      <c r="AX170" s="350">
        <f t="shared" si="85"/>
        <v>170544798.54385108</v>
      </c>
      <c r="AY170" s="350">
        <f t="shared" si="86"/>
        <v>506197716.89787745</v>
      </c>
      <c r="AZ170" s="365"/>
      <c r="BA170" s="377">
        <f t="shared" si="87"/>
        <v>0</v>
      </c>
      <c r="BB170" s="377">
        <f t="shared" si="88"/>
        <v>0</v>
      </c>
      <c r="BC170" s="377">
        <f t="shared" si="89"/>
        <v>0</v>
      </c>
      <c r="BD170" s="377">
        <f t="shared" si="90"/>
        <v>0</v>
      </c>
      <c r="BE170" s="377">
        <f t="shared" si="91"/>
        <v>0</v>
      </c>
      <c r="BF170" s="377">
        <f t="shared" si="92"/>
        <v>0</v>
      </c>
      <c r="BG170" s="328"/>
    </row>
    <row r="171" spans="2:59">
      <c r="B171" s="332">
        <v>156</v>
      </c>
      <c r="C171" s="350">
        <v>136893088.885683</v>
      </c>
      <c r="D171" s="350">
        <v>138015886.06545356</v>
      </c>
      <c r="E171" s="350">
        <v>139091636.40366113</v>
      </c>
      <c r="F171" s="350">
        <v>140169943.02018508</v>
      </c>
      <c r="G171" s="350">
        <v>141254155.46368867</v>
      </c>
      <c r="H171" s="348">
        <v>695424709.83867145</v>
      </c>
      <c r="I171" s="369"/>
      <c r="J171" s="350">
        <v>175767350.64873561</v>
      </c>
      <c r="K171" s="350">
        <v>216513171.68327102</v>
      </c>
      <c r="L171" s="350">
        <v>257811290.30027294</v>
      </c>
      <c r="M171" s="350">
        <v>299727579.61410844</v>
      </c>
      <c r="N171" s="350">
        <v>342272339.83335966</v>
      </c>
      <c r="O171" s="348">
        <v>1292091732.0797477</v>
      </c>
      <c r="P171" s="369"/>
      <c r="Q171" s="350">
        <f t="shared" si="93"/>
        <v>38874261.763052613</v>
      </c>
      <c r="R171" s="350">
        <f t="shared" si="94"/>
        <v>78497285.617817461</v>
      </c>
      <c r="S171" s="350">
        <f t="shared" si="95"/>
        <v>118719653.89661181</v>
      </c>
      <c r="T171" s="350">
        <f t="shared" si="96"/>
        <v>159557636.59392336</v>
      </c>
      <c r="U171" s="350">
        <f t="shared" si="97"/>
        <v>201018184.36967099</v>
      </c>
      <c r="V171" s="350">
        <f t="shared" si="98"/>
        <v>596667022.24107623</v>
      </c>
      <c r="W171" s="365"/>
      <c r="X171" s="377">
        <f t="shared" si="76"/>
        <v>0</v>
      </c>
      <c r="Y171" s="377">
        <f t="shared" si="77"/>
        <v>0</v>
      </c>
      <c r="Z171" s="377">
        <f t="shared" si="78"/>
        <v>0</v>
      </c>
      <c r="AA171" s="377">
        <f t="shared" si="79"/>
        <v>0</v>
      </c>
      <c r="AB171" s="377">
        <f t="shared" si="80"/>
        <v>0</v>
      </c>
      <c r="AC171" s="377">
        <f t="shared" si="81"/>
        <v>0</v>
      </c>
      <c r="AD171" s="376"/>
      <c r="AE171" s="332">
        <v>156</v>
      </c>
      <c r="AF171" s="350">
        <v>126915211.2314344</v>
      </c>
      <c r="AG171" s="350">
        <v>127956169.85396677</v>
      </c>
      <c r="AH171" s="350">
        <v>128953510.79000127</v>
      </c>
      <c r="AI171" s="350">
        <v>129953221.68207318</v>
      </c>
      <c r="AJ171" s="350">
        <v>130958407.93659562</v>
      </c>
      <c r="AK171" s="348">
        <v>644736521.49407125</v>
      </c>
      <c r="AL171" s="369"/>
      <c r="AM171" s="350">
        <v>160239725.39194182</v>
      </c>
      <c r="AN171" s="350">
        <v>195259810.6625219</v>
      </c>
      <c r="AO171" s="350">
        <v>230750258.04238862</v>
      </c>
      <c r="AP171" s="350">
        <v>266771003.14804292</v>
      </c>
      <c r="AQ171" s="350">
        <v>303331111.70462823</v>
      </c>
      <c r="AR171" s="348">
        <v>1156351908.9495234</v>
      </c>
      <c r="AS171" s="369"/>
      <c r="AT171" s="350">
        <f t="shared" si="99"/>
        <v>33324514.160507411</v>
      </c>
      <c r="AU171" s="350">
        <f t="shared" si="82"/>
        <v>67303640.808555126</v>
      </c>
      <c r="AV171" s="350">
        <f t="shared" si="83"/>
        <v>101796747.25238734</v>
      </c>
      <c r="AW171" s="350">
        <f t="shared" si="84"/>
        <v>136817781.46596974</v>
      </c>
      <c r="AX171" s="350">
        <f t="shared" si="85"/>
        <v>172372703.76803261</v>
      </c>
      <c r="AY171" s="350">
        <f t="shared" si="86"/>
        <v>511615387.4554522</v>
      </c>
      <c r="AZ171" s="365"/>
      <c r="BA171" s="377">
        <f t="shared" si="87"/>
        <v>0</v>
      </c>
      <c r="BB171" s="377">
        <f t="shared" si="88"/>
        <v>0</v>
      </c>
      <c r="BC171" s="377">
        <f t="shared" si="89"/>
        <v>0</v>
      </c>
      <c r="BD171" s="377">
        <f t="shared" si="90"/>
        <v>0</v>
      </c>
      <c r="BE171" s="377">
        <f t="shared" si="91"/>
        <v>0</v>
      </c>
      <c r="BF171" s="377">
        <f t="shared" si="92"/>
        <v>0</v>
      </c>
      <c r="BG171" s="328"/>
    </row>
    <row r="172" spans="2:59">
      <c r="B172" s="332">
        <v>157</v>
      </c>
      <c r="C172" s="350">
        <v>118124323.38794996</v>
      </c>
      <c r="D172" s="350">
        <v>119093179.14423327</v>
      </c>
      <c r="E172" s="350">
        <v>120021438.42941342</v>
      </c>
      <c r="F172" s="350">
        <v>120951903.51365161</v>
      </c>
      <c r="G172" s="350">
        <v>121887464.70479839</v>
      </c>
      <c r="H172" s="348">
        <v>600078309.18004668</v>
      </c>
      <c r="I172" s="369"/>
      <c r="J172" s="350">
        <v>149606656.96211481</v>
      </c>
      <c r="K172" s="350">
        <v>182670523.67527267</v>
      </c>
      <c r="L172" s="350">
        <v>216179271.28184092</v>
      </c>
      <c r="M172" s="350">
        <v>250188878.66194865</v>
      </c>
      <c r="N172" s="350">
        <v>284707866.07809788</v>
      </c>
      <c r="O172" s="348">
        <v>1083353196.6592751</v>
      </c>
      <c r="P172" s="369"/>
      <c r="Q172" s="350">
        <f t="shared" si="93"/>
        <v>31482333.574164852</v>
      </c>
      <c r="R172" s="350">
        <f t="shared" si="94"/>
        <v>63577344.531039402</v>
      </c>
      <c r="S172" s="350">
        <f t="shared" si="95"/>
        <v>96157832.852427498</v>
      </c>
      <c r="T172" s="350">
        <f t="shared" si="96"/>
        <v>129236975.14829704</v>
      </c>
      <c r="U172" s="350">
        <f t="shared" si="97"/>
        <v>162820401.37329948</v>
      </c>
      <c r="V172" s="350">
        <f t="shared" si="98"/>
        <v>483274887.47922838</v>
      </c>
      <c r="W172" s="365"/>
      <c r="X172" s="377">
        <f t="shared" si="76"/>
        <v>0</v>
      </c>
      <c r="Y172" s="377">
        <f t="shared" si="77"/>
        <v>0</v>
      </c>
      <c r="Z172" s="377">
        <f t="shared" si="78"/>
        <v>0</v>
      </c>
      <c r="AA172" s="377">
        <f t="shared" si="79"/>
        <v>0</v>
      </c>
      <c r="AB172" s="377">
        <f t="shared" si="80"/>
        <v>0</v>
      </c>
      <c r="AC172" s="377">
        <f t="shared" si="81"/>
        <v>0</v>
      </c>
      <c r="AD172" s="376"/>
      <c r="AE172" s="332">
        <v>157</v>
      </c>
      <c r="AF172" s="350">
        <v>119452061.91470709</v>
      </c>
      <c r="AG172" s="350">
        <v>120431807.78301468</v>
      </c>
      <c r="AH172" s="350">
        <v>121370500.86862141</v>
      </c>
      <c r="AI172" s="350">
        <v>122311424.54686217</v>
      </c>
      <c r="AJ172" s="350">
        <v>123257501.61316487</v>
      </c>
      <c r="AK172" s="348">
        <v>606823296.72637022</v>
      </c>
      <c r="AL172" s="369"/>
      <c r="AM172" s="350">
        <v>145903509.96006945</v>
      </c>
      <c r="AN172" s="350">
        <v>173859885.26151332</v>
      </c>
      <c r="AO172" s="350">
        <v>202183268.0085339</v>
      </c>
      <c r="AP172" s="350">
        <v>230928013.13898322</v>
      </c>
      <c r="AQ172" s="350">
        <v>260101775.32365185</v>
      </c>
      <c r="AR172" s="348">
        <v>1012976451.6927516</v>
      </c>
      <c r="AS172" s="369"/>
      <c r="AT172" s="350">
        <f t="shared" si="99"/>
        <v>26451448.045362353</v>
      </c>
      <c r="AU172" s="350">
        <f t="shared" si="82"/>
        <v>53428077.478498638</v>
      </c>
      <c r="AV172" s="350">
        <f t="shared" si="83"/>
        <v>80812767.139912486</v>
      </c>
      <c r="AW172" s="350">
        <f t="shared" si="84"/>
        <v>108616588.59212105</v>
      </c>
      <c r="AX172" s="350">
        <f t="shared" si="85"/>
        <v>136844273.71048698</v>
      </c>
      <c r="AY172" s="350">
        <f t="shared" si="86"/>
        <v>406153154.96638143</v>
      </c>
      <c r="AZ172" s="365"/>
      <c r="BA172" s="377">
        <f t="shared" si="87"/>
        <v>0</v>
      </c>
      <c r="BB172" s="377">
        <f t="shared" si="88"/>
        <v>0</v>
      </c>
      <c r="BC172" s="377">
        <f t="shared" si="89"/>
        <v>0</v>
      </c>
      <c r="BD172" s="377">
        <f t="shared" si="90"/>
        <v>0</v>
      </c>
      <c r="BE172" s="377">
        <f t="shared" si="91"/>
        <v>0</v>
      </c>
      <c r="BF172" s="377">
        <f t="shared" si="92"/>
        <v>0</v>
      </c>
      <c r="BG172" s="328"/>
    </row>
    <row r="173" spans="2:59">
      <c r="B173" s="332">
        <v>158</v>
      </c>
      <c r="C173" s="350">
        <v>140892295.79217643</v>
      </c>
      <c r="D173" s="350">
        <v>142047894.46888506</v>
      </c>
      <c r="E173" s="350">
        <v>143155071.87340581</v>
      </c>
      <c r="F173" s="350">
        <v>144264880.2355856</v>
      </c>
      <c r="G173" s="350">
        <v>145380766.95810106</v>
      </c>
      <c r="H173" s="348">
        <v>715740909.32815397</v>
      </c>
      <c r="I173" s="369"/>
      <c r="J173" s="350">
        <v>176661419.28211367</v>
      </c>
      <c r="K173" s="350">
        <v>214304336.51335838</v>
      </c>
      <c r="L173" s="350">
        <v>252450759.22631478</v>
      </c>
      <c r="M173" s="350">
        <v>291166711.68060935</v>
      </c>
      <c r="N173" s="350">
        <v>330462041.20822716</v>
      </c>
      <c r="O173" s="348">
        <v>1265045267.9106233</v>
      </c>
      <c r="P173" s="369"/>
      <c r="Q173" s="350">
        <f t="shared" si="93"/>
        <v>35769123.489937246</v>
      </c>
      <c r="R173" s="350">
        <f t="shared" si="94"/>
        <v>72256442.04447332</v>
      </c>
      <c r="S173" s="350">
        <f t="shared" si="95"/>
        <v>109295687.35290897</v>
      </c>
      <c r="T173" s="350">
        <f t="shared" si="96"/>
        <v>146901831.44502375</v>
      </c>
      <c r="U173" s="350">
        <f t="shared" si="97"/>
        <v>185081274.25012609</v>
      </c>
      <c r="V173" s="350">
        <f t="shared" si="98"/>
        <v>549304358.58246934</v>
      </c>
      <c r="W173" s="365"/>
      <c r="X173" s="377">
        <f t="shared" si="76"/>
        <v>0</v>
      </c>
      <c r="Y173" s="377">
        <f t="shared" si="77"/>
        <v>0</v>
      </c>
      <c r="Z173" s="377">
        <f t="shared" si="78"/>
        <v>0</v>
      </c>
      <c r="AA173" s="377">
        <f t="shared" si="79"/>
        <v>0</v>
      </c>
      <c r="AB173" s="377">
        <f t="shared" si="80"/>
        <v>0</v>
      </c>
      <c r="AC173" s="377">
        <f t="shared" si="81"/>
        <v>0</v>
      </c>
      <c r="AD173" s="376"/>
      <c r="AE173" s="332">
        <v>158</v>
      </c>
      <c r="AF173" s="350">
        <v>125920846.94406116</v>
      </c>
      <c r="AG173" s="350">
        <v>126953649.79023832</v>
      </c>
      <c r="AH173" s="350">
        <v>127943176.68885759</v>
      </c>
      <c r="AI173" s="350">
        <v>128935054.97521481</v>
      </c>
      <c r="AJ173" s="350">
        <v>129932365.72526491</v>
      </c>
      <c r="AK173" s="348">
        <v>639685094.12363684</v>
      </c>
      <c r="AL173" s="369"/>
      <c r="AM173" s="350">
        <v>158086856.75705189</v>
      </c>
      <c r="AN173" s="350">
        <v>191924859.65074748</v>
      </c>
      <c r="AO173" s="350">
        <v>226215812.57273659</v>
      </c>
      <c r="AP173" s="350">
        <v>261018806.34789923</v>
      </c>
      <c r="AQ173" s="350">
        <v>296342676.2840603</v>
      </c>
      <c r="AR173" s="348">
        <v>1133589011.6124954</v>
      </c>
      <c r="AS173" s="369"/>
      <c r="AT173" s="350">
        <f t="shared" si="99"/>
        <v>32166009.812990725</v>
      </c>
      <c r="AU173" s="350">
        <f t="shared" si="82"/>
        <v>64971209.860509157</v>
      </c>
      <c r="AV173" s="350">
        <f t="shared" si="83"/>
        <v>98272635.883879006</v>
      </c>
      <c r="AW173" s="350">
        <f t="shared" si="84"/>
        <v>132083751.37268442</v>
      </c>
      <c r="AX173" s="350">
        <f t="shared" si="85"/>
        <v>166410310.55879539</v>
      </c>
      <c r="AY173" s="350">
        <f t="shared" si="86"/>
        <v>493903917.48885858</v>
      </c>
      <c r="AZ173" s="365"/>
      <c r="BA173" s="377">
        <f t="shared" si="87"/>
        <v>0</v>
      </c>
      <c r="BB173" s="377">
        <f t="shared" si="88"/>
        <v>0</v>
      </c>
      <c r="BC173" s="377">
        <f t="shared" si="89"/>
        <v>0</v>
      </c>
      <c r="BD173" s="377">
        <f t="shared" si="90"/>
        <v>0</v>
      </c>
      <c r="BE173" s="377">
        <f t="shared" si="91"/>
        <v>0</v>
      </c>
      <c r="BF173" s="377">
        <f t="shared" si="92"/>
        <v>0</v>
      </c>
      <c r="BG173" s="328"/>
    </row>
    <row r="174" spans="2:59">
      <c r="B174" s="332">
        <v>159</v>
      </c>
      <c r="C174" s="350">
        <v>128244139.54097524</v>
      </c>
      <c r="D174" s="350">
        <v>129295998.03413086</v>
      </c>
      <c r="E174" s="350">
        <v>130303782.12029134</v>
      </c>
      <c r="F174" s="350">
        <v>131313960.97828275</v>
      </c>
      <c r="G174" s="350">
        <v>132329672.5312074</v>
      </c>
      <c r="H174" s="348">
        <v>651487553.20488763</v>
      </c>
      <c r="I174" s="369"/>
      <c r="J174" s="350">
        <v>165007729.8095392</v>
      </c>
      <c r="K174" s="350">
        <v>203540032.82828993</v>
      </c>
      <c r="L174" s="350">
        <v>242595200.90028322</v>
      </c>
      <c r="M174" s="350">
        <v>282235090.3081972</v>
      </c>
      <c r="N174" s="350">
        <v>322469413.5851627</v>
      </c>
      <c r="O174" s="348">
        <v>1215847467.4314723</v>
      </c>
      <c r="P174" s="369"/>
      <c r="Q174" s="350">
        <f t="shared" si="93"/>
        <v>36763590.268563956</v>
      </c>
      <c r="R174" s="350">
        <f t="shared" si="94"/>
        <v>74244034.79415907</v>
      </c>
      <c r="S174" s="350">
        <f t="shared" si="95"/>
        <v>112291418.77999188</v>
      </c>
      <c r="T174" s="350">
        <f t="shared" si="96"/>
        <v>150921129.32991445</v>
      </c>
      <c r="U174" s="350">
        <f t="shared" si="97"/>
        <v>190139741.05395532</v>
      </c>
      <c r="V174" s="350">
        <f t="shared" si="98"/>
        <v>564359914.22658467</v>
      </c>
      <c r="W174" s="365"/>
      <c r="X174" s="377">
        <f t="shared" si="76"/>
        <v>0</v>
      </c>
      <c r="Y174" s="377">
        <f t="shared" si="77"/>
        <v>0</v>
      </c>
      <c r="Z174" s="377">
        <f t="shared" si="78"/>
        <v>0</v>
      </c>
      <c r="AA174" s="377">
        <f t="shared" si="79"/>
        <v>0</v>
      </c>
      <c r="AB174" s="377">
        <f t="shared" si="80"/>
        <v>0</v>
      </c>
      <c r="AC174" s="377">
        <f t="shared" si="81"/>
        <v>0</v>
      </c>
      <c r="AD174" s="376"/>
      <c r="AE174" s="332">
        <v>159</v>
      </c>
      <c r="AF174" s="350">
        <v>119194045.36734146</v>
      </c>
      <c r="AG174" s="350">
        <v>120171674.98380554</v>
      </c>
      <c r="AH174" s="350">
        <v>121108340.4916116</v>
      </c>
      <c r="AI174" s="350">
        <v>122047231.77396983</v>
      </c>
      <c r="AJ174" s="350">
        <v>122991265.31306778</v>
      </c>
      <c r="AK174" s="348">
        <v>605512557.92979622</v>
      </c>
      <c r="AL174" s="369"/>
      <c r="AM174" s="350">
        <v>150831325.90947706</v>
      </c>
      <c r="AN174" s="350">
        <v>184080077.73380217</v>
      </c>
      <c r="AO174" s="350">
        <v>217776015.11237803</v>
      </c>
      <c r="AP174" s="350">
        <v>251975570.39829683</v>
      </c>
      <c r="AQ174" s="350">
        <v>286687320.50769055</v>
      </c>
      <c r="AR174" s="348">
        <v>1091350309.6616445</v>
      </c>
      <c r="AS174" s="369"/>
      <c r="AT174" s="350">
        <f t="shared" si="99"/>
        <v>31637280.542135596</v>
      </c>
      <c r="AU174" s="350">
        <f t="shared" si="82"/>
        <v>63908402.749996632</v>
      </c>
      <c r="AV174" s="350">
        <f t="shared" si="83"/>
        <v>96667674.620766431</v>
      </c>
      <c r="AW174" s="350">
        <f t="shared" si="84"/>
        <v>129928338.624327</v>
      </c>
      <c r="AX174" s="350">
        <f t="shared" si="85"/>
        <v>163696055.19462276</v>
      </c>
      <c r="AY174" s="350">
        <f t="shared" si="86"/>
        <v>485837751.73184824</v>
      </c>
      <c r="AZ174" s="365"/>
      <c r="BA174" s="377">
        <f t="shared" si="87"/>
        <v>0</v>
      </c>
      <c r="BB174" s="377">
        <f t="shared" si="88"/>
        <v>0</v>
      </c>
      <c r="BC174" s="377">
        <f t="shared" si="89"/>
        <v>0</v>
      </c>
      <c r="BD174" s="377">
        <f t="shared" si="90"/>
        <v>0</v>
      </c>
      <c r="BE174" s="377">
        <f t="shared" si="91"/>
        <v>0</v>
      </c>
      <c r="BF174" s="377">
        <f t="shared" si="92"/>
        <v>0</v>
      </c>
      <c r="BG174" s="328"/>
    </row>
    <row r="175" spans="2:59">
      <c r="B175" s="332">
        <v>160</v>
      </c>
      <c r="C175" s="350">
        <v>165289086.34458619</v>
      </c>
      <c r="D175" s="350">
        <v>166644787.50894183</v>
      </c>
      <c r="E175" s="350">
        <v>167943682.81464782</v>
      </c>
      <c r="F175" s="350">
        <v>169245664.65241176</v>
      </c>
      <c r="G175" s="350">
        <v>170554777.37423652</v>
      </c>
      <c r="H175" s="348">
        <v>839677998.69482422</v>
      </c>
      <c r="I175" s="369"/>
      <c r="J175" s="350">
        <v>212784847.1235714</v>
      </c>
      <c r="K175" s="350">
        <v>262544972.38671315</v>
      </c>
      <c r="L175" s="350">
        <v>312980462.28123033</v>
      </c>
      <c r="M175" s="350">
        <v>364171087.19494909</v>
      </c>
      <c r="N175" s="350">
        <v>416129382.71087813</v>
      </c>
      <c r="O175" s="348">
        <v>1568610751.6973422</v>
      </c>
      <c r="P175" s="369"/>
      <c r="Q175" s="350">
        <f t="shared" si="93"/>
        <v>47495760.778985202</v>
      </c>
      <c r="R175" s="350">
        <f t="shared" si="94"/>
        <v>95900184.877771318</v>
      </c>
      <c r="S175" s="350">
        <f t="shared" si="95"/>
        <v>145036779.46658251</v>
      </c>
      <c r="T175" s="350">
        <f t="shared" si="96"/>
        <v>194925422.54253733</v>
      </c>
      <c r="U175" s="350">
        <f t="shared" si="97"/>
        <v>245574605.33664161</v>
      </c>
      <c r="V175" s="350">
        <f t="shared" si="98"/>
        <v>728932753.00251794</v>
      </c>
      <c r="W175" s="365"/>
      <c r="X175" s="377">
        <f t="shared" si="76"/>
        <v>0</v>
      </c>
      <c r="Y175" s="377">
        <f t="shared" si="77"/>
        <v>0</v>
      </c>
      <c r="Z175" s="377">
        <f t="shared" si="78"/>
        <v>0</v>
      </c>
      <c r="AA175" s="377">
        <f t="shared" si="79"/>
        <v>0</v>
      </c>
      <c r="AB175" s="377">
        <f t="shared" si="80"/>
        <v>0</v>
      </c>
      <c r="AC175" s="377">
        <f t="shared" si="81"/>
        <v>0</v>
      </c>
      <c r="AD175" s="376"/>
      <c r="AE175" s="332">
        <v>160</v>
      </c>
      <c r="AF175" s="350">
        <v>116449472.67410934</v>
      </c>
      <c r="AG175" s="350">
        <v>117404591.30404577</v>
      </c>
      <c r="AH175" s="350">
        <v>118319689.06853467</v>
      </c>
      <c r="AI175" s="350">
        <v>119236961.35669288</v>
      </c>
      <c r="AJ175" s="350">
        <v>120159257.49552959</v>
      </c>
      <c r="AK175" s="348">
        <v>591569971.89891219</v>
      </c>
      <c r="AL175" s="369"/>
      <c r="AM175" s="350">
        <v>141948452.05915669</v>
      </c>
      <c r="AN175" s="350">
        <v>168912809.64840961</v>
      </c>
      <c r="AO175" s="350">
        <v>196230575.27583337</v>
      </c>
      <c r="AP175" s="350">
        <v>223954617.44782913</v>
      </c>
      <c r="AQ175" s="350">
        <v>252092347.58941215</v>
      </c>
      <c r="AR175" s="348">
        <v>983138802.02064085</v>
      </c>
      <c r="AS175" s="369"/>
      <c r="AT175" s="350">
        <f t="shared" si="99"/>
        <v>25498979.385047346</v>
      </c>
      <c r="AU175" s="350">
        <f t="shared" si="82"/>
        <v>51508218.344363838</v>
      </c>
      <c r="AV175" s="350">
        <f t="shared" si="83"/>
        <v>77910886.207298696</v>
      </c>
      <c r="AW175" s="350">
        <f t="shared" si="84"/>
        <v>104717656.09113625</v>
      </c>
      <c r="AX175" s="350">
        <f t="shared" si="85"/>
        <v>131933090.09388256</v>
      </c>
      <c r="AY175" s="350">
        <f t="shared" si="86"/>
        <v>391568830.12172866</v>
      </c>
      <c r="AZ175" s="365"/>
      <c r="BA175" s="377">
        <f t="shared" si="87"/>
        <v>0</v>
      </c>
      <c r="BB175" s="377">
        <f t="shared" si="88"/>
        <v>0</v>
      </c>
      <c r="BC175" s="377">
        <f t="shared" si="89"/>
        <v>0</v>
      </c>
      <c r="BD175" s="377">
        <f t="shared" si="90"/>
        <v>0</v>
      </c>
      <c r="BE175" s="377">
        <f t="shared" si="91"/>
        <v>0</v>
      </c>
      <c r="BF175" s="377">
        <f t="shared" si="92"/>
        <v>0</v>
      </c>
      <c r="BG175" s="328"/>
    </row>
    <row r="176" spans="2:59">
      <c r="B176" s="332">
        <v>161</v>
      </c>
      <c r="C176" s="350">
        <v>135726753.21365273</v>
      </c>
      <c r="D176" s="350">
        <v>136839984.1076898</v>
      </c>
      <c r="E176" s="350">
        <v>137906569.00150669</v>
      </c>
      <c r="F176" s="350">
        <v>138975688.39402634</v>
      </c>
      <c r="G176" s="350">
        <v>140050663.2955969</v>
      </c>
      <c r="H176" s="348">
        <v>689499658.01247239</v>
      </c>
      <c r="I176" s="369"/>
      <c r="J176" s="350">
        <v>167714269.02204281</v>
      </c>
      <c r="K176" s="350">
        <v>201477746.04363781</v>
      </c>
      <c r="L176" s="350">
        <v>235688471.66291425</v>
      </c>
      <c r="M176" s="350">
        <v>270409016.66254801</v>
      </c>
      <c r="N176" s="350">
        <v>305648428.48828536</v>
      </c>
      <c r="O176" s="348">
        <v>1180937931.8794281</v>
      </c>
      <c r="P176" s="369"/>
      <c r="Q176" s="350">
        <f t="shared" si="93"/>
        <v>31987515.808390081</v>
      </c>
      <c r="R176" s="350">
        <f t="shared" si="94"/>
        <v>64637761.935948014</v>
      </c>
      <c r="S176" s="350">
        <f t="shared" si="95"/>
        <v>97781902.66140756</v>
      </c>
      <c r="T176" s="350">
        <f t="shared" si="96"/>
        <v>131433328.26852167</v>
      </c>
      <c r="U176" s="350">
        <f t="shared" si="97"/>
        <v>165597765.19268847</v>
      </c>
      <c r="V176" s="350">
        <f t="shared" si="98"/>
        <v>491438273.86695576</v>
      </c>
      <c r="W176" s="365"/>
      <c r="X176" s="377">
        <f t="shared" si="76"/>
        <v>0</v>
      </c>
      <c r="Y176" s="377">
        <f t="shared" si="77"/>
        <v>0</v>
      </c>
      <c r="Z176" s="377">
        <f t="shared" si="78"/>
        <v>0</v>
      </c>
      <c r="AA176" s="377">
        <f t="shared" si="79"/>
        <v>0</v>
      </c>
      <c r="AB176" s="377">
        <f t="shared" si="80"/>
        <v>0</v>
      </c>
      <c r="AC176" s="377">
        <f t="shared" si="81"/>
        <v>0</v>
      </c>
      <c r="AD176" s="376"/>
      <c r="AE176" s="332">
        <v>161</v>
      </c>
      <c r="AF176" s="350">
        <v>142621997.53453305</v>
      </c>
      <c r="AG176" s="350">
        <v>143791783.22575042</v>
      </c>
      <c r="AH176" s="350">
        <v>144912553.18815327</v>
      </c>
      <c r="AI176" s="350">
        <v>146035986.40786657</v>
      </c>
      <c r="AJ176" s="350">
        <v>147165572.61052293</v>
      </c>
      <c r="AK176" s="348">
        <v>724527892.9668262</v>
      </c>
      <c r="AL176" s="369"/>
      <c r="AM176" s="350">
        <v>177417732.51435837</v>
      </c>
      <c r="AN176" s="350">
        <v>214079601.04926121</v>
      </c>
      <c r="AO176" s="350">
        <v>251229325.0754776</v>
      </c>
      <c r="AP176" s="350">
        <v>288933148.04570276</v>
      </c>
      <c r="AQ176" s="350">
        <v>327200785.10148329</v>
      </c>
      <c r="AR176" s="348">
        <v>1258860591.7862833</v>
      </c>
      <c r="AS176" s="369"/>
      <c r="AT176" s="350">
        <f t="shared" si="99"/>
        <v>34795734.979825318</v>
      </c>
      <c r="AU176" s="350">
        <f t="shared" si="82"/>
        <v>70287817.823510796</v>
      </c>
      <c r="AV176" s="350">
        <f t="shared" si="83"/>
        <v>106316771.88732433</v>
      </c>
      <c r="AW176" s="350">
        <f t="shared" si="84"/>
        <v>142897161.63783619</v>
      </c>
      <c r="AX176" s="350">
        <f t="shared" si="85"/>
        <v>180035212.49096036</v>
      </c>
      <c r="AY176" s="350">
        <f t="shared" si="86"/>
        <v>534332698.81945705</v>
      </c>
      <c r="AZ176" s="365"/>
      <c r="BA176" s="377">
        <f t="shared" si="87"/>
        <v>0</v>
      </c>
      <c r="BB176" s="377">
        <f t="shared" si="88"/>
        <v>0</v>
      </c>
      <c r="BC176" s="377">
        <f t="shared" si="89"/>
        <v>0</v>
      </c>
      <c r="BD176" s="377">
        <f t="shared" si="90"/>
        <v>0</v>
      </c>
      <c r="BE176" s="377">
        <f t="shared" si="91"/>
        <v>0</v>
      </c>
      <c r="BF176" s="377">
        <f t="shared" si="92"/>
        <v>0</v>
      </c>
      <c r="BG176" s="328"/>
    </row>
    <row r="177" spans="2:59">
      <c r="B177" s="332">
        <v>162</v>
      </c>
      <c r="C177" s="350">
        <v>154292819.18505549</v>
      </c>
      <c r="D177" s="350">
        <v>155558328.96096903</v>
      </c>
      <c r="E177" s="350">
        <v>156770812.02912396</v>
      </c>
      <c r="F177" s="350">
        <v>157986176.29012269</v>
      </c>
      <c r="G177" s="350">
        <v>159208197.03540209</v>
      </c>
      <c r="H177" s="348">
        <v>783816333.50067329</v>
      </c>
      <c r="I177" s="369"/>
      <c r="J177" s="350">
        <v>198168429.7609843</v>
      </c>
      <c r="K177" s="350">
        <v>244164852.72404042</v>
      </c>
      <c r="L177" s="350">
        <v>290784860.90663183</v>
      </c>
      <c r="M177" s="350">
        <v>338102725.97915399</v>
      </c>
      <c r="N177" s="350">
        <v>386130069.68496609</v>
      </c>
      <c r="O177" s="348">
        <v>1457350939.0557766</v>
      </c>
      <c r="P177" s="369"/>
      <c r="Q177" s="350">
        <f t="shared" si="93"/>
        <v>43875610.575928807</v>
      </c>
      <c r="R177" s="350">
        <f t="shared" si="94"/>
        <v>88606523.763071388</v>
      </c>
      <c r="S177" s="350">
        <f t="shared" si="95"/>
        <v>134014048.87750787</v>
      </c>
      <c r="T177" s="350">
        <f t="shared" si="96"/>
        <v>180116549.6890313</v>
      </c>
      <c r="U177" s="350">
        <f t="shared" si="97"/>
        <v>226921872.649564</v>
      </c>
      <c r="V177" s="350">
        <f t="shared" si="98"/>
        <v>673534605.5551033</v>
      </c>
      <c r="W177" s="365"/>
      <c r="X177" s="377">
        <f t="shared" si="76"/>
        <v>0</v>
      </c>
      <c r="Y177" s="377">
        <f t="shared" si="77"/>
        <v>0</v>
      </c>
      <c r="Z177" s="377">
        <f t="shared" si="78"/>
        <v>0</v>
      </c>
      <c r="AA177" s="377">
        <f t="shared" si="79"/>
        <v>0</v>
      </c>
      <c r="AB177" s="377">
        <f t="shared" si="80"/>
        <v>0</v>
      </c>
      <c r="AC177" s="377">
        <f t="shared" si="81"/>
        <v>0</v>
      </c>
      <c r="AD177" s="376"/>
      <c r="AE177" s="332">
        <v>162</v>
      </c>
      <c r="AF177" s="350">
        <v>122525187.79202232</v>
      </c>
      <c r="AG177" s="350">
        <v>123530139.44022875</v>
      </c>
      <c r="AH177" s="350">
        <v>124492982.14674613</v>
      </c>
      <c r="AI177" s="350">
        <v>125458112.83203083</v>
      </c>
      <c r="AJ177" s="350">
        <v>126428529.48584493</v>
      </c>
      <c r="AK177" s="348">
        <v>622434951.69687295</v>
      </c>
      <c r="AL177" s="369"/>
      <c r="AM177" s="350">
        <v>150736586.00554937</v>
      </c>
      <c r="AN177" s="350">
        <v>180508361.97623307</v>
      </c>
      <c r="AO177" s="350">
        <v>210673166.3276372</v>
      </c>
      <c r="AP177" s="350">
        <v>241287203.92937401</v>
      </c>
      <c r="AQ177" s="350">
        <v>272358518.76528943</v>
      </c>
      <c r="AR177" s="348">
        <v>1055563837.004083</v>
      </c>
      <c r="AS177" s="369"/>
      <c r="AT177" s="350">
        <f t="shared" si="99"/>
        <v>28211398.213527054</v>
      </c>
      <c r="AU177" s="350">
        <f t="shared" si="82"/>
        <v>56978222.53600432</v>
      </c>
      <c r="AV177" s="350">
        <f t="shared" si="83"/>
        <v>86180184.180891067</v>
      </c>
      <c r="AW177" s="350">
        <f t="shared" si="84"/>
        <v>115829091.09734318</v>
      </c>
      <c r="AX177" s="350">
        <f t="shared" si="85"/>
        <v>145929989.27944452</v>
      </c>
      <c r="AY177" s="350">
        <f t="shared" si="86"/>
        <v>433128885.30721009</v>
      </c>
      <c r="AZ177" s="365"/>
      <c r="BA177" s="377">
        <f t="shared" si="87"/>
        <v>0</v>
      </c>
      <c r="BB177" s="377">
        <f t="shared" si="88"/>
        <v>0</v>
      </c>
      <c r="BC177" s="377">
        <f t="shared" si="89"/>
        <v>0</v>
      </c>
      <c r="BD177" s="377">
        <f t="shared" si="90"/>
        <v>0</v>
      </c>
      <c r="BE177" s="377">
        <f t="shared" si="91"/>
        <v>0</v>
      </c>
      <c r="BF177" s="377">
        <f t="shared" si="92"/>
        <v>0</v>
      </c>
      <c r="BG177" s="328"/>
    </row>
    <row r="178" spans="2:59">
      <c r="B178" s="332">
        <v>163</v>
      </c>
      <c r="C178" s="350">
        <v>134633858.60692438</v>
      </c>
      <c r="D178" s="350">
        <v>135738125.57888031</v>
      </c>
      <c r="E178" s="350">
        <v>136796122.15204209</v>
      </c>
      <c r="F178" s="350">
        <v>137856632.81569752</v>
      </c>
      <c r="G178" s="350">
        <v>138922951.83886185</v>
      </c>
      <c r="H178" s="348">
        <v>683947690.99240613</v>
      </c>
      <c r="I178" s="369"/>
      <c r="J178" s="350">
        <v>167464104.86146393</v>
      </c>
      <c r="K178" s="350">
        <v>202052997.01545715</v>
      </c>
      <c r="L178" s="350">
        <v>237102122.95153752</v>
      </c>
      <c r="M178" s="350">
        <v>272674008.78365946</v>
      </c>
      <c r="N178" s="350">
        <v>308777822.14273095</v>
      </c>
      <c r="O178" s="348">
        <v>1188071055.754849</v>
      </c>
      <c r="P178" s="369"/>
      <c r="Q178" s="350">
        <f t="shared" si="93"/>
        <v>32830246.254539549</v>
      </c>
      <c r="R178" s="350">
        <f t="shared" si="94"/>
        <v>66314871.436576843</v>
      </c>
      <c r="S178" s="350">
        <f t="shared" si="95"/>
        <v>100306000.79949543</v>
      </c>
      <c r="T178" s="350">
        <f t="shared" si="96"/>
        <v>134817375.96796194</v>
      </c>
      <c r="U178" s="350">
        <f t="shared" si="97"/>
        <v>169854870.3038691</v>
      </c>
      <c r="V178" s="350">
        <f t="shared" si="98"/>
        <v>504123364.76244283</v>
      </c>
      <c r="W178" s="365"/>
      <c r="X178" s="377">
        <f t="shared" si="76"/>
        <v>0</v>
      </c>
      <c r="Y178" s="377">
        <f t="shared" si="77"/>
        <v>0</v>
      </c>
      <c r="Z178" s="377">
        <f t="shared" si="78"/>
        <v>0</v>
      </c>
      <c r="AA178" s="377">
        <f t="shared" si="79"/>
        <v>0</v>
      </c>
      <c r="AB178" s="377">
        <f t="shared" si="80"/>
        <v>0</v>
      </c>
      <c r="AC178" s="377">
        <f t="shared" si="81"/>
        <v>0</v>
      </c>
      <c r="AD178" s="376"/>
      <c r="AE178" s="332">
        <v>163</v>
      </c>
      <c r="AF178" s="350">
        <v>152328676.82516158</v>
      </c>
      <c r="AG178" s="350">
        <v>153578076.70451048</v>
      </c>
      <c r="AH178" s="350">
        <v>154775124.90429378</v>
      </c>
      <c r="AI178" s="350">
        <v>155975017.61943346</v>
      </c>
      <c r="AJ178" s="350">
        <v>157181482.08203465</v>
      </c>
      <c r="AK178" s="348">
        <v>773838378.13543391</v>
      </c>
      <c r="AL178" s="369"/>
      <c r="AM178" s="350">
        <v>188232457.82167998</v>
      </c>
      <c r="AN178" s="350">
        <v>226108879.42229235</v>
      </c>
      <c r="AO178" s="350">
        <v>264486990.40484345</v>
      </c>
      <c r="AP178" s="350">
        <v>303437015.48831242</v>
      </c>
      <c r="AQ178" s="350">
        <v>342969106.28495252</v>
      </c>
      <c r="AR178" s="348">
        <v>1325234449.4220805</v>
      </c>
      <c r="AS178" s="369"/>
      <c r="AT178" s="350">
        <f t="shared" si="99"/>
        <v>35903780.996518403</v>
      </c>
      <c r="AU178" s="350">
        <f t="shared" si="82"/>
        <v>72530802.717781872</v>
      </c>
      <c r="AV178" s="350">
        <f t="shared" si="83"/>
        <v>109711865.50054967</v>
      </c>
      <c r="AW178" s="350">
        <f t="shared" si="84"/>
        <v>147461997.86887896</v>
      </c>
      <c r="AX178" s="350">
        <f t="shared" si="85"/>
        <v>185787624.20291787</v>
      </c>
      <c r="AY178" s="350">
        <f t="shared" si="86"/>
        <v>551396071.2866466</v>
      </c>
      <c r="AZ178" s="365"/>
      <c r="BA178" s="377">
        <f t="shared" si="87"/>
        <v>0</v>
      </c>
      <c r="BB178" s="377">
        <f t="shared" si="88"/>
        <v>0</v>
      </c>
      <c r="BC178" s="377">
        <f t="shared" si="89"/>
        <v>0</v>
      </c>
      <c r="BD178" s="377">
        <f t="shared" si="90"/>
        <v>0</v>
      </c>
      <c r="BE178" s="377">
        <f t="shared" si="91"/>
        <v>0</v>
      </c>
      <c r="BF178" s="377">
        <f t="shared" si="92"/>
        <v>0</v>
      </c>
      <c r="BG178" s="328"/>
    </row>
    <row r="179" spans="2:59">
      <c r="B179" s="332">
        <v>164</v>
      </c>
      <c r="C179" s="350">
        <v>146116462.33851966</v>
      </c>
      <c r="D179" s="350">
        <v>147314909.63171169</v>
      </c>
      <c r="E179" s="350">
        <v>148463140.23310912</v>
      </c>
      <c r="F179" s="350">
        <v>149614099.34583881</v>
      </c>
      <c r="G179" s="350">
        <v>150771362.19933784</v>
      </c>
      <c r="H179" s="348">
        <v>742279973.74851716</v>
      </c>
      <c r="I179" s="369"/>
      <c r="J179" s="350">
        <v>180089108.64052361</v>
      </c>
      <c r="K179" s="350">
        <v>215958496.00267288</v>
      </c>
      <c r="L179" s="350">
        <v>252302125.38598013</v>
      </c>
      <c r="M179" s="350">
        <v>289187162.9629308</v>
      </c>
      <c r="N179" s="350">
        <v>326623264.92880547</v>
      </c>
      <c r="O179" s="348">
        <v>1264160157.9209127</v>
      </c>
      <c r="P179" s="369"/>
      <c r="Q179" s="350">
        <f t="shared" si="93"/>
        <v>33972646.30200395</v>
      </c>
      <c r="R179" s="350">
        <f t="shared" si="94"/>
        <v>68643586.370961189</v>
      </c>
      <c r="S179" s="350">
        <f t="shared" si="95"/>
        <v>103838985.15287101</v>
      </c>
      <c r="T179" s="350">
        <f t="shared" si="96"/>
        <v>139573063.61709198</v>
      </c>
      <c r="U179" s="350">
        <f t="shared" si="97"/>
        <v>175851902.72946763</v>
      </c>
      <c r="V179" s="350">
        <f t="shared" si="98"/>
        <v>521880184.17239559</v>
      </c>
      <c r="W179" s="365"/>
      <c r="X179" s="377">
        <f t="shared" si="76"/>
        <v>0</v>
      </c>
      <c r="Y179" s="377">
        <f t="shared" si="77"/>
        <v>0</v>
      </c>
      <c r="Z179" s="377">
        <f t="shared" si="78"/>
        <v>0</v>
      </c>
      <c r="AA179" s="377">
        <f t="shared" si="79"/>
        <v>0</v>
      </c>
      <c r="AB179" s="377">
        <f t="shared" si="80"/>
        <v>0</v>
      </c>
      <c r="AC179" s="377">
        <f t="shared" si="81"/>
        <v>0</v>
      </c>
      <c r="AD179" s="376"/>
      <c r="AE179" s="332">
        <v>164</v>
      </c>
      <c r="AF179" s="350">
        <v>138315845.79422441</v>
      </c>
      <c r="AG179" s="350">
        <v>139450312.42683157</v>
      </c>
      <c r="AH179" s="350">
        <v>140537243.25075984</v>
      </c>
      <c r="AI179" s="350">
        <v>141626756.92090991</v>
      </c>
      <c r="AJ179" s="350">
        <v>142722237.79846579</v>
      </c>
      <c r="AK179" s="348">
        <v>702652396.19119143</v>
      </c>
      <c r="AL179" s="369"/>
      <c r="AM179" s="350">
        <v>172114789.14273667</v>
      </c>
      <c r="AN179" s="350">
        <v>207712098.3630155</v>
      </c>
      <c r="AO179" s="350">
        <v>243783168.40664777</v>
      </c>
      <c r="AP179" s="350">
        <v>280392264.47299683</v>
      </c>
      <c r="AQ179" s="350">
        <v>317548816.09190702</v>
      </c>
      <c r="AR179" s="348">
        <v>1221551136.477304</v>
      </c>
      <c r="AS179" s="369"/>
      <c r="AT179" s="350">
        <f t="shared" si="99"/>
        <v>33798943.348512262</v>
      </c>
      <c r="AU179" s="350">
        <f t="shared" si="82"/>
        <v>68261785.936183929</v>
      </c>
      <c r="AV179" s="350">
        <f t="shared" si="83"/>
        <v>103245925.15588793</v>
      </c>
      <c r="AW179" s="350">
        <f t="shared" si="84"/>
        <v>138765507.55208692</v>
      </c>
      <c r="AX179" s="350">
        <f t="shared" si="85"/>
        <v>174826578.29344124</v>
      </c>
      <c r="AY179" s="350">
        <f t="shared" si="86"/>
        <v>518898740.28611255</v>
      </c>
      <c r="AZ179" s="365"/>
      <c r="BA179" s="377">
        <f t="shared" si="87"/>
        <v>0</v>
      </c>
      <c r="BB179" s="377">
        <f t="shared" si="88"/>
        <v>0</v>
      </c>
      <c r="BC179" s="377">
        <f t="shared" si="89"/>
        <v>0</v>
      </c>
      <c r="BD179" s="377">
        <f t="shared" si="90"/>
        <v>0</v>
      </c>
      <c r="BE179" s="377">
        <f t="shared" si="91"/>
        <v>0</v>
      </c>
      <c r="BF179" s="377">
        <f t="shared" si="92"/>
        <v>0</v>
      </c>
      <c r="BG179" s="328"/>
    </row>
    <row r="180" spans="2:59">
      <c r="B180" s="332">
        <v>165</v>
      </c>
      <c r="C180" s="350">
        <v>137668916.20908844</v>
      </c>
      <c r="D180" s="350">
        <v>138798076.72493246</v>
      </c>
      <c r="E180" s="350">
        <v>139879923.76613897</v>
      </c>
      <c r="F180" s="350">
        <v>140964341.57310295</v>
      </c>
      <c r="G180" s="350">
        <v>142054698.67770591</v>
      </c>
      <c r="H180" s="348">
        <v>699365956.95096862</v>
      </c>
      <c r="I180" s="369"/>
      <c r="J180" s="350">
        <v>170251526.39646733</v>
      </c>
      <c r="K180" s="350">
        <v>204598210.4026005</v>
      </c>
      <c r="L180" s="350">
        <v>239400038.09186143</v>
      </c>
      <c r="M180" s="350">
        <v>274720530.86993444</v>
      </c>
      <c r="N180" s="350">
        <v>310568884.11042631</v>
      </c>
      <c r="O180" s="348">
        <v>1199539189.87129</v>
      </c>
      <c r="P180" s="369"/>
      <c r="Q180" s="350">
        <f t="shared" si="93"/>
        <v>32582610.187378883</v>
      </c>
      <c r="R180" s="350">
        <f t="shared" si="94"/>
        <v>65800133.677668035</v>
      </c>
      <c r="S180" s="350">
        <f t="shared" si="95"/>
        <v>99520114.325722456</v>
      </c>
      <c r="T180" s="350">
        <f t="shared" si="96"/>
        <v>133756189.29683149</v>
      </c>
      <c r="U180" s="350">
        <f t="shared" si="97"/>
        <v>168514185.43272039</v>
      </c>
      <c r="V180" s="350">
        <f t="shared" si="98"/>
        <v>500173232.92032135</v>
      </c>
      <c r="W180" s="365"/>
      <c r="X180" s="377">
        <f t="shared" si="76"/>
        <v>0</v>
      </c>
      <c r="Y180" s="377">
        <f t="shared" si="77"/>
        <v>0</v>
      </c>
      <c r="Z180" s="377">
        <f t="shared" si="78"/>
        <v>0</v>
      </c>
      <c r="AA180" s="377">
        <f t="shared" si="79"/>
        <v>0</v>
      </c>
      <c r="AB180" s="377">
        <f t="shared" si="80"/>
        <v>0</v>
      </c>
      <c r="AC180" s="377">
        <f t="shared" si="81"/>
        <v>0</v>
      </c>
      <c r="AD180" s="376"/>
      <c r="AE180" s="332">
        <v>165</v>
      </c>
      <c r="AF180" s="350">
        <v>143544918.54130161</v>
      </c>
      <c r="AG180" s="350">
        <v>144722274.03105292</v>
      </c>
      <c r="AH180" s="350">
        <v>145850296.60637617</v>
      </c>
      <c r="AI180" s="350">
        <v>146980999.67321056</v>
      </c>
      <c r="AJ180" s="350">
        <v>148117895.5395472</v>
      </c>
      <c r="AK180" s="348">
        <v>729216384.39148855</v>
      </c>
      <c r="AL180" s="369"/>
      <c r="AM180" s="350">
        <v>176634997.84671921</v>
      </c>
      <c r="AN180" s="350">
        <v>211564071.10892496</v>
      </c>
      <c r="AO180" s="350">
        <v>246954356.76751584</v>
      </c>
      <c r="AP180" s="350">
        <v>282871718.72597945</v>
      </c>
      <c r="AQ180" s="350">
        <v>319325589.45614779</v>
      </c>
      <c r="AR180" s="348">
        <v>1237350733.9052873</v>
      </c>
      <c r="AS180" s="369"/>
      <c r="AT180" s="350">
        <f t="shared" si="99"/>
        <v>33090079.305417597</v>
      </c>
      <c r="AU180" s="350">
        <f t="shared" si="82"/>
        <v>66841797.077872038</v>
      </c>
      <c r="AV180" s="350">
        <f t="shared" si="83"/>
        <v>101104060.16113967</v>
      </c>
      <c r="AW180" s="350">
        <f t="shared" si="84"/>
        <v>135890719.05276889</v>
      </c>
      <c r="AX180" s="350">
        <f t="shared" si="85"/>
        <v>171207693.91660058</v>
      </c>
      <c r="AY180" s="350">
        <f t="shared" si="86"/>
        <v>508134349.51379871</v>
      </c>
      <c r="AZ180" s="365"/>
      <c r="BA180" s="377">
        <f t="shared" si="87"/>
        <v>0</v>
      </c>
      <c r="BB180" s="377">
        <f t="shared" si="88"/>
        <v>0</v>
      </c>
      <c r="BC180" s="377">
        <f t="shared" si="89"/>
        <v>0</v>
      </c>
      <c r="BD180" s="377">
        <f t="shared" si="90"/>
        <v>0</v>
      </c>
      <c r="BE180" s="377">
        <f t="shared" si="91"/>
        <v>0</v>
      </c>
      <c r="BF180" s="377">
        <f t="shared" si="92"/>
        <v>0</v>
      </c>
      <c r="BG180" s="328"/>
    </row>
    <row r="181" spans="2:59">
      <c r="B181" s="332">
        <v>166</v>
      </c>
      <c r="C181" s="350">
        <v>108217909.3024722</v>
      </c>
      <c r="D181" s="350">
        <v>109105512.64574215</v>
      </c>
      <c r="E181" s="350">
        <v>109955924.11267509</v>
      </c>
      <c r="F181" s="350">
        <v>110808356.39086473</v>
      </c>
      <c r="G181" s="350">
        <v>111665457.39450756</v>
      </c>
      <c r="H181" s="348">
        <v>549753159.84626174</v>
      </c>
      <c r="I181" s="369"/>
      <c r="J181" s="350">
        <v>137885390.61492741</v>
      </c>
      <c r="K181" s="350">
        <v>169012675.41817597</v>
      </c>
      <c r="L181" s="350">
        <v>200560179.13400644</v>
      </c>
      <c r="M181" s="350">
        <v>232579531.18543014</v>
      </c>
      <c r="N181" s="350">
        <v>265078684.10566476</v>
      </c>
      <c r="O181" s="348">
        <v>1005116460.4582046</v>
      </c>
      <c r="P181" s="369"/>
      <c r="Q181" s="350">
        <f t="shared" si="93"/>
        <v>29667481.312455207</v>
      </c>
      <c r="R181" s="350">
        <f t="shared" si="94"/>
        <v>59907162.772433817</v>
      </c>
      <c r="S181" s="350">
        <f t="shared" si="95"/>
        <v>90604255.021331355</v>
      </c>
      <c r="T181" s="350">
        <f t="shared" si="96"/>
        <v>121771174.79456541</v>
      </c>
      <c r="U181" s="350">
        <f t="shared" si="97"/>
        <v>153413226.7111572</v>
      </c>
      <c r="V181" s="350">
        <f t="shared" si="98"/>
        <v>455363300.61194289</v>
      </c>
      <c r="W181" s="365"/>
      <c r="X181" s="377">
        <f t="shared" si="76"/>
        <v>0</v>
      </c>
      <c r="Y181" s="377">
        <f t="shared" si="77"/>
        <v>0</v>
      </c>
      <c r="Z181" s="377">
        <f t="shared" si="78"/>
        <v>0</v>
      </c>
      <c r="AA181" s="377">
        <f t="shared" si="79"/>
        <v>0</v>
      </c>
      <c r="AB181" s="377">
        <f t="shared" si="80"/>
        <v>0</v>
      </c>
      <c r="AC181" s="377">
        <f t="shared" si="81"/>
        <v>0</v>
      </c>
      <c r="AD181" s="376"/>
      <c r="AE181" s="332">
        <v>166</v>
      </c>
      <c r="AF181" s="350">
        <v>139742487.53235638</v>
      </c>
      <c r="AG181" s="350">
        <v>140888655.48117432</v>
      </c>
      <c r="AH181" s="350">
        <v>141986797.31907558</v>
      </c>
      <c r="AI181" s="350">
        <v>143087548.64364749</v>
      </c>
      <c r="AJ181" s="350">
        <v>144194328.72365025</v>
      </c>
      <c r="AK181" s="348">
        <v>709899817.69990396</v>
      </c>
      <c r="AL181" s="369"/>
      <c r="AM181" s="350">
        <v>175141751.61598986</v>
      </c>
      <c r="AN181" s="350">
        <v>212397520.64275384</v>
      </c>
      <c r="AO181" s="350">
        <v>250151476.5557242</v>
      </c>
      <c r="AP181" s="350">
        <v>288469072.1446957</v>
      </c>
      <c r="AQ181" s="350">
        <v>327360060.36536348</v>
      </c>
      <c r="AR181" s="348">
        <v>1253519881.3245273</v>
      </c>
      <c r="AS181" s="369"/>
      <c r="AT181" s="350">
        <f t="shared" si="99"/>
        <v>35399264.083633482</v>
      </c>
      <c r="AU181" s="350">
        <f t="shared" si="82"/>
        <v>71508865.16157952</v>
      </c>
      <c r="AV181" s="350">
        <f t="shared" si="83"/>
        <v>108164679.23664862</v>
      </c>
      <c r="AW181" s="350">
        <f t="shared" si="84"/>
        <v>145381523.50104821</v>
      </c>
      <c r="AX181" s="350">
        <f t="shared" si="85"/>
        <v>183165731.64171323</v>
      </c>
      <c r="AY181" s="350">
        <f t="shared" si="86"/>
        <v>543620063.6246233</v>
      </c>
      <c r="AZ181" s="365"/>
      <c r="BA181" s="377">
        <f t="shared" si="87"/>
        <v>0</v>
      </c>
      <c r="BB181" s="377">
        <f t="shared" si="88"/>
        <v>0</v>
      </c>
      <c r="BC181" s="377">
        <f t="shared" si="89"/>
        <v>0</v>
      </c>
      <c r="BD181" s="377">
        <f t="shared" si="90"/>
        <v>0</v>
      </c>
      <c r="BE181" s="377">
        <f t="shared" si="91"/>
        <v>0</v>
      </c>
      <c r="BF181" s="377">
        <f t="shared" si="92"/>
        <v>0</v>
      </c>
      <c r="BG181" s="328"/>
    </row>
    <row r="182" spans="2:59">
      <c r="B182" s="332">
        <v>167</v>
      </c>
      <c r="C182" s="350">
        <v>124640304.04004578</v>
      </c>
      <c r="D182" s="350">
        <v>125662603.87271868</v>
      </c>
      <c r="E182" s="350">
        <v>126642067.84943809</v>
      </c>
      <c r="F182" s="350">
        <v>127623859.30162874</v>
      </c>
      <c r="G182" s="350">
        <v>128611027.97246747</v>
      </c>
      <c r="H182" s="348">
        <v>633179863.03629875</v>
      </c>
      <c r="I182" s="369"/>
      <c r="J182" s="350">
        <v>153154004.86209387</v>
      </c>
      <c r="K182" s="350">
        <v>183257733.73339769</v>
      </c>
      <c r="L182" s="350">
        <v>213758525.83175868</v>
      </c>
      <c r="M182" s="350">
        <v>244713479.3201049</v>
      </c>
      <c r="N182" s="350">
        <v>276130744.97598386</v>
      </c>
      <c r="O182" s="348">
        <v>1071014488.7233388</v>
      </c>
      <c r="P182" s="369"/>
      <c r="Q182" s="350">
        <f t="shared" si="93"/>
        <v>28513700.822048083</v>
      </c>
      <c r="R182" s="350">
        <f t="shared" si="94"/>
        <v>57595129.860679016</v>
      </c>
      <c r="S182" s="350">
        <f t="shared" si="95"/>
        <v>87116457.982320592</v>
      </c>
      <c r="T182" s="350">
        <f t="shared" si="96"/>
        <v>117089620.01847616</v>
      </c>
      <c r="U182" s="350">
        <f t="shared" si="97"/>
        <v>147519717.00351638</v>
      </c>
      <c r="V182" s="350">
        <f t="shared" si="98"/>
        <v>437834625.68704009</v>
      </c>
      <c r="W182" s="365"/>
      <c r="X182" s="377">
        <f t="shared" si="76"/>
        <v>0</v>
      </c>
      <c r="Y182" s="377">
        <f t="shared" si="77"/>
        <v>0</v>
      </c>
      <c r="Z182" s="377">
        <f t="shared" si="78"/>
        <v>0</v>
      </c>
      <c r="AA182" s="377">
        <f t="shared" si="79"/>
        <v>0</v>
      </c>
      <c r="AB182" s="377">
        <f t="shared" si="80"/>
        <v>0</v>
      </c>
      <c r="AC182" s="377">
        <f t="shared" si="81"/>
        <v>0</v>
      </c>
      <c r="AD182" s="376"/>
      <c r="AE182" s="332">
        <v>167</v>
      </c>
      <c r="AF182" s="350">
        <v>146134372.66056722</v>
      </c>
      <c r="AG182" s="350">
        <v>147332966.85422912</v>
      </c>
      <c r="AH182" s="350">
        <v>148481338.20075223</v>
      </c>
      <c r="AI182" s="350">
        <v>149632438.39305669</v>
      </c>
      <c r="AJ182" s="350">
        <v>150789843.09881568</v>
      </c>
      <c r="AK182" s="348">
        <v>742370959.20742106</v>
      </c>
      <c r="AL182" s="369"/>
      <c r="AM182" s="350">
        <v>179389377.65824172</v>
      </c>
      <c r="AN182" s="350">
        <v>214519575.81390402</v>
      </c>
      <c r="AO182" s="350">
        <v>250112822.87304232</v>
      </c>
      <c r="AP182" s="350">
        <v>286235990.70702982</v>
      </c>
      <c r="AQ182" s="350">
        <v>322898606.43455768</v>
      </c>
      <c r="AR182" s="348">
        <v>1253156373.4867754</v>
      </c>
      <c r="AS182" s="369"/>
      <c r="AT182" s="350">
        <f t="shared" si="99"/>
        <v>33255004.997674495</v>
      </c>
      <c r="AU182" s="350">
        <f t="shared" si="82"/>
        <v>67186608.959674895</v>
      </c>
      <c r="AV182" s="350">
        <f t="shared" si="83"/>
        <v>101631484.67229009</v>
      </c>
      <c r="AW182" s="350">
        <f t="shared" si="84"/>
        <v>136603552.31397313</v>
      </c>
      <c r="AX182" s="350">
        <f t="shared" si="85"/>
        <v>172108763.335742</v>
      </c>
      <c r="AY182" s="350">
        <f t="shared" si="86"/>
        <v>510785414.27935433</v>
      </c>
      <c r="AZ182" s="365"/>
      <c r="BA182" s="377">
        <f t="shared" si="87"/>
        <v>0</v>
      </c>
      <c r="BB182" s="377">
        <f t="shared" si="88"/>
        <v>0</v>
      </c>
      <c r="BC182" s="377">
        <f t="shared" si="89"/>
        <v>0</v>
      </c>
      <c r="BD182" s="377">
        <f t="shared" si="90"/>
        <v>0</v>
      </c>
      <c r="BE182" s="377">
        <f t="shared" si="91"/>
        <v>0</v>
      </c>
      <c r="BF182" s="377">
        <f t="shared" si="92"/>
        <v>0</v>
      </c>
      <c r="BG182" s="328"/>
    </row>
    <row r="183" spans="2:59">
      <c r="B183" s="332">
        <v>168</v>
      </c>
      <c r="C183" s="350">
        <v>114932807.21370192</v>
      </c>
      <c r="D183" s="350">
        <v>115875486.15281492</v>
      </c>
      <c r="E183" s="350">
        <v>116778665.46769279</v>
      </c>
      <c r="F183" s="350">
        <v>117683990.98472968</v>
      </c>
      <c r="G183" s="350">
        <v>118594274.92062619</v>
      </c>
      <c r="H183" s="348">
        <v>583865224.73956549</v>
      </c>
      <c r="I183" s="369"/>
      <c r="J183" s="350">
        <v>148116752.68511617</v>
      </c>
      <c r="K183" s="350">
        <v>182901885.22822759</v>
      </c>
      <c r="L183" s="350">
        <v>218159433.65855971</v>
      </c>
      <c r="M183" s="350">
        <v>253944933.3113443</v>
      </c>
      <c r="N183" s="350">
        <v>290267132.59646028</v>
      </c>
      <c r="O183" s="348">
        <v>1093390137.479708</v>
      </c>
      <c r="P183" s="369"/>
      <c r="Q183" s="350">
        <f t="shared" si="93"/>
        <v>33183945.471414253</v>
      </c>
      <c r="R183" s="350">
        <f t="shared" si="94"/>
        <v>67026399.075412661</v>
      </c>
      <c r="S183" s="350">
        <f t="shared" si="95"/>
        <v>101380768.19086692</v>
      </c>
      <c r="T183" s="350">
        <f t="shared" si="96"/>
        <v>136260942.32661462</v>
      </c>
      <c r="U183" s="350">
        <f t="shared" si="97"/>
        <v>171672857.67583409</v>
      </c>
      <c r="V183" s="350">
        <f t="shared" si="98"/>
        <v>509524912.74014246</v>
      </c>
      <c r="W183" s="365"/>
      <c r="X183" s="377">
        <f t="shared" si="76"/>
        <v>0</v>
      </c>
      <c r="Y183" s="377">
        <f t="shared" si="77"/>
        <v>0</v>
      </c>
      <c r="Z183" s="377">
        <f t="shared" si="78"/>
        <v>0</v>
      </c>
      <c r="AA183" s="377">
        <f t="shared" si="79"/>
        <v>0</v>
      </c>
      <c r="AB183" s="377">
        <f t="shared" si="80"/>
        <v>0</v>
      </c>
      <c r="AC183" s="377">
        <f t="shared" si="81"/>
        <v>0</v>
      </c>
      <c r="AD183" s="376"/>
      <c r="AE183" s="332">
        <v>168</v>
      </c>
      <c r="AF183" s="350">
        <v>135988540.30189627</v>
      </c>
      <c r="AG183" s="350">
        <v>137103918.37375489</v>
      </c>
      <c r="AH183" s="350">
        <v>138172560.4755069</v>
      </c>
      <c r="AI183" s="350">
        <v>139243741.9644528</v>
      </c>
      <c r="AJ183" s="350">
        <v>140320790.25644022</v>
      </c>
      <c r="AK183" s="348">
        <v>690829551.372051</v>
      </c>
      <c r="AL183" s="369"/>
      <c r="AM183" s="350">
        <v>169334809.65083572</v>
      </c>
      <c r="AN183" s="350">
        <v>204444738.25429967</v>
      </c>
      <c r="AO183" s="350">
        <v>240022140.86479065</v>
      </c>
      <c r="AP183" s="350">
        <v>276130249.54366392</v>
      </c>
      <c r="AQ183" s="350">
        <v>312778354.88490784</v>
      </c>
      <c r="AR183" s="348">
        <v>1202710293.1984978</v>
      </c>
      <c r="AS183" s="369"/>
      <c r="AT183" s="350">
        <f t="shared" si="99"/>
        <v>33346269.348939449</v>
      </c>
      <c r="AU183" s="350">
        <f t="shared" si="82"/>
        <v>67340819.880544782</v>
      </c>
      <c r="AV183" s="350">
        <f t="shared" si="83"/>
        <v>101849580.38928375</v>
      </c>
      <c r="AW183" s="350">
        <f t="shared" si="84"/>
        <v>136886507.57921112</v>
      </c>
      <c r="AX183" s="350">
        <f t="shared" si="85"/>
        <v>172457564.62846762</v>
      </c>
      <c r="AY183" s="350">
        <f t="shared" si="86"/>
        <v>511880741.82644677</v>
      </c>
      <c r="AZ183" s="365"/>
      <c r="BA183" s="377">
        <f t="shared" si="87"/>
        <v>0</v>
      </c>
      <c r="BB183" s="377">
        <f t="shared" si="88"/>
        <v>0</v>
      </c>
      <c r="BC183" s="377">
        <f t="shared" si="89"/>
        <v>0</v>
      </c>
      <c r="BD183" s="377">
        <f t="shared" si="90"/>
        <v>0</v>
      </c>
      <c r="BE183" s="377">
        <f t="shared" si="91"/>
        <v>0</v>
      </c>
      <c r="BF183" s="377">
        <f t="shared" si="92"/>
        <v>0</v>
      </c>
      <c r="BG183" s="328"/>
    </row>
    <row r="184" spans="2:59">
      <c r="B184" s="332">
        <v>169</v>
      </c>
      <c r="C184" s="350">
        <v>121369369.72345406</v>
      </c>
      <c r="D184" s="350">
        <v>122364841.35131563</v>
      </c>
      <c r="E184" s="350">
        <v>123318601.26418513</v>
      </c>
      <c r="F184" s="350">
        <v>124274627.57260914</v>
      </c>
      <c r="G184" s="350">
        <v>125235889.98538327</v>
      </c>
      <c r="H184" s="348">
        <v>616563329.89694715</v>
      </c>
      <c r="I184" s="369"/>
      <c r="J184" s="350">
        <v>156989822.36139446</v>
      </c>
      <c r="K184" s="350">
        <v>194294264.94720748</v>
      </c>
      <c r="L184" s="350">
        <v>232106212.45220181</v>
      </c>
      <c r="M184" s="350">
        <v>270484551.3038137</v>
      </c>
      <c r="N184" s="350">
        <v>309438620.46520221</v>
      </c>
      <c r="O184" s="348">
        <v>1163313471.5298197</v>
      </c>
      <c r="P184" s="369"/>
      <c r="Q184" s="350">
        <f t="shared" si="93"/>
        <v>35620452.637940407</v>
      </c>
      <c r="R184" s="350">
        <f t="shared" si="94"/>
        <v>71929423.595891848</v>
      </c>
      <c r="S184" s="350">
        <f t="shared" si="95"/>
        <v>108787611.18801668</v>
      </c>
      <c r="T184" s="350">
        <f t="shared" si="96"/>
        <v>146209923.73120457</v>
      </c>
      <c r="U184" s="350">
        <f t="shared" si="97"/>
        <v>184202730.47981894</v>
      </c>
      <c r="V184" s="350">
        <f t="shared" si="98"/>
        <v>546750141.63287258</v>
      </c>
      <c r="W184" s="365"/>
      <c r="X184" s="377">
        <f t="shared" si="76"/>
        <v>0</v>
      </c>
      <c r="Y184" s="377">
        <f t="shared" si="77"/>
        <v>0</v>
      </c>
      <c r="Z184" s="377">
        <f t="shared" si="78"/>
        <v>0</v>
      </c>
      <c r="AA184" s="377">
        <f t="shared" si="79"/>
        <v>0</v>
      </c>
      <c r="AB184" s="377">
        <f t="shared" si="80"/>
        <v>0</v>
      </c>
      <c r="AC184" s="377">
        <f t="shared" si="81"/>
        <v>0</v>
      </c>
      <c r="AD184" s="376"/>
      <c r="AE184" s="332">
        <v>169</v>
      </c>
      <c r="AF184" s="350">
        <v>136566599.28773755</v>
      </c>
      <c r="AG184" s="350">
        <v>137686718.59967136</v>
      </c>
      <c r="AH184" s="350">
        <v>138759903.27661535</v>
      </c>
      <c r="AI184" s="350">
        <v>139835638.1351597</v>
      </c>
      <c r="AJ184" s="350">
        <v>140917264.73530445</v>
      </c>
      <c r="AK184" s="348">
        <v>693766124.03448844</v>
      </c>
      <c r="AL184" s="369"/>
      <c r="AM184" s="350">
        <v>175469460.39584452</v>
      </c>
      <c r="AN184" s="350">
        <v>216243190.68185285</v>
      </c>
      <c r="AO184" s="350">
        <v>257569794.08748895</v>
      </c>
      <c r="AP184" s="350">
        <v>299515037.47332025</v>
      </c>
      <c r="AQ184" s="350">
        <v>342089218.39211965</v>
      </c>
      <c r="AR184" s="348">
        <v>1290886701.0306263</v>
      </c>
      <c r="AS184" s="369"/>
      <c r="AT184" s="350">
        <f t="shared" si="99"/>
        <v>38902861.108106971</v>
      </c>
      <c r="AU184" s="350">
        <f t="shared" si="82"/>
        <v>78556472.082181484</v>
      </c>
      <c r="AV184" s="350">
        <f t="shared" si="83"/>
        <v>118809890.8108736</v>
      </c>
      <c r="AW184" s="350">
        <f t="shared" si="84"/>
        <v>159679399.33816054</v>
      </c>
      <c r="AX184" s="350">
        <f t="shared" si="85"/>
        <v>201171953.6568152</v>
      </c>
      <c r="AY184" s="350">
        <f t="shared" si="86"/>
        <v>597120576.99613786</v>
      </c>
      <c r="AZ184" s="365"/>
      <c r="BA184" s="377">
        <f t="shared" si="87"/>
        <v>0</v>
      </c>
      <c r="BB184" s="377">
        <f t="shared" si="88"/>
        <v>0</v>
      </c>
      <c r="BC184" s="377">
        <f t="shared" si="89"/>
        <v>0</v>
      </c>
      <c r="BD184" s="377">
        <f t="shared" si="90"/>
        <v>0</v>
      </c>
      <c r="BE184" s="377">
        <f t="shared" si="91"/>
        <v>0</v>
      </c>
      <c r="BF184" s="377">
        <f t="shared" si="92"/>
        <v>0</v>
      </c>
      <c r="BG184" s="328"/>
    </row>
    <row r="185" spans="2:59">
      <c r="B185" s="332">
        <v>170</v>
      </c>
      <c r="C185" s="350">
        <v>126014816.37571082</v>
      </c>
      <c r="D185" s="350">
        <v>127048389.95921075</v>
      </c>
      <c r="E185" s="350">
        <v>128038655.30013341</v>
      </c>
      <c r="F185" s="350">
        <v>129031273.78353584</v>
      </c>
      <c r="G185" s="350">
        <v>130029328.7846503</v>
      </c>
      <c r="H185" s="348">
        <v>640162464.20324111</v>
      </c>
      <c r="I185" s="369"/>
      <c r="J185" s="350">
        <v>159665321.84622806</v>
      </c>
      <c r="K185" s="350">
        <v>195008166.29099143</v>
      </c>
      <c r="L185" s="350">
        <v>230826675.1214675</v>
      </c>
      <c r="M185" s="350">
        <v>267180594.01526609</v>
      </c>
      <c r="N185" s="350">
        <v>304079024.62858349</v>
      </c>
      <c r="O185" s="348">
        <v>1156759781.9025366</v>
      </c>
      <c r="P185" s="369"/>
      <c r="Q185" s="350">
        <f t="shared" si="93"/>
        <v>33650505.470517248</v>
      </c>
      <c r="R185" s="350">
        <f t="shared" si="94"/>
        <v>67959776.331780672</v>
      </c>
      <c r="S185" s="350">
        <f t="shared" si="95"/>
        <v>102788019.82133409</v>
      </c>
      <c r="T185" s="350">
        <f t="shared" si="96"/>
        <v>138149320.23173025</v>
      </c>
      <c r="U185" s="350">
        <f t="shared" si="97"/>
        <v>174049695.84393319</v>
      </c>
      <c r="V185" s="350">
        <f t="shared" si="98"/>
        <v>516597317.69929552</v>
      </c>
      <c r="W185" s="365"/>
      <c r="X185" s="377">
        <f t="shared" si="76"/>
        <v>0</v>
      </c>
      <c r="Y185" s="377">
        <f t="shared" si="77"/>
        <v>0</v>
      </c>
      <c r="Z185" s="377">
        <f t="shared" si="78"/>
        <v>0</v>
      </c>
      <c r="AA185" s="377">
        <f t="shared" si="79"/>
        <v>0</v>
      </c>
      <c r="AB185" s="377">
        <f t="shared" si="80"/>
        <v>0</v>
      </c>
      <c r="AC185" s="377">
        <f t="shared" si="81"/>
        <v>0</v>
      </c>
      <c r="AD185" s="376"/>
      <c r="AE185" s="332">
        <v>170</v>
      </c>
      <c r="AF185" s="350">
        <v>134945140.32875127</v>
      </c>
      <c r="AG185" s="350">
        <v>136051960.43353677</v>
      </c>
      <c r="AH185" s="350">
        <v>137112403.1595341</v>
      </c>
      <c r="AI185" s="350">
        <v>138175365.78875604</v>
      </c>
      <c r="AJ185" s="350">
        <v>139244150.20676965</v>
      </c>
      <c r="AK185" s="348">
        <v>685529019.91734791</v>
      </c>
      <c r="AL185" s="369"/>
      <c r="AM185" s="350">
        <v>167998542.55623174</v>
      </c>
      <c r="AN185" s="350">
        <v>202829093.64279616</v>
      </c>
      <c r="AO185" s="350">
        <v>238123393.67570877</v>
      </c>
      <c r="AP185" s="350">
        <v>273944175.60624886</v>
      </c>
      <c r="AQ185" s="350">
        <v>310300656.36035365</v>
      </c>
      <c r="AR185" s="348">
        <v>1193195861.8413391</v>
      </c>
      <c r="AS185" s="369"/>
      <c r="AT185" s="350">
        <f t="shared" si="99"/>
        <v>33053402.227480471</v>
      </c>
      <c r="AU185" s="350">
        <f t="shared" si="82"/>
        <v>66777133.209259391</v>
      </c>
      <c r="AV185" s="350">
        <f t="shared" si="83"/>
        <v>101010990.51617467</v>
      </c>
      <c r="AW185" s="350">
        <f t="shared" si="84"/>
        <v>135768809.81749281</v>
      </c>
      <c r="AX185" s="350">
        <f t="shared" si="85"/>
        <v>171056506.153584</v>
      </c>
      <c r="AY185" s="350">
        <f t="shared" si="86"/>
        <v>507666841.9239912</v>
      </c>
      <c r="AZ185" s="365"/>
      <c r="BA185" s="377">
        <f t="shared" si="87"/>
        <v>0</v>
      </c>
      <c r="BB185" s="377">
        <f t="shared" si="88"/>
        <v>0</v>
      </c>
      <c r="BC185" s="377">
        <f t="shared" si="89"/>
        <v>0</v>
      </c>
      <c r="BD185" s="377">
        <f t="shared" si="90"/>
        <v>0</v>
      </c>
      <c r="BE185" s="377">
        <f t="shared" si="91"/>
        <v>0</v>
      </c>
      <c r="BF185" s="377">
        <f t="shared" si="92"/>
        <v>0</v>
      </c>
      <c r="BG185" s="328"/>
    </row>
    <row r="186" spans="2:59">
      <c r="B186" s="332">
        <v>171</v>
      </c>
      <c r="C186" s="350">
        <v>112928232.91676074</v>
      </c>
      <c r="D186" s="350">
        <v>113854470.33654237</v>
      </c>
      <c r="E186" s="350">
        <v>114741897.05576</v>
      </c>
      <c r="F186" s="350">
        <v>115631432.54464203</v>
      </c>
      <c r="G186" s="350">
        <v>116525839.97125413</v>
      </c>
      <c r="H186" s="348">
        <v>573681872.82495928</v>
      </c>
      <c r="I186" s="369"/>
      <c r="J186" s="350">
        <v>144899520.76795697</v>
      </c>
      <c r="K186" s="350">
        <v>178422599.92797646</v>
      </c>
      <c r="L186" s="350">
        <v>212399938.12760064</v>
      </c>
      <c r="M186" s="350">
        <v>246885836.28060928</v>
      </c>
      <c r="N186" s="350">
        <v>281888775.46195602</v>
      </c>
      <c r="O186" s="348">
        <v>1064496670.5660994</v>
      </c>
      <c r="P186" s="369"/>
      <c r="Q186" s="350">
        <f t="shared" si="93"/>
        <v>31971287.851196229</v>
      </c>
      <c r="R186" s="350">
        <f t="shared" si="94"/>
        <v>64568129.591434091</v>
      </c>
      <c r="S186" s="350">
        <f t="shared" si="95"/>
        <v>97658041.071840644</v>
      </c>
      <c r="T186" s="350">
        <f t="shared" si="96"/>
        <v>131254403.73596725</v>
      </c>
      <c r="U186" s="350">
        <f t="shared" si="97"/>
        <v>165362935.49070191</v>
      </c>
      <c r="V186" s="350">
        <f t="shared" si="98"/>
        <v>490814797.74114013</v>
      </c>
      <c r="W186" s="365"/>
      <c r="X186" s="377">
        <f t="shared" si="76"/>
        <v>0</v>
      </c>
      <c r="Y186" s="377">
        <f t="shared" si="77"/>
        <v>0</v>
      </c>
      <c r="Z186" s="377">
        <f t="shared" si="78"/>
        <v>0</v>
      </c>
      <c r="AA186" s="377">
        <f t="shared" si="79"/>
        <v>0</v>
      </c>
      <c r="AB186" s="377">
        <f t="shared" si="80"/>
        <v>0</v>
      </c>
      <c r="AC186" s="377">
        <f t="shared" si="81"/>
        <v>0</v>
      </c>
      <c r="AD186" s="376"/>
      <c r="AE186" s="332">
        <v>171</v>
      </c>
      <c r="AF186" s="350">
        <v>125626900.03738043</v>
      </c>
      <c r="AG186" s="350">
        <v>126657291.93088996</v>
      </c>
      <c r="AH186" s="350">
        <v>127644508.89927933</v>
      </c>
      <c r="AI186" s="350">
        <v>128634071.76637793</v>
      </c>
      <c r="AJ186" s="350">
        <v>129629054.41574347</v>
      </c>
      <c r="AK186" s="348">
        <v>638191827.04967117</v>
      </c>
      <c r="AL186" s="369"/>
      <c r="AM186" s="350">
        <v>154407252.98716119</v>
      </c>
      <c r="AN186" s="350">
        <v>184786810.41588601</v>
      </c>
      <c r="AO186" s="350">
        <v>215567139.95471743</v>
      </c>
      <c r="AP186" s="350">
        <v>246805808.63542885</v>
      </c>
      <c r="AQ186" s="350">
        <v>278511038.43449807</v>
      </c>
      <c r="AR186" s="348">
        <v>1080078050.4276915</v>
      </c>
      <c r="AS186" s="369"/>
      <c r="AT186" s="350">
        <f t="shared" si="99"/>
        <v>28780352.949780762</v>
      </c>
      <c r="AU186" s="350">
        <f t="shared" si="82"/>
        <v>58129518.484996051</v>
      </c>
      <c r="AV186" s="350">
        <f t="shared" si="83"/>
        <v>87922631.055438101</v>
      </c>
      <c r="AW186" s="350">
        <f t="shared" si="84"/>
        <v>118171736.86905092</v>
      </c>
      <c r="AX186" s="350">
        <f t="shared" si="85"/>
        <v>148881984.0187546</v>
      </c>
      <c r="AY186" s="350">
        <f t="shared" si="86"/>
        <v>441886223.37802029</v>
      </c>
      <c r="AZ186" s="365"/>
      <c r="BA186" s="377">
        <f t="shared" si="87"/>
        <v>0</v>
      </c>
      <c r="BB186" s="377">
        <f t="shared" si="88"/>
        <v>0</v>
      </c>
      <c r="BC186" s="377">
        <f t="shared" si="89"/>
        <v>0</v>
      </c>
      <c r="BD186" s="377">
        <f t="shared" si="90"/>
        <v>0</v>
      </c>
      <c r="BE186" s="377">
        <f t="shared" si="91"/>
        <v>0</v>
      </c>
      <c r="BF186" s="377">
        <f t="shared" si="92"/>
        <v>0</v>
      </c>
      <c r="BG186" s="328"/>
    </row>
    <row r="187" spans="2:59">
      <c r="B187" s="332">
        <v>172</v>
      </c>
      <c r="C187" s="350">
        <v>144646928.52598515</v>
      </c>
      <c r="D187" s="350">
        <v>145833322.70215195</v>
      </c>
      <c r="E187" s="350">
        <v>146970005.22972977</v>
      </c>
      <c r="F187" s="350">
        <v>148109388.82724422</v>
      </c>
      <c r="G187" s="350">
        <v>149255012.76705766</v>
      </c>
      <c r="H187" s="348">
        <v>734814658.05216885</v>
      </c>
      <c r="I187" s="369"/>
      <c r="J187" s="350">
        <v>175965315.33537936</v>
      </c>
      <c r="K187" s="350">
        <v>209092283.71161479</v>
      </c>
      <c r="L187" s="350">
        <v>242652687.6282391</v>
      </c>
      <c r="M187" s="350">
        <v>276712048.50120366</v>
      </c>
      <c r="N187" s="350">
        <v>311279508.17772597</v>
      </c>
      <c r="O187" s="348">
        <v>1215701843.3541629</v>
      </c>
      <c r="P187" s="369"/>
      <c r="Q187" s="350">
        <f t="shared" si="93"/>
        <v>31318386.809394211</v>
      </c>
      <c r="R187" s="350">
        <f t="shared" si="94"/>
        <v>63258961.009462833</v>
      </c>
      <c r="S187" s="350">
        <f t="shared" si="95"/>
        <v>95682682.398509324</v>
      </c>
      <c r="T187" s="350">
        <f t="shared" si="96"/>
        <v>128602659.67395943</v>
      </c>
      <c r="U187" s="350">
        <f t="shared" si="97"/>
        <v>162024495.41066831</v>
      </c>
      <c r="V187" s="350">
        <f t="shared" si="98"/>
        <v>480887185.30199409</v>
      </c>
      <c r="W187" s="365"/>
      <c r="X187" s="377">
        <f t="shared" si="76"/>
        <v>0</v>
      </c>
      <c r="Y187" s="377">
        <f t="shared" si="77"/>
        <v>0</v>
      </c>
      <c r="Z187" s="377">
        <f t="shared" si="78"/>
        <v>0</v>
      </c>
      <c r="AA187" s="377">
        <f t="shared" si="79"/>
        <v>0</v>
      </c>
      <c r="AB187" s="377">
        <f t="shared" si="80"/>
        <v>0</v>
      </c>
      <c r="AC187" s="377">
        <f t="shared" si="81"/>
        <v>0</v>
      </c>
      <c r="AD187" s="376"/>
      <c r="AE187" s="332">
        <v>172</v>
      </c>
      <c r="AF187" s="350">
        <v>135584477.09911859</v>
      </c>
      <c r="AG187" s="350">
        <v>136696541.04439694</v>
      </c>
      <c r="AH187" s="350">
        <v>137762007.88631237</v>
      </c>
      <c r="AI187" s="350">
        <v>138830006.57013202</v>
      </c>
      <c r="AJ187" s="350">
        <v>139903854.62494174</v>
      </c>
      <c r="AK187" s="348">
        <v>688776887.22490156</v>
      </c>
      <c r="AL187" s="369"/>
      <c r="AM187" s="350">
        <v>169700848.31471267</v>
      </c>
      <c r="AN187" s="350">
        <v>205596657.62728944</v>
      </c>
      <c r="AO187" s="350">
        <v>241972019.27623615</v>
      </c>
      <c r="AP187" s="350">
        <v>278890341.45731604</v>
      </c>
      <c r="AQ187" s="350">
        <v>316361043.22106475</v>
      </c>
      <c r="AR187" s="348">
        <v>1212520909.8966191</v>
      </c>
      <c r="AS187" s="369"/>
      <c r="AT187" s="350">
        <f t="shared" si="99"/>
        <v>34116371.215594083</v>
      </c>
      <c r="AU187" s="350">
        <f t="shared" si="82"/>
        <v>68900116.582892507</v>
      </c>
      <c r="AV187" s="350">
        <f t="shared" si="83"/>
        <v>104210011.38992378</v>
      </c>
      <c r="AW187" s="350">
        <f t="shared" si="84"/>
        <v>140060334.88718402</v>
      </c>
      <c r="AX187" s="350">
        <f t="shared" si="85"/>
        <v>176457188.59612301</v>
      </c>
      <c r="AY187" s="350">
        <f t="shared" si="86"/>
        <v>523744022.67171752</v>
      </c>
      <c r="AZ187" s="365"/>
      <c r="BA187" s="377">
        <f t="shared" si="87"/>
        <v>0</v>
      </c>
      <c r="BB187" s="377">
        <f t="shared" si="88"/>
        <v>0</v>
      </c>
      <c r="BC187" s="377">
        <f t="shared" si="89"/>
        <v>0</v>
      </c>
      <c r="BD187" s="377">
        <f t="shared" si="90"/>
        <v>0</v>
      </c>
      <c r="BE187" s="377">
        <f t="shared" si="91"/>
        <v>0</v>
      </c>
      <c r="BF187" s="377">
        <f t="shared" si="92"/>
        <v>0</v>
      </c>
      <c r="BG187" s="328"/>
    </row>
    <row r="188" spans="2:59">
      <c r="B188" s="332">
        <v>173</v>
      </c>
      <c r="C188" s="350">
        <v>147551282.38801265</v>
      </c>
      <c r="D188" s="350">
        <v>148761498.07592905</v>
      </c>
      <c r="E188" s="350">
        <v>149921003.95912534</v>
      </c>
      <c r="F188" s="350">
        <v>151083265.14682093</v>
      </c>
      <c r="G188" s="350">
        <v>152251891.97613871</v>
      </c>
      <c r="H188" s="348">
        <v>749568941.54602671</v>
      </c>
      <c r="I188" s="369"/>
      <c r="J188" s="350">
        <v>181074841.73528162</v>
      </c>
      <c r="K188" s="350">
        <v>216494123.43910286</v>
      </c>
      <c r="L188" s="350">
        <v>252380165.75374234</v>
      </c>
      <c r="M188" s="350">
        <v>288800466.57211381</v>
      </c>
      <c r="N188" s="350">
        <v>325764636.26960021</v>
      </c>
      <c r="O188" s="348">
        <v>1264514233.7698407</v>
      </c>
      <c r="P188" s="369"/>
      <c r="Q188" s="350">
        <f t="shared" si="93"/>
        <v>33523559.347268969</v>
      </c>
      <c r="R188" s="350">
        <f t="shared" si="94"/>
        <v>67732625.363173813</v>
      </c>
      <c r="S188" s="350">
        <f t="shared" si="95"/>
        <v>102459161.794617</v>
      </c>
      <c r="T188" s="350">
        <f t="shared" si="96"/>
        <v>137717201.42529288</v>
      </c>
      <c r="U188" s="350">
        <f t="shared" si="97"/>
        <v>173512744.2934615</v>
      </c>
      <c r="V188" s="350">
        <f t="shared" si="98"/>
        <v>514945292.22381401</v>
      </c>
      <c r="W188" s="365"/>
      <c r="X188" s="377">
        <f t="shared" si="76"/>
        <v>0</v>
      </c>
      <c r="Y188" s="377">
        <f t="shared" si="77"/>
        <v>0</v>
      </c>
      <c r="Z188" s="377">
        <f t="shared" si="78"/>
        <v>0</v>
      </c>
      <c r="AA188" s="377">
        <f t="shared" si="79"/>
        <v>0</v>
      </c>
      <c r="AB188" s="377">
        <f t="shared" si="80"/>
        <v>0</v>
      </c>
      <c r="AC188" s="377">
        <f t="shared" si="81"/>
        <v>0</v>
      </c>
      <c r="AD188" s="376"/>
      <c r="AE188" s="332">
        <v>173</v>
      </c>
      <c r="AF188" s="350">
        <v>115077059.39489734</v>
      </c>
      <c r="AG188" s="350">
        <v>116020921.49046877</v>
      </c>
      <c r="AH188" s="350">
        <v>116925234.38582151</v>
      </c>
      <c r="AI188" s="350">
        <v>117831696.17703187</v>
      </c>
      <c r="AJ188" s="350">
        <v>118743122.61041403</v>
      </c>
      <c r="AK188" s="348">
        <v>584598034.05863357</v>
      </c>
      <c r="AL188" s="369"/>
      <c r="AM188" s="350">
        <v>145090907.41391778</v>
      </c>
      <c r="AN188" s="350">
        <v>176645250.66797209</v>
      </c>
      <c r="AO188" s="350">
        <v>208623072.50534424</v>
      </c>
      <c r="AP188" s="350">
        <v>241078633.7088578</v>
      </c>
      <c r="AQ188" s="350">
        <v>274020119.28486139</v>
      </c>
      <c r="AR188" s="348">
        <v>1045457983.5809534</v>
      </c>
      <c r="AS188" s="369"/>
      <c r="AT188" s="350">
        <f t="shared" si="99"/>
        <v>30013848.019020438</v>
      </c>
      <c r="AU188" s="350">
        <f t="shared" si="82"/>
        <v>60624329.177503318</v>
      </c>
      <c r="AV188" s="350">
        <f t="shared" si="83"/>
        <v>91697838.119522735</v>
      </c>
      <c r="AW188" s="350">
        <f t="shared" si="84"/>
        <v>123246937.53182593</v>
      </c>
      <c r="AX188" s="350">
        <f t="shared" si="85"/>
        <v>155276996.67444736</v>
      </c>
      <c r="AY188" s="350">
        <f t="shared" si="86"/>
        <v>460859949.52231979</v>
      </c>
      <c r="AZ188" s="365"/>
      <c r="BA188" s="377">
        <f t="shared" si="87"/>
        <v>0</v>
      </c>
      <c r="BB188" s="377">
        <f t="shared" si="88"/>
        <v>0</v>
      </c>
      <c r="BC188" s="377">
        <f t="shared" si="89"/>
        <v>0</v>
      </c>
      <c r="BD188" s="377">
        <f t="shared" si="90"/>
        <v>0</v>
      </c>
      <c r="BE188" s="377">
        <f t="shared" si="91"/>
        <v>0</v>
      </c>
      <c r="BF188" s="377">
        <f t="shared" si="92"/>
        <v>0</v>
      </c>
      <c r="BG188" s="328"/>
    </row>
    <row r="189" spans="2:59">
      <c r="B189" s="332">
        <v>174</v>
      </c>
      <c r="C189" s="350">
        <v>148360692.8311772</v>
      </c>
      <c r="D189" s="350">
        <v>149577547.30393121</v>
      </c>
      <c r="E189" s="350">
        <v>150743413.79718512</v>
      </c>
      <c r="F189" s="350">
        <v>151912050.70949507</v>
      </c>
      <c r="G189" s="350">
        <v>153087088.18292588</v>
      </c>
      <c r="H189" s="348">
        <v>753680792.82471442</v>
      </c>
      <c r="I189" s="369"/>
      <c r="J189" s="350">
        <v>187501313.49405393</v>
      </c>
      <c r="K189" s="350">
        <v>228624939.63395369</v>
      </c>
      <c r="L189" s="350">
        <v>270301219.90590715</v>
      </c>
      <c r="M189" s="350">
        <v>312600294.86294818</v>
      </c>
      <c r="N189" s="350">
        <v>355532794.80280256</v>
      </c>
      <c r="O189" s="348">
        <v>1354560562.6996655</v>
      </c>
      <c r="P189" s="369"/>
      <c r="Q189" s="350">
        <f t="shared" si="93"/>
        <v>39140620.662876725</v>
      </c>
      <c r="R189" s="350">
        <f t="shared" si="94"/>
        <v>79047392.330022484</v>
      </c>
      <c r="S189" s="350">
        <f t="shared" si="95"/>
        <v>119557806.10872203</v>
      </c>
      <c r="T189" s="350">
        <f t="shared" si="96"/>
        <v>160688244.15345311</v>
      </c>
      <c r="U189" s="350">
        <f t="shared" si="97"/>
        <v>202445706.61987668</v>
      </c>
      <c r="V189" s="350">
        <f t="shared" si="98"/>
        <v>600879769.87495112</v>
      </c>
      <c r="W189" s="365"/>
      <c r="X189" s="377">
        <f t="shared" si="76"/>
        <v>0</v>
      </c>
      <c r="Y189" s="377">
        <f t="shared" si="77"/>
        <v>0</v>
      </c>
      <c r="Z189" s="377">
        <f t="shared" si="78"/>
        <v>0</v>
      </c>
      <c r="AA189" s="377">
        <f t="shared" si="79"/>
        <v>0</v>
      </c>
      <c r="AB189" s="377">
        <f t="shared" si="80"/>
        <v>0</v>
      </c>
      <c r="AC189" s="377">
        <f t="shared" si="81"/>
        <v>0</v>
      </c>
      <c r="AD189" s="376"/>
      <c r="AE189" s="332">
        <v>174</v>
      </c>
      <c r="AF189" s="350">
        <v>130263018.49419977</v>
      </c>
      <c r="AG189" s="350">
        <v>131331435.83348432</v>
      </c>
      <c r="AH189" s="350">
        <v>132355084.92593849</v>
      </c>
      <c r="AI189" s="350">
        <v>133381166.48983671</v>
      </c>
      <c r="AJ189" s="350">
        <v>134412867.84692776</v>
      </c>
      <c r="AK189" s="348">
        <v>661743573.59038711</v>
      </c>
      <c r="AL189" s="369"/>
      <c r="AM189" s="350">
        <v>165234103.21249411</v>
      </c>
      <c r="AN189" s="350">
        <v>201971030.24522632</v>
      </c>
      <c r="AO189" s="350">
        <v>239202727.84883291</v>
      </c>
      <c r="AP189" s="350">
        <v>276991034.46924061</v>
      </c>
      <c r="AQ189" s="350">
        <v>315345393.8452577</v>
      </c>
      <c r="AR189" s="348">
        <v>1198744289.6210518</v>
      </c>
      <c r="AS189" s="369"/>
      <c r="AT189" s="350">
        <f t="shared" si="99"/>
        <v>34971084.718294337</v>
      </c>
      <c r="AU189" s="350">
        <f t="shared" si="82"/>
        <v>70639594.411742002</v>
      </c>
      <c r="AV189" s="350">
        <f t="shared" si="83"/>
        <v>106847642.92289442</v>
      </c>
      <c r="AW189" s="350">
        <f t="shared" si="84"/>
        <v>143609867.97940391</v>
      </c>
      <c r="AX189" s="350">
        <f t="shared" si="85"/>
        <v>180932525.99832994</v>
      </c>
      <c r="AY189" s="350">
        <f t="shared" si="86"/>
        <v>537000716.03066468</v>
      </c>
      <c r="AZ189" s="365"/>
      <c r="BA189" s="377">
        <f t="shared" si="87"/>
        <v>0</v>
      </c>
      <c r="BB189" s="377">
        <f t="shared" si="88"/>
        <v>0</v>
      </c>
      <c r="BC189" s="377">
        <f t="shared" si="89"/>
        <v>0</v>
      </c>
      <c r="BD189" s="377">
        <f t="shared" si="90"/>
        <v>0</v>
      </c>
      <c r="BE189" s="377">
        <f t="shared" si="91"/>
        <v>0</v>
      </c>
      <c r="BF189" s="377">
        <f t="shared" si="92"/>
        <v>0</v>
      </c>
      <c r="BG189" s="328"/>
    </row>
    <row r="190" spans="2:59">
      <c r="B190" s="332">
        <v>175</v>
      </c>
      <c r="C190" s="350">
        <v>129224221.82718396</v>
      </c>
      <c r="D190" s="350">
        <v>130284118.95571449</v>
      </c>
      <c r="E190" s="350">
        <v>131299604.84668812</v>
      </c>
      <c r="F190" s="350">
        <v>132317503.81109652</v>
      </c>
      <c r="G190" s="350">
        <v>133340977.75304332</v>
      </c>
      <c r="H190" s="348">
        <v>656466427.19372642</v>
      </c>
      <c r="I190" s="369"/>
      <c r="J190" s="350">
        <v>159446005.55051425</v>
      </c>
      <c r="K190" s="350">
        <v>191331821.42344317</v>
      </c>
      <c r="L190" s="350">
        <v>223639514.20468014</v>
      </c>
      <c r="M190" s="350">
        <v>256428558.1133247</v>
      </c>
      <c r="N190" s="350">
        <v>289707522.02586818</v>
      </c>
      <c r="O190" s="348">
        <v>1120553421.3178303</v>
      </c>
      <c r="P190" s="369"/>
      <c r="Q190" s="350">
        <f t="shared" si="93"/>
        <v>30221783.723330289</v>
      </c>
      <c r="R190" s="350">
        <f t="shared" si="94"/>
        <v>61047702.467728674</v>
      </c>
      <c r="S190" s="350">
        <f t="shared" si="95"/>
        <v>92339909.357992023</v>
      </c>
      <c r="T190" s="350">
        <f t="shared" si="96"/>
        <v>124111054.30222818</v>
      </c>
      <c r="U190" s="350">
        <f t="shared" si="97"/>
        <v>156366544.27282485</v>
      </c>
      <c r="V190" s="350">
        <f t="shared" si="98"/>
        <v>464086994.1241039</v>
      </c>
      <c r="W190" s="365"/>
      <c r="X190" s="377">
        <f t="shared" si="76"/>
        <v>0</v>
      </c>
      <c r="Y190" s="377">
        <f t="shared" si="77"/>
        <v>0</v>
      </c>
      <c r="Z190" s="377">
        <f t="shared" si="78"/>
        <v>0</v>
      </c>
      <c r="AA190" s="377">
        <f t="shared" si="79"/>
        <v>0</v>
      </c>
      <c r="AB190" s="377">
        <f t="shared" si="80"/>
        <v>0</v>
      </c>
      <c r="AC190" s="377">
        <f t="shared" si="81"/>
        <v>0</v>
      </c>
      <c r="AD190" s="376"/>
      <c r="AE190" s="332">
        <v>175</v>
      </c>
      <c r="AF190" s="350">
        <v>113473626.19080761</v>
      </c>
      <c r="AG190" s="350">
        <v>114404336.92648084</v>
      </c>
      <c r="AH190" s="350">
        <v>115296049.52312145</v>
      </c>
      <c r="AI190" s="350">
        <v>116189881.07384855</v>
      </c>
      <c r="AJ190" s="350">
        <v>117088608.09160388</v>
      </c>
      <c r="AK190" s="348">
        <v>576452501.80586243</v>
      </c>
      <c r="AL190" s="369"/>
      <c r="AM190" s="350">
        <v>145511893.90261501</v>
      </c>
      <c r="AN190" s="350">
        <v>179128320.92197767</v>
      </c>
      <c r="AO190" s="350">
        <v>213200173.40572566</v>
      </c>
      <c r="AP190" s="350">
        <v>247781979.06841433</v>
      </c>
      <c r="AQ190" s="350">
        <v>282882247.4508971</v>
      </c>
      <c r="AR190" s="348">
        <v>1068504614.7496297</v>
      </c>
      <c r="AS190" s="369"/>
      <c r="AT190" s="350">
        <f t="shared" si="99"/>
        <v>32038267.7118074</v>
      </c>
      <c r="AU190" s="350">
        <f t="shared" si="82"/>
        <v>64723983.995496824</v>
      </c>
      <c r="AV190" s="350">
        <f t="shared" si="83"/>
        <v>97904123.882604212</v>
      </c>
      <c r="AW190" s="350">
        <f t="shared" si="84"/>
        <v>131592097.99456578</v>
      </c>
      <c r="AX190" s="350">
        <f t="shared" si="85"/>
        <v>165793639.35929322</v>
      </c>
      <c r="AY190" s="350">
        <f t="shared" si="86"/>
        <v>492052112.94376731</v>
      </c>
      <c r="AZ190" s="365"/>
      <c r="BA190" s="377">
        <f t="shared" si="87"/>
        <v>0</v>
      </c>
      <c r="BB190" s="377">
        <f t="shared" si="88"/>
        <v>0</v>
      </c>
      <c r="BC190" s="377">
        <f t="shared" si="89"/>
        <v>0</v>
      </c>
      <c r="BD190" s="377">
        <f t="shared" si="90"/>
        <v>0</v>
      </c>
      <c r="BE190" s="377">
        <f t="shared" si="91"/>
        <v>0</v>
      </c>
      <c r="BF190" s="377">
        <f t="shared" si="92"/>
        <v>0</v>
      </c>
      <c r="BG190" s="328"/>
    </row>
    <row r="191" spans="2:59">
      <c r="B191" s="332">
        <v>176</v>
      </c>
      <c r="C191" s="350">
        <v>122207836.7013211</v>
      </c>
      <c r="D191" s="350">
        <v>123210185.43573159</v>
      </c>
      <c r="E191" s="350">
        <v>124170534.29434228</v>
      </c>
      <c r="F191" s="350">
        <v>125133165.20565262</v>
      </c>
      <c r="G191" s="350">
        <v>126101068.39436564</v>
      </c>
      <c r="H191" s="348">
        <v>620822790.0314132</v>
      </c>
      <c r="I191" s="369"/>
      <c r="J191" s="350">
        <v>148541221.44117945</v>
      </c>
      <c r="K191" s="350">
        <v>176408566.21219411</v>
      </c>
      <c r="L191" s="350">
        <v>204640286.77708939</v>
      </c>
      <c r="M191" s="350">
        <v>233291687.69763276</v>
      </c>
      <c r="N191" s="350">
        <v>262370471.29293495</v>
      </c>
      <c r="O191" s="348">
        <v>1025252233.4210308</v>
      </c>
      <c r="P191" s="369"/>
      <c r="Q191" s="350">
        <f t="shared" si="93"/>
        <v>26333384.739858359</v>
      </c>
      <c r="R191" s="350">
        <f t="shared" si="94"/>
        <v>53198380.776462525</v>
      </c>
      <c r="S191" s="350">
        <f t="shared" si="95"/>
        <v>80469752.482747108</v>
      </c>
      <c r="T191" s="350">
        <f t="shared" si="96"/>
        <v>108158522.49198014</v>
      </c>
      <c r="U191" s="350">
        <f t="shared" si="97"/>
        <v>136269402.89856932</v>
      </c>
      <c r="V191" s="350">
        <f t="shared" si="98"/>
        <v>404429443.38961756</v>
      </c>
      <c r="W191" s="365"/>
      <c r="X191" s="377">
        <f t="shared" si="76"/>
        <v>0</v>
      </c>
      <c r="Y191" s="377">
        <f t="shared" si="77"/>
        <v>0</v>
      </c>
      <c r="Z191" s="377">
        <f t="shared" si="78"/>
        <v>0</v>
      </c>
      <c r="AA191" s="377">
        <f t="shared" si="79"/>
        <v>0</v>
      </c>
      <c r="AB191" s="377">
        <f t="shared" si="80"/>
        <v>0</v>
      </c>
      <c r="AC191" s="377">
        <f t="shared" si="81"/>
        <v>0</v>
      </c>
      <c r="AD191" s="376"/>
      <c r="AE191" s="332">
        <v>176</v>
      </c>
      <c r="AF191" s="350">
        <v>148199845.24939555</v>
      </c>
      <c r="AG191" s="350">
        <v>149415380.45020774</v>
      </c>
      <c r="AH191" s="350">
        <v>150579982.95094088</v>
      </c>
      <c r="AI191" s="350">
        <v>151747352.86713657</v>
      </c>
      <c r="AJ191" s="350">
        <v>152921116.40518394</v>
      </c>
      <c r="AK191" s="348">
        <v>752863677.92286468</v>
      </c>
      <c r="AL191" s="369"/>
      <c r="AM191" s="350">
        <v>188711559.09779325</v>
      </c>
      <c r="AN191" s="350">
        <v>231247272.60175708</v>
      </c>
      <c r="AO191" s="350">
        <v>274357082.29804075</v>
      </c>
      <c r="AP191" s="350">
        <v>318111645.18226093</v>
      </c>
      <c r="AQ191" s="350">
        <v>362521835.1935991</v>
      </c>
      <c r="AR191" s="348">
        <v>1374949394.3734512</v>
      </c>
      <c r="AS191" s="369"/>
      <c r="AT191" s="350">
        <f t="shared" si="99"/>
        <v>40511713.848397702</v>
      </c>
      <c r="AU191" s="350">
        <f t="shared" si="82"/>
        <v>81831892.151549339</v>
      </c>
      <c r="AV191" s="350">
        <f t="shared" si="83"/>
        <v>123777099.34709987</v>
      </c>
      <c r="AW191" s="350">
        <f t="shared" si="84"/>
        <v>166364292.31512436</v>
      </c>
      <c r="AX191" s="350">
        <f t="shared" si="85"/>
        <v>209600718.78841516</v>
      </c>
      <c r="AY191" s="350">
        <f t="shared" si="86"/>
        <v>622085716.45058656</v>
      </c>
      <c r="AZ191" s="365"/>
      <c r="BA191" s="377">
        <f t="shared" si="87"/>
        <v>0</v>
      </c>
      <c r="BB191" s="377">
        <f t="shared" si="88"/>
        <v>0</v>
      </c>
      <c r="BC191" s="377">
        <f t="shared" si="89"/>
        <v>0</v>
      </c>
      <c r="BD191" s="377">
        <f t="shared" si="90"/>
        <v>0</v>
      </c>
      <c r="BE191" s="377">
        <f t="shared" si="91"/>
        <v>0</v>
      </c>
      <c r="BF191" s="377">
        <f t="shared" si="92"/>
        <v>0</v>
      </c>
      <c r="BG191" s="328"/>
    </row>
    <row r="192" spans="2:59">
      <c r="B192" s="332">
        <v>177</v>
      </c>
      <c r="C192" s="350">
        <v>109879372.91425724</v>
      </c>
      <c r="D192" s="350">
        <v>110780603.58285671</v>
      </c>
      <c r="E192" s="350">
        <v>111644071.37028648</v>
      </c>
      <c r="F192" s="350">
        <v>112509590.99437711</v>
      </c>
      <c r="G192" s="350">
        <v>113379851.02260609</v>
      </c>
      <c r="H192" s="348">
        <v>558193489.88438368</v>
      </c>
      <c r="I192" s="369"/>
      <c r="J192" s="350">
        <v>139318935.85877609</v>
      </c>
      <c r="K192" s="350">
        <v>170259159.53223971</v>
      </c>
      <c r="L192" s="350">
        <v>201616010.09475482</v>
      </c>
      <c r="M192" s="350">
        <v>233441625.36614412</v>
      </c>
      <c r="N192" s="350">
        <v>265743962.60796615</v>
      </c>
      <c r="O192" s="348">
        <v>1010379693.4598808</v>
      </c>
      <c r="P192" s="369"/>
      <c r="Q192" s="350">
        <f t="shared" si="93"/>
        <v>29439562.944518849</v>
      </c>
      <c r="R192" s="350">
        <f t="shared" si="94"/>
        <v>59478555.949382991</v>
      </c>
      <c r="S192" s="350">
        <f t="shared" si="95"/>
        <v>89971938.724468336</v>
      </c>
      <c r="T192" s="350">
        <f t="shared" si="96"/>
        <v>120932034.37176701</v>
      </c>
      <c r="U192" s="350">
        <f t="shared" si="97"/>
        <v>152364111.58536005</v>
      </c>
      <c r="V192" s="350">
        <f t="shared" si="98"/>
        <v>452186203.57549715</v>
      </c>
      <c r="W192" s="365"/>
      <c r="X192" s="377">
        <f t="shared" si="76"/>
        <v>0</v>
      </c>
      <c r="Y192" s="377">
        <f t="shared" si="77"/>
        <v>0</v>
      </c>
      <c r="Z192" s="377">
        <f t="shared" si="78"/>
        <v>0</v>
      </c>
      <c r="AA192" s="377">
        <f t="shared" si="79"/>
        <v>0</v>
      </c>
      <c r="AB192" s="377">
        <f t="shared" si="80"/>
        <v>0</v>
      </c>
      <c r="AC192" s="377">
        <f t="shared" si="81"/>
        <v>0</v>
      </c>
      <c r="AD192" s="376"/>
      <c r="AE192" s="332">
        <v>177</v>
      </c>
      <c r="AF192" s="350">
        <v>150958744.18265474</v>
      </c>
      <c r="AG192" s="350">
        <v>152196907.87382203</v>
      </c>
      <c r="AH192" s="350">
        <v>153383190.69811785</v>
      </c>
      <c r="AI192" s="350">
        <v>154572292.45628065</v>
      </c>
      <c r="AJ192" s="350">
        <v>155767906.86041749</v>
      </c>
      <c r="AK192" s="348">
        <v>766879042.07129276</v>
      </c>
      <c r="AL192" s="369"/>
      <c r="AM192" s="350">
        <v>184657360.90035182</v>
      </c>
      <c r="AN192" s="350">
        <v>220266430.67111418</v>
      </c>
      <c r="AO192" s="350">
        <v>256343530.3356356</v>
      </c>
      <c r="AP192" s="350">
        <v>292957464.82311255</v>
      </c>
      <c r="AQ192" s="350">
        <v>330117956.65171182</v>
      </c>
      <c r="AR192" s="348">
        <v>1284342743.3819261</v>
      </c>
      <c r="AS192" s="369"/>
      <c r="AT192" s="350">
        <f t="shared" si="99"/>
        <v>33698616.717697084</v>
      </c>
      <c r="AU192" s="350">
        <f t="shared" si="82"/>
        <v>68069522.797292143</v>
      </c>
      <c r="AV192" s="350">
        <f t="shared" si="83"/>
        <v>102960339.63751775</v>
      </c>
      <c r="AW192" s="350">
        <f t="shared" si="84"/>
        <v>138385172.3668319</v>
      </c>
      <c r="AX192" s="350">
        <f t="shared" si="85"/>
        <v>174350049.79129434</v>
      </c>
      <c r="AY192" s="350">
        <f t="shared" si="86"/>
        <v>517463701.3106333</v>
      </c>
      <c r="AZ192" s="365"/>
      <c r="BA192" s="377">
        <f t="shared" si="87"/>
        <v>0</v>
      </c>
      <c r="BB192" s="377">
        <f t="shared" si="88"/>
        <v>0</v>
      </c>
      <c r="BC192" s="377">
        <f t="shared" si="89"/>
        <v>0</v>
      </c>
      <c r="BD192" s="377">
        <f t="shared" si="90"/>
        <v>0</v>
      </c>
      <c r="BE192" s="377">
        <f t="shared" si="91"/>
        <v>0</v>
      </c>
      <c r="BF192" s="377">
        <f t="shared" si="92"/>
        <v>0</v>
      </c>
      <c r="BG192" s="328"/>
    </row>
    <row r="193" spans="2:59">
      <c r="B193" s="332">
        <v>178</v>
      </c>
      <c r="C193" s="350">
        <v>135540539.34661081</v>
      </c>
      <c r="D193" s="350">
        <v>136652242.91442233</v>
      </c>
      <c r="E193" s="350">
        <v>137717364.47921306</v>
      </c>
      <c r="F193" s="350">
        <v>138785017.06543478</v>
      </c>
      <c r="G193" s="350">
        <v>139858517.12708873</v>
      </c>
      <c r="H193" s="348">
        <v>688553680.93276978</v>
      </c>
      <c r="I193" s="369"/>
      <c r="J193" s="350">
        <v>167185956.69176093</v>
      </c>
      <c r="K193" s="350">
        <v>200559480.10652018</v>
      </c>
      <c r="L193" s="350">
        <v>234374422.33182794</v>
      </c>
      <c r="M193" s="350">
        <v>268693141.28979039</v>
      </c>
      <c r="N193" s="350">
        <v>303524612.63732886</v>
      </c>
      <c r="O193" s="348">
        <v>1174337613.0572283</v>
      </c>
      <c r="P193" s="369"/>
      <c r="Q193" s="350">
        <f t="shared" si="93"/>
        <v>31645417.345150113</v>
      </c>
      <c r="R193" s="350">
        <f t="shared" si="94"/>
        <v>63907237.192097843</v>
      </c>
      <c r="S193" s="350">
        <f t="shared" si="95"/>
        <v>96657057.85261488</v>
      </c>
      <c r="T193" s="350">
        <f t="shared" si="96"/>
        <v>129908124.22435561</v>
      </c>
      <c r="U193" s="350">
        <f t="shared" si="97"/>
        <v>163666095.51024014</v>
      </c>
      <c r="V193" s="350">
        <f t="shared" si="98"/>
        <v>485783932.12445855</v>
      </c>
      <c r="W193" s="365"/>
      <c r="X193" s="377">
        <f t="shared" si="76"/>
        <v>0</v>
      </c>
      <c r="Y193" s="377">
        <f t="shared" si="77"/>
        <v>0</v>
      </c>
      <c r="Z193" s="377">
        <f t="shared" si="78"/>
        <v>0</v>
      </c>
      <c r="AA193" s="377">
        <f t="shared" si="79"/>
        <v>0</v>
      </c>
      <c r="AB193" s="377">
        <f t="shared" si="80"/>
        <v>0</v>
      </c>
      <c r="AC193" s="377">
        <f t="shared" si="81"/>
        <v>0</v>
      </c>
      <c r="AD193" s="376"/>
      <c r="AE193" s="332">
        <v>178</v>
      </c>
      <c r="AF193" s="350">
        <v>132986749.80661005</v>
      </c>
      <c r="AG193" s="350">
        <v>134077507.19140695</v>
      </c>
      <c r="AH193" s="350">
        <v>135122560.24884108</v>
      </c>
      <c r="AI193" s="350">
        <v>136170096.63941982</v>
      </c>
      <c r="AJ193" s="350">
        <v>137223370.330116</v>
      </c>
      <c r="AK193" s="348">
        <v>675580284.21639395</v>
      </c>
      <c r="AL193" s="369"/>
      <c r="AM193" s="350">
        <v>161235169.49204874</v>
      </c>
      <c r="AN193" s="350">
        <v>191147085.08810174</v>
      </c>
      <c r="AO193" s="350">
        <v>221449263.22186622</v>
      </c>
      <c r="AP193" s="350">
        <v>252201715.91989434</v>
      </c>
      <c r="AQ193" s="350">
        <v>283412752.29638445</v>
      </c>
      <c r="AR193" s="348">
        <v>1109445986.0182955</v>
      </c>
      <c r="AS193" s="369"/>
      <c r="AT193" s="350">
        <f t="shared" si="99"/>
        <v>28248419.685438693</v>
      </c>
      <c r="AU193" s="350">
        <f t="shared" si="82"/>
        <v>57069577.896694794</v>
      </c>
      <c r="AV193" s="350">
        <f t="shared" si="83"/>
        <v>86326702.973025143</v>
      </c>
      <c r="AW193" s="350">
        <f t="shared" si="84"/>
        <v>116031619.28047451</v>
      </c>
      <c r="AX193" s="350">
        <f t="shared" si="85"/>
        <v>146189381.96626845</v>
      </c>
      <c r="AY193" s="350">
        <f t="shared" si="86"/>
        <v>433865701.80190158</v>
      </c>
      <c r="AZ193" s="365"/>
      <c r="BA193" s="377">
        <f t="shared" si="87"/>
        <v>0</v>
      </c>
      <c r="BB193" s="377">
        <f t="shared" si="88"/>
        <v>0</v>
      </c>
      <c r="BC193" s="377">
        <f t="shared" si="89"/>
        <v>0</v>
      </c>
      <c r="BD193" s="377">
        <f t="shared" si="90"/>
        <v>0</v>
      </c>
      <c r="BE193" s="377">
        <f t="shared" si="91"/>
        <v>0</v>
      </c>
      <c r="BF193" s="377">
        <f t="shared" si="92"/>
        <v>0</v>
      </c>
      <c r="BG193" s="328"/>
    </row>
    <row r="194" spans="2:59">
      <c r="B194" s="332">
        <v>179</v>
      </c>
      <c r="C194" s="350">
        <v>150722727.61709741</v>
      </c>
      <c r="D194" s="350">
        <v>151958955.50028241</v>
      </c>
      <c r="E194" s="350">
        <v>153143383.6297774</v>
      </c>
      <c r="F194" s="350">
        <v>154330626.28587502</v>
      </c>
      <c r="G194" s="350">
        <v>155524371.40574536</v>
      </c>
      <c r="H194" s="348">
        <v>765680064.43877757</v>
      </c>
      <c r="I194" s="369"/>
      <c r="J194" s="350">
        <v>184907966.49542043</v>
      </c>
      <c r="K194" s="350">
        <v>221019421.56773701</v>
      </c>
      <c r="L194" s="350">
        <v>257606619.94349629</v>
      </c>
      <c r="M194" s="350">
        <v>294738485.15942818</v>
      </c>
      <c r="N194" s="350">
        <v>332424822.23698509</v>
      </c>
      <c r="O194" s="348">
        <v>1290697315.4030671</v>
      </c>
      <c r="P194" s="369"/>
      <c r="Q194" s="350">
        <f t="shared" si="93"/>
        <v>34185238.878323019</v>
      </c>
      <c r="R194" s="350">
        <f t="shared" si="94"/>
        <v>69060466.067454606</v>
      </c>
      <c r="S194" s="350">
        <f t="shared" si="95"/>
        <v>104463236.31371889</v>
      </c>
      <c r="T194" s="350">
        <f t="shared" si="96"/>
        <v>140407858.87355316</v>
      </c>
      <c r="U194" s="350">
        <f t="shared" si="97"/>
        <v>176900450.83123973</v>
      </c>
      <c r="V194" s="350">
        <f t="shared" si="98"/>
        <v>525017250.96428955</v>
      </c>
      <c r="W194" s="365"/>
      <c r="X194" s="377">
        <f t="shared" si="76"/>
        <v>0</v>
      </c>
      <c r="Y194" s="377">
        <f t="shared" si="77"/>
        <v>0</v>
      </c>
      <c r="Z194" s="377">
        <f t="shared" si="78"/>
        <v>0</v>
      </c>
      <c r="AA194" s="377">
        <f t="shared" si="79"/>
        <v>0</v>
      </c>
      <c r="AB194" s="377">
        <f t="shared" si="80"/>
        <v>0</v>
      </c>
      <c r="AC194" s="377">
        <f t="shared" si="81"/>
        <v>0</v>
      </c>
      <c r="AD194" s="376"/>
      <c r="AE194" s="332">
        <v>179</v>
      </c>
      <c r="AF194" s="350">
        <v>118148164.5582324</v>
      </c>
      <c r="AG194" s="350">
        <v>119117215.85980567</v>
      </c>
      <c r="AH194" s="350">
        <v>120045662.49664256</v>
      </c>
      <c r="AI194" s="350">
        <v>120976315.37773642</v>
      </c>
      <c r="AJ194" s="350">
        <v>121912065.39429216</v>
      </c>
      <c r="AK194" s="348">
        <v>600199423.68670917</v>
      </c>
      <c r="AL194" s="369"/>
      <c r="AM194" s="350">
        <v>155360741.90075803</v>
      </c>
      <c r="AN194" s="350">
        <v>194267377.64711872</v>
      </c>
      <c r="AO194" s="350">
        <v>233707262.73407319</v>
      </c>
      <c r="AP194" s="350">
        <v>273738783.06093341</v>
      </c>
      <c r="AQ194" s="350">
        <v>314371484.33156955</v>
      </c>
      <c r="AR194" s="348">
        <v>1171445649.6744528</v>
      </c>
      <c r="AS194" s="369"/>
      <c r="AT194" s="350">
        <f t="shared" si="99"/>
        <v>37212577.342525631</v>
      </c>
      <c r="AU194" s="350">
        <f t="shared" si="82"/>
        <v>75150161.787313044</v>
      </c>
      <c r="AV194" s="350">
        <f t="shared" si="83"/>
        <v>113661600.23743063</v>
      </c>
      <c r="AW194" s="350">
        <f t="shared" si="84"/>
        <v>152762467.68319699</v>
      </c>
      <c r="AX194" s="350">
        <f t="shared" si="85"/>
        <v>192459418.93727738</v>
      </c>
      <c r="AY194" s="350">
        <f t="shared" si="86"/>
        <v>571246225.98774362</v>
      </c>
      <c r="AZ194" s="365"/>
      <c r="BA194" s="377">
        <f t="shared" si="87"/>
        <v>0</v>
      </c>
      <c r="BB194" s="377">
        <f t="shared" si="88"/>
        <v>0</v>
      </c>
      <c r="BC194" s="377">
        <f t="shared" si="89"/>
        <v>0</v>
      </c>
      <c r="BD194" s="377">
        <f t="shared" si="90"/>
        <v>0</v>
      </c>
      <c r="BE194" s="377">
        <f t="shared" si="91"/>
        <v>0</v>
      </c>
      <c r="BF194" s="377">
        <f t="shared" si="92"/>
        <v>0</v>
      </c>
      <c r="BG194" s="328"/>
    </row>
    <row r="195" spans="2:59">
      <c r="B195" s="332">
        <v>180</v>
      </c>
      <c r="C195" s="350">
        <v>165908900.23574167</v>
      </c>
      <c r="D195" s="350">
        <v>167269685.11392558</v>
      </c>
      <c r="E195" s="350">
        <v>168573451.11842629</v>
      </c>
      <c r="F195" s="350">
        <v>169880315.22910327</v>
      </c>
      <c r="G195" s="350">
        <v>171194336.96378559</v>
      </c>
      <c r="H195" s="348">
        <v>842826688.66098237</v>
      </c>
      <c r="I195" s="369"/>
      <c r="J195" s="350">
        <v>201933933.43725127</v>
      </c>
      <c r="K195" s="350">
        <v>240036301.91253823</v>
      </c>
      <c r="L195" s="350">
        <v>278637421.28201473</v>
      </c>
      <c r="M195" s="350">
        <v>317812487.29560918</v>
      </c>
      <c r="N195" s="350">
        <v>357572004.15329796</v>
      </c>
      <c r="O195" s="348">
        <v>1395992148.0807114</v>
      </c>
      <c r="P195" s="369"/>
      <c r="Q195" s="350">
        <f t="shared" si="93"/>
        <v>36025033.201509595</v>
      </c>
      <c r="R195" s="350">
        <f t="shared" si="94"/>
        <v>72766616.798612654</v>
      </c>
      <c r="S195" s="350">
        <f t="shared" si="95"/>
        <v>110063970.16358843</v>
      </c>
      <c r="T195" s="350">
        <f t="shared" si="96"/>
        <v>147932172.06650591</v>
      </c>
      <c r="U195" s="350">
        <f t="shared" si="97"/>
        <v>186377667.18951237</v>
      </c>
      <c r="V195" s="350">
        <f t="shared" si="98"/>
        <v>553165459.41972899</v>
      </c>
      <c r="W195" s="365"/>
      <c r="X195" s="377">
        <f t="shared" si="76"/>
        <v>0</v>
      </c>
      <c r="Y195" s="377">
        <f t="shared" si="77"/>
        <v>0</v>
      </c>
      <c r="Z195" s="377">
        <f t="shared" si="78"/>
        <v>0</v>
      </c>
      <c r="AA195" s="377">
        <f t="shared" si="79"/>
        <v>0</v>
      </c>
      <c r="AB195" s="377">
        <f t="shared" si="80"/>
        <v>0</v>
      </c>
      <c r="AC195" s="377">
        <f t="shared" si="81"/>
        <v>0</v>
      </c>
      <c r="AD195" s="376"/>
      <c r="AE195" s="332">
        <v>180</v>
      </c>
      <c r="AF195" s="350">
        <v>129949537.10250118</v>
      </c>
      <c r="AG195" s="350">
        <v>131015383.26726282</v>
      </c>
      <c r="AH195" s="350">
        <v>132036568.92116147</v>
      </c>
      <c r="AI195" s="350">
        <v>133060181.19269744</v>
      </c>
      <c r="AJ195" s="350">
        <v>134089399.73324569</v>
      </c>
      <c r="AK195" s="348">
        <v>660151070.21686864</v>
      </c>
      <c r="AL195" s="369"/>
      <c r="AM195" s="350">
        <v>162466027.1127072</v>
      </c>
      <c r="AN195" s="350">
        <v>196680035.00325048</v>
      </c>
      <c r="AO195" s="350">
        <v>231350789.4526909</v>
      </c>
      <c r="AP195" s="350">
        <v>266538986.9722721</v>
      </c>
      <c r="AQ195" s="350">
        <v>302253621.93250012</v>
      </c>
      <c r="AR195" s="348">
        <v>1159289460.4734209</v>
      </c>
      <c r="AS195" s="369"/>
      <c r="AT195" s="350">
        <f t="shared" si="99"/>
        <v>32516490.010206014</v>
      </c>
      <c r="AU195" s="350">
        <f t="shared" si="82"/>
        <v>65664651.735987663</v>
      </c>
      <c r="AV195" s="350">
        <f t="shared" si="83"/>
        <v>99314220.531529427</v>
      </c>
      <c r="AW195" s="350">
        <f t="shared" si="84"/>
        <v>133478805.77957466</v>
      </c>
      <c r="AX195" s="350">
        <f t="shared" si="85"/>
        <v>168164222.19925445</v>
      </c>
      <c r="AY195" s="350">
        <f t="shared" si="86"/>
        <v>499138390.25655222</v>
      </c>
      <c r="AZ195" s="365"/>
      <c r="BA195" s="377">
        <f t="shared" si="87"/>
        <v>0</v>
      </c>
      <c r="BB195" s="377">
        <f t="shared" si="88"/>
        <v>0</v>
      </c>
      <c r="BC195" s="377">
        <f t="shared" si="89"/>
        <v>0</v>
      </c>
      <c r="BD195" s="377">
        <f t="shared" si="90"/>
        <v>0</v>
      </c>
      <c r="BE195" s="377">
        <f t="shared" si="91"/>
        <v>0</v>
      </c>
      <c r="BF195" s="377">
        <f t="shared" si="92"/>
        <v>0</v>
      </c>
      <c r="BG195" s="328"/>
    </row>
    <row r="196" spans="2:59">
      <c r="B196" s="332">
        <v>181</v>
      </c>
      <c r="C196" s="350">
        <v>149977145.60720846</v>
      </c>
      <c r="D196" s="350">
        <v>151207258.22639585</v>
      </c>
      <c r="E196" s="350">
        <v>152385827.33038539</v>
      </c>
      <c r="F196" s="350">
        <v>153567197.03832349</v>
      </c>
      <c r="G196" s="350">
        <v>154755037.04421505</v>
      </c>
      <c r="H196" s="348">
        <v>761892465.24652827</v>
      </c>
      <c r="I196" s="369"/>
      <c r="J196" s="350">
        <v>190777412.87884086</v>
      </c>
      <c r="K196" s="350">
        <v>233613511.16341713</v>
      </c>
      <c r="L196" s="350">
        <v>277027414.15311319</v>
      </c>
      <c r="M196" s="350">
        <v>321090543.15363491</v>
      </c>
      <c r="N196" s="350">
        <v>365813865.91717225</v>
      </c>
      <c r="O196" s="348">
        <v>1388322747.2661784</v>
      </c>
      <c r="P196" s="369"/>
      <c r="Q196" s="350">
        <f t="shared" si="93"/>
        <v>40800267.271632403</v>
      </c>
      <c r="R196" s="350">
        <f t="shared" si="94"/>
        <v>82406252.937021285</v>
      </c>
      <c r="S196" s="350">
        <f t="shared" si="95"/>
        <v>124641586.8227278</v>
      </c>
      <c r="T196" s="350">
        <f t="shared" si="96"/>
        <v>167523346.11531141</v>
      </c>
      <c r="U196" s="350">
        <f t="shared" si="97"/>
        <v>211058828.8729572</v>
      </c>
      <c r="V196" s="350">
        <f t="shared" si="98"/>
        <v>626430282.0196501</v>
      </c>
      <c r="W196" s="365"/>
      <c r="X196" s="377">
        <f t="shared" si="76"/>
        <v>0</v>
      </c>
      <c r="Y196" s="377">
        <f t="shared" si="77"/>
        <v>0</v>
      </c>
      <c r="Z196" s="377">
        <f t="shared" si="78"/>
        <v>0</v>
      </c>
      <c r="AA196" s="377">
        <f t="shared" si="79"/>
        <v>0</v>
      </c>
      <c r="AB196" s="377">
        <f t="shared" si="80"/>
        <v>0</v>
      </c>
      <c r="AC196" s="377">
        <f t="shared" si="81"/>
        <v>0</v>
      </c>
      <c r="AD196" s="376"/>
      <c r="AE196" s="332">
        <v>181</v>
      </c>
      <c r="AF196" s="350">
        <v>124599418.79381448</v>
      </c>
      <c r="AG196" s="350">
        <v>125621383.28567845</v>
      </c>
      <c r="AH196" s="350">
        <v>126600525.97285855</v>
      </c>
      <c r="AI196" s="350">
        <v>127581995.37203768</v>
      </c>
      <c r="AJ196" s="350">
        <v>128568840.22599797</v>
      </c>
      <c r="AK196" s="348">
        <v>632972163.65038705</v>
      </c>
      <c r="AL196" s="369"/>
      <c r="AM196" s="350">
        <v>160442521.86603743</v>
      </c>
      <c r="AN196" s="350">
        <v>198006431.42791778</v>
      </c>
      <c r="AO196" s="350">
        <v>236080262.61632985</v>
      </c>
      <c r="AP196" s="350">
        <v>274724165.78578842</v>
      </c>
      <c r="AQ196" s="350">
        <v>313947599.66422629</v>
      </c>
      <c r="AR196" s="348">
        <v>1183200981.3602996</v>
      </c>
      <c r="AS196" s="369"/>
      <c r="AT196" s="350">
        <f t="shared" si="99"/>
        <v>35843103.072222948</v>
      </c>
      <c r="AU196" s="350">
        <f t="shared" si="82"/>
        <v>72385048.142239332</v>
      </c>
      <c r="AV196" s="350">
        <f t="shared" si="83"/>
        <v>109479736.6434713</v>
      </c>
      <c r="AW196" s="350">
        <f t="shared" si="84"/>
        <v>147142170.41375074</v>
      </c>
      <c r="AX196" s="350">
        <f t="shared" si="85"/>
        <v>185378759.43822831</v>
      </c>
      <c r="AY196" s="350">
        <f t="shared" si="86"/>
        <v>550228817.70991254</v>
      </c>
      <c r="AZ196" s="365"/>
      <c r="BA196" s="377">
        <f t="shared" si="87"/>
        <v>0</v>
      </c>
      <c r="BB196" s="377">
        <f t="shared" si="88"/>
        <v>0</v>
      </c>
      <c r="BC196" s="377">
        <f t="shared" si="89"/>
        <v>0</v>
      </c>
      <c r="BD196" s="377">
        <f t="shared" si="90"/>
        <v>0</v>
      </c>
      <c r="BE196" s="377">
        <f t="shared" si="91"/>
        <v>0</v>
      </c>
      <c r="BF196" s="377">
        <f t="shared" si="92"/>
        <v>0</v>
      </c>
      <c r="BG196" s="328"/>
    </row>
    <row r="197" spans="2:59">
      <c r="B197" s="332">
        <v>182</v>
      </c>
      <c r="C197" s="350">
        <v>113390686.6651787</v>
      </c>
      <c r="D197" s="350">
        <v>114320717.13082352</v>
      </c>
      <c r="E197" s="350">
        <v>115211777.96174335</v>
      </c>
      <c r="F197" s="350">
        <v>116104956.19797528</v>
      </c>
      <c r="G197" s="350">
        <v>117003026.32306731</v>
      </c>
      <c r="H197" s="348">
        <v>576031164.27878809</v>
      </c>
      <c r="I197" s="369"/>
      <c r="J197" s="350">
        <v>144658233.41216406</v>
      </c>
      <c r="K197" s="350">
        <v>177457535.57380712</v>
      </c>
      <c r="L197" s="350">
        <v>210699927.74280646</v>
      </c>
      <c r="M197" s="350">
        <v>244439583.29601762</v>
      </c>
      <c r="N197" s="350">
        <v>278684867.2277599</v>
      </c>
      <c r="O197" s="348">
        <v>1055940147.2525551</v>
      </c>
      <c r="P197" s="369"/>
      <c r="Q197" s="350">
        <f t="shared" si="93"/>
        <v>31267546.746985361</v>
      </c>
      <c r="R197" s="350">
        <f t="shared" si="94"/>
        <v>63136818.442983598</v>
      </c>
      <c r="S197" s="350">
        <f t="shared" si="95"/>
        <v>95488149.78106311</v>
      </c>
      <c r="T197" s="350">
        <f t="shared" si="96"/>
        <v>128334627.09804234</v>
      </c>
      <c r="U197" s="350">
        <f t="shared" si="97"/>
        <v>161681840.90469259</v>
      </c>
      <c r="V197" s="350">
        <f t="shared" si="98"/>
        <v>479908982.97376704</v>
      </c>
      <c r="W197" s="365"/>
      <c r="X197" s="377">
        <f t="shared" si="76"/>
        <v>0</v>
      </c>
      <c r="Y197" s="377">
        <f t="shared" si="77"/>
        <v>0</v>
      </c>
      <c r="Z197" s="377">
        <f t="shared" si="78"/>
        <v>0</v>
      </c>
      <c r="AA197" s="377">
        <f t="shared" si="79"/>
        <v>0</v>
      </c>
      <c r="AB197" s="377">
        <f t="shared" si="80"/>
        <v>0</v>
      </c>
      <c r="AC197" s="377">
        <f t="shared" si="81"/>
        <v>0</v>
      </c>
      <c r="AD197" s="376"/>
      <c r="AE197" s="332">
        <v>182</v>
      </c>
      <c r="AF197" s="350">
        <v>131221475.59536961</v>
      </c>
      <c r="AG197" s="350">
        <v>132297754.20025124</v>
      </c>
      <c r="AH197" s="350">
        <v>133328935.15979332</v>
      </c>
      <c r="AI197" s="350">
        <v>134362566.48856464</v>
      </c>
      <c r="AJ197" s="350">
        <v>135401858.96018243</v>
      </c>
      <c r="AK197" s="348">
        <v>666612590.40416121</v>
      </c>
      <c r="AL197" s="369"/>
      <c r="AM197" s="350">
        <v>164325425.08289826</v>
      </c>
      <c r="AN197" s="350">
        <v>199169331.15492308</v>
      </c>
      <c r="AO197" s="350">
        <v>234478926.36503512</v>
      </c>
      <c r="AP197" s="350">
        <v>270315615.12890184</v>
      </c>
      <c r="AQ197" s="350">
        <v>306688531.13448536</v>
      </c>
      <c r="AR197" s="348">
        <v>1174977828.8662436</v>
      </c>
      <c r="AS197" s="369"/>
      <c r="AT197" s="350">
        <f t="shared" si="99"/>
        <v>33103949.487528652</v>
      </c>
      <c r="AU197" s="350">
        <f t="shared" si="82"/>
        <v>66871576.954671845</v>
      </c>
      <c r="AV197" s="350">
        <f t="shared" si="83"/>
        <v>101149991.2052418</v>
      </c>
      <c r="AW197" s="350">
        <f t="shared" si="84"/>
        <v>135953048.6403372</v>
      </c>
      <c r="AX197" s="350">
        <f t="shared" si="85"/>
        <v>171286672.17430294</v>
      </c>
      <c r="AY197" s="350">
        <f t="shared" si="86"/>
        <v>508365238.46208239</v>
      </c>
      <c r="AZ197" s="365"/>
      <c r="BA197" s="377">
        <f t="shared" si="87"/>
        <v>0</v>
      </c>
      <c r="BB197" s="377">
        <f t="shared" si="88"/>
        <v>0</v>
      </c>
      <c r="BC197" s="377">
        <f t="shared" si="89"/>
        <v>0</v>
      </c>
      <c r="BD197" s="377">
        <f t="shared" si="90"/>
        <v>0</v>
      </c>
      <c r="BE197" s="377">
        <f t="shared" si="91"/>
        <v>0</v>
      </c>
      <c r="BF197" s="377">
        <f t="shared" si="92"/>
        <v>0</v>
      </c>
      <c r="BG197" s="328"/>
    </row>
    <row r="198" spans="2:59">
      <c r="B198" s="332">
        <v>183</v>
      </c>
      <c r="C198" s="350">
        <v>110114868.05222701</v>
      </c>
      <c r="D198" s="350">
        <v>111018030.25205946</v>
      </c>
      <c r="E198" s="350">
        <v>111883348.63674274</v>
      </c>
      <c r="F198" s="350">
        <v>112750723.25561436</v>
      </c>
      <c r="G198" s="350">
        <v>113622848.43833032</v>
      </c>
      <c r="H198" s="348">
        <v>559389818.63497388</v>
      </c>
      <c r="I198" s="369"/>
      <c r="J198" s="350">
        <v>139651201.4898656</v>
      </c>
      <c r="K198" s="350">
        <v>170672425.27622944</v>
      </c>
      <c r="L198" s="350">
        <v>202111381.97050697</v>
      </c>
      <c r="M198" s="350">
        <v>234020334.13808474</v>
      </c>
      <c r="N198" s="350">
        <v>266407259.11855227</v>
      </c>
      <c r="O198" s="348">
        <v>1012862601.9932389</v>
      </c>
      <c r="P198" s="369"/>
      <c r="Q198" s="350">
        <f t="shared" si="93"/>
        <v>29536333.437638596</v>
      </c>
      <c r="R198" s="350">
        <f t="shared" si="94"/>
        <v>59654395.024169981</v>
      </c>
      <c r="S198" s="350">
        <f t="shared" si="95"/>
        <v>90228033.333764225</v>
      </c>
      <c r="T198" s="350">
        <f t="shared" si="96"/>
        <v>121269610.88247038</v>
      </c>
      <c r="U198" s="350">
        <f t="shared" si="97"/>
        <v>152784410.68022195</v>
      </c>
      <c r="V198" s="350">
        <f t="shared" si="98"/>
        <v>453472783.35826504</v>
      </c>
      <c r="W198" s="365"/>
      <c r="X198" s="377">
        <f t="shared" si="76"/>
        <v>0</v>
      </c>
      <c r="Y198" s="377">
        <f t="shared" si="77"/>
        <v>0</v>
      </c>
      <c r="Z198" s="377">
        <f t="shared" si="78"/>
        <v>0</v>
      </c>
      <c r="AA198" s="377">
        <f t="shared" si="79"/>
        <v>0</v>
      </c>
      <c r="AB198" s="377">
        <f t="shared" si="80"/>
        <v>0</v>
      </c>
      <c r="AC198" s="377">
        <f t="shared" si="81"/>
        <v>0</v>
      </c>
      <c r="AD198" s="376"/>
      <c r="AE198" s="332">
        <v>183</v>
      </c>
      <c r="AF198" s="350">
        <v>140373131.60799617</v>
      </c>
      <c r="AG198" s="350">
        <v>141524472.0998207</v>
      </c>
      <c r="AH198" s="350">
        <v>142627569.7436226</v>
      </c>
      <c r="AI198" s="350">
        <v>143733288.65045136</v>
      </c>
      <c r="AJ198" s="350">
        <v>144845063.51989016</v>
      </c>
      <c r="AK198" s="348">
        <v>713103525.62178099</v>
      </c>
      <c r="AL198" s="369"/>
      <c r="AM198" s="350">
        <v>178488254.4810639</v>
      </c>
      <c r="AN198" s="350">
        <v>218484384.752406</v>
      </c>
      <c r="AO198" s="350">
        <v>259019842.83272144</v>
      </c>
      <c r="AP198" s="350">
        <v>300161444.85757071</v>
      </c>
      <c r="AQ198" s="350">
        <v>341919439.77074063</v>
      </c>
      <c r="AR198" s="348">
        <v>1298073366.6945028</v>
      </c>
      <c r="AS198" s="369"/>
      <c r="AT198" s="350">
        <f t="shared" si="99"/>
        <v>38115122.873067737</v>
      </c>
      <c r="AU198" s="350">
        <f t="shared" si="82"/>
        <v>76959912.652585298</v>
      </c>
      <c r="AV198" s="350">
        <f t="shared" si="83"/>
        <v>116392273.08909884</v>
      </c>
      <c r="AW198" s="350">
        <f t="shared" si="84"/>
        <v>156428156.20711935</v>
      </c>
      <c r="AX198" s="350">
        <f t="shared" si="85"/>
        <v>197074376.25085047</v>
      </c>
      <c r="AY198" s="350">
        <f t="shared" si="86"/>
        <v>584969841.07272184</v>
      </c>
      <c r="AZ198" s="365"/>
      <c r="BA198" s="377">
        <f t="shared" si="87"/>
        <v>0</v>
      </c>
      <c r="BB198" s="377">
        <f t="shared" si="88"/>
        <v>0</v>
      </c>
      <c r="BC198" s="377">
        <f t="shared" si="89"/>
        <v>0</v>
      </c>
      <c r="BD198" s="377">
        <f t="shared" si="90"/>
        <v>0</v>
      </c>
      <c r="BE198" s="377">
        <f t="shared" si="91"/>
        <v>0</v>
      </c>
      <c r="BF198" s="377">
        <f t="shared" si="92"/>
        <v>0</v>
      </c>
      <c r="BG198" s="328"/>
    </row>
    <row r="199" spans="2:59">
      <c r="B199" s="332">
        <v>184</v>
      </c>
      <c r="C199" s="350">
        <v>128015816.10547176</v>
      </c>
      <c r="D199" s="350">
        <v>129065801.88970137</v>
      </c>
      <c r="E199" s="350">
        <v>130071791.73617482</v>
      </c>
      <c r="F199" s="350">
        <v>131080172.09087275</v>
      </c>
      <c r="G199" s="350">
        <v>132094075.29019879</v>
      </c>
      <c r="H199" s="348">
        <v>650327657.11241949</v>
      </c>
      <c r="I199" s="369"/>
      <c r="J199" s="350">
        <v>167379907.74743009</v>
      </c>
      <c r="K199" s="350">
        <v>208552766.75806248</v>
      </c>
      <c r="L199" s="350">
        <v>250288535.32993504</v>
      </c>
      <c r="M199" s="350">
        <v>292650074.94387722</v>
      </c>
      <c r="N199" s="350">
        <v>335647556.26632953</v>
      </c>
      <c r="O199" s="348">
        <v>1254518841.0456343</v>
      </c>
      <c r="P199" s="369"/>
      <c r="Q199" s="350">
        <f t="shared" si="93"/>
        <v>39364091.641958326</v>
      </c>
      <c r="R199" s="350">
        <f t="shared" si="94"/>
        <v>79486964.868361115</v>
      </c>
      <c r="S199" s="350">
        <f t="shared" si="95"/>
        <v>120216743.59376022</v>
      </c>
      <c r="T199" s="350">
        <f t="shared" si="96"/>
        <v>161569902.85300446</v>
      </c>
      <c r="U199" s="350">
        <f t="shared" si="97"/>
        <v>203553480.97613072</v>
      </c>
      <c r="V199" s="350">
        <f t="shared" si="98"/>
        <v>604191183.93321478</v>
      </c>
      <c r="W199" s="365"/>
      <c r="X199" s="377">
        <f t="shared" si="76"/>
        <v>0</v>
      </c>
      <c r="Y199" s="377">
        <f t="shared" si="77"/>
        <v>0</v>
      </c>
      <c r="Z199" s="377">
        <f t="shared" si="78"/>
        <v>0</v>
      </c>
      <c r="AA199" s="377">
        <f t="shared" si="79"/>
        <v>0</v>
      </c>
      <c r="AB199" s="377">
        <f t="shared" si="80"/>
        <v>0</v>
      </c>
      <c r="AC199" s="377">
        <f t="shared" si="81"/>
        <v>0</v>
      </c>
      <c r="AD199" s="376"/>
      <c r="AE199" s="332">
        <v>184</v>
      </c>
      <c r="AF199" s="350">
        <v>135950146.91926664</v>
      </c>
      <c r="AG199" s="350">
        <v>137065210.08858275</v>
      </c>
      <c r="AH199" s="350">
        <v>138133550.4826687</v>
      </c>
      <c r="AI199" s="350">
        <v>139204429.54700822</v>
      </c>
      <c r="AJ199" s="350">
        <v>140281173.75802603</v>
      </c>
      <c r="AK199" s="348">
        <v>690634510.79555237</v>
      </c>
      <c r="AL199" s="369"/>
      <c r="AM199" s="350">
        <v>172604529.78637475</v>
      </c>
      <c r="AN199" s="350">
        <v>211089162.37571314</v>
      </c>
      <c r="AO199" s="350">
        <v>250092334.73643115</v>
      </c>
      <c r="AP199" s="350">
        <v>289678649.73564494</v>
      </c>
      <c r="AQ199" s="350">
        <v>329857989.00020176</v>
      </c>
      <c r="AR199" s="348">
        <v>1253322665.6343658</v>
      </c>
      <c r="AS199" s="369"/>
      <c r="AT199" s="350">
        <f t="shared" si="99"/>
        <v>36654382.867108107</v>
      </c>
      <c r="AU199" s="350">
        <f t="shared" si="82"/>
        <v>74023952.287130386</v>
      </c>
      <c r="AV199" s="350">
        <f t="shared" si="83"/>
        <v>111958784.25376245</v>
      </c>
      <c r="AW199" s="350">
        <f t="shared" si="84"/>
        <v>150474220.18863672</v>
      </c>
      <c r="AX199" s="350">
        <f t="shared" si="85"/>
        <v>189576815.24217573</v>
      </c>
      <c r="AY199" s="350">
        <f t="shared" si="86"/>
        <v>562688154.83881342</v>
      </c>
      <c r="AZ199" s="365"/>
      <c r="BA199" s="377">
        <f t="shared" si="87"/>
        <v>0</v>
      </c>
      <c r="BB199" s="377">
        <f t="shared" si="88"/>
        <v>0</v>
      </c>
      <c r="BC199" s="377">
        <f t="shared" si="89"/>
        <v>0</v>
      </c>
      <c r="BD199" s="377">
        <f t="shared" si="90"/>
        <v>0</v>
      </c>
      <c r="BE199" s="377">
        <f t="shared" si="91"/>
        <v>0</v>
      </c>
      <c r="BF199" s="377">
        <f t="shared" si="92"/>
        <v>0</v>
      </c>
      <c r="BG199" s="328"/>
    </row>
    <row r="200" spans="2:59">
      <c r="B200" s="332">
        <v>185</v>
      </c>
      <c r="C200" s="350">
        <v>148938291.72351253</v>
      </c>
      <c r="D200" s="350">
        <v>150159883.66265455</v>
      </c>
      <c r="E200" s="350">
        <v>151330289.1155363</v>
      </c>
      <c r="F200" s="350">
        <v>152503475.773289</v>
      </c>
      <c r="G200" s="350">
        <v>153683087.9108721</v>
      </c>
      <c r="H200" s="348">
        <v>756615028.18586445</v>
      </c>
      <c r="I200" s="369"/>
      <c r="J200" s="350">
        <v>184744420.94917357</v>
      </c>
      <c r="K200" s="350">
        <v>222479328.95637086</v>
      </c>
      <c r="L200" s="350">
        <v>260715365.05148649</v>
      </c>
      <c r="M200" s="350">
        <v>299521483.79211861</v>
      </c>
      <c r="N200" s="350">
        <v>338907734.20998842</v>
      </c>
      <c r="O200" s="348">
        <v>1306368332.9591379</v>
      </c>
      <c r="P200" s="369"/>
      <c r="Q200" s="350">
        <f t="shared" si="93"/>
        <v>35806129.225661039</v>
      </c>
      <c r="R200" s="350">
        <f t="shared" si="94"/>
        <v>72319445.293716311</v>
      </c>
      <c r="S200" s="350">
        <f t="shared" si="95"/>
        <v>109385075.93595019</v>
      </c>
      <c r="T200" s="350">
        <f t="shared" si="96"/>
        <v>147018008.01882961</v>
      </c>
      <c r="U200" s="350">
        <f t="shared" si="97"/>
        <v>185224646.29911631</v>
      </c>
      <c r="V200" s="350">
        <f t="shared" si="98"/>
        <v>549753304.77327347</v>
      </c>
      <c r="W200" s="365"/>
      <c r="X200" s="377">
        <f t="shared" si="76"/>
        <v>0</v>
      </c>
      <c r="Y200" s="377">
        <f t="shared" si="77"/>
        <v>0</v>
      </c>
      <c r="Z200" s="377">
        <f t="shared" si="78"/>
        <v>0</v>
      </c>
      <c r="AA200" s="377">
        <f t="shared" si="79"/>
        <v>0</v>
      </c>
      <c r="AB200" s="377">
        <f t="shared" si="80"/>
        <v>0</v>
      </c>
      <c r="AC200" s="377">
        <f t="shared" si="81"/>
        <v>0</v>
      </c>
      <c r="AD200" s="376"/>
      <c r="AE200" s="332">
        <v>185</v>
      </c>
      <c r="AF200" s="350">
        <v>121669637.83474769</v>
      </c>
      <c r="AG200" s="350">
        <v>122667572.26180005</v>
      </c>
      <c r="AH200" s="350">
        <v>123623691.7789776</v>
      </c>
      <c r="AI200" s="350">
        <v>124582083.2987777</v>
      </c>
      <c r="AJ200" s="350">
        <v>125545723.87706262</v>
      </c>
      <c r="AK200" s="348">
        <v>618088709.05136561</v>
      </c>
      <c r="AL200" s="369"/>
      <c r="AM200" s="350">
        <v>148782522.52233377</v>
      </c>
      <c r="AN200" s="350">
        <v>177447309.80809522</v>
      </c>
      <c r="AO200" s="350">
        <v>206488790.26978534</v>
      </c>
      <c r="AP200" s="350">
        <v>235962400.10427734</v>
      </c>
      <c r="AQ200" s="350">
        <v>265875968.95609143</v>
      </c>
      <c r="AR200" s="348">
        <v>1034556991.660583</v>
      </c>
      <c r="AS200" s="369"/>
      <c r="AT200" s="350">
        <f t="shared" si="99"/>
        <v>27112884.687586084</v>
      </c>
      <c r="AU200" s="350">
        <f t="shared" si="82"/>
        <v>54779737.546295166</v>
      </c>
      <c r="AV200" s="350">
        <f t="shared" si="83"/>
        <v>82865098.490807742</v>
      </c>
      <c r="AW200" s="350">
        <f t="shared" si="84"/>
        <v>111380316.80549964</v>
      </c>
      <c r="AX200" s="350">
        <f t="shared" si="85"/>
        <v>140330245.07902882</v>
      </c>
      <c r="AY200" s="350">
        <f t="shared" si="86"/>
        <v>416468282.60921741</v>
      </c>
      <c r="AZ200" s="365"/>
      <c r="BA200" s="377">
        <f t="shared" si="87"/>
        <v>0</v>
      </c>
      <c r="BB200" s="377">
        <f t="shared" si="88"/>
        <v>0</v>
      </c>
      <c r="BC200" s="377">
        <f t="shared" si="89"/>
        <v>0</v>
      </c>
      <c r="BD200" s="377">
        <f t="shared" si="90"/>
        <v>0</v>
      </c>
      <c r="BE200" s="377">
        <f t="shared" si="91"/>
        <v>0</v>
      </c>
      <c r="BF200" s="377">
        <f t="shared" si="92"/>
        <v>0</v>
      </c>
      <c r="BG200" s="328"/>
    </row>
    <row r="201" spans="2:59">
      <c r="B201" s="332">
        <v>186</v>
      </c>
      <c r="C201" s="350">
        <v>153168335.04906994</v>
      </c>
      <c r="D201" s="350">
        <v>154424621.80556837</v>
      </c>
      <c r="E201" s="350">
        <v>155628268.31229109</v>
      </c>
      <c r="F201" s="350">
        <v>156834775.01376006</v>
      </c>
      <c r="G201" s="350">
        <v>158047889.68713561</v>
      </c>
      <c r="H201" s="348">
        <v>778103889.86782503</v>
      </c>
      <c r="I201" s="369"/>
      <c r="J201" s="350">
        <v>198993785.55618483</v>
      </c>
      <c r="K201" s="350">
        <v>246973838.20679653</v>
      </c>
      <c r="L201" s="350">
        <v>295608009.27955562</v>
      </c>
      <c r="M201" s="350">
        <v>344970979.35596001</v>
      </c>
      <c r="N201" s="350">
        <v>395074692.12647426</v>
      </c>
      <c r="O201" s="348">
        <v>1481621304.5249715</v>
      </c>
      <c r="P201" s="369"/>
      <c r="Q201" s="350">
        <f t="shared" si="93"/>
        <v>45825450.507114887</v>
      </c>
      <c r="R201" s="350">
        <f t="shared" si="94"/>
        <v>92549216.40122816</v>
      </c>
      <c r="S201" s="350">
        <f t="shared" si="95"/>
        <v>139979740.96726453</v>
      </c>
      <c r="T201" s="350">
        <f t="shared" si="96"/>
        <v>188136204.34219995</v>
      </c>
      <c r="U201" s="350">
        <f t="shared" si="97"/>
        <v>237026802.43933865</v>
      </c>
      <c r="V201" s="350">
        <f t="shared" si="98"/>
        <v>703517414.65714645</v>
      </c>
      <c r="W201" s="365"/>
      <c r="X201" s="377">
        <f t="shared" si="76"/>
        <v>0</v>
      </c>
      <c r="Y201" s="377">
        <f t="shared" si="77"/>
        <v>0</v>
      </c>
      <c r="Z201" s="377">
        <f t="shared" si="78"/>
        <v>0</v>
      </c>
      <c r="AA201" s="377">
        <f t="shared" si="79"/>
        <v>0</v>
      </c>
      <c r="AB201" s="377">
        <f t="shared" si="80"/>
        <v>0</v>
      </c>
      <c r="AC201" s="377">
        <f t="shared" si="81"/>
        <v>0</v>
      </c>
      <c r="AD201" s="376"/>
      <c r="AE201" s="332">
        <v>186</v>
      </c>
      <c r="AF201" s="350">
        <v>124267701.55632818</v>
      </c>
      <c r="AG201" s="350">
        <v>125286945.30325344</v>
      </c>
      <c r="AH201" s="350">
        <v>126263481.24868117</v>
      </c>
      <c r="AI201" s="350">
        <v>127242337.71177337</v>
      </c>
      <c r="AJ201" s="350">
        <v>128226555.3187373</v>
      </c>
      <c r="AK201" s="348">
        <v>631287021.13877344</v>
      </c>
      <c r="AL201" s="369"/>
      <c r="AM201" s="350">
        <v>157935539.9473429</v>
      </c>
      <c r="AN201" s="350">
        <v>193284218.8596651</v>
      </c>
      <c r="AO201" s="350">
        <v>229109468.76280442</v>
      </c>
      <c r="AP201" s="350">
        <v>265470409.66157547</v>
      </c>
      <c r="AQ201" s="350">
        <v>302376103.94347817</v>
      </c>
      <c r="AR201" s="348">
        <v>1148175741.174866</v>
      </c>
      <c r="AS201" s="369"/>
      <c r="AT201" s="350">
        <f t="shared" si="99"/>
        <v>33667838.391014725</v>
      </c>
      <c r="AU201" s="350">
        <f t="shared" si="82"/>
        <v>67997273.556411654</v>
      </c>
      <c r="AV201" s="350">
        <f t="shared" si="83"/>
        <v>102845987.51412325</v>
      </c>
      <c r="AW201" s="350">
        <f t="shared" si="84"/>
        <v>138228071.9498021</v>
      </c>
      <c r="AX201" s="350">
        <f t="shared" si="85"/>
        <v>174149548.62474087</v>
      </c>
      <c r="AY201" s="350">
        <f t="shared" si="86"/>
        <v>516888720.03609252</v>
      </c>
      <c r="AZ201" s="365"/>
      <c r="BA201" s="377">
        <f t="shared" si="87"/>
        <v>0</v>
      </c>
      <c r="BB201" s="377">
        <f t="shared" si="88"/>
        <v>0</v>
      </c>
      <c r="BC201" s="377">
        <f t="shared" si="89"/>
        <v>0</v>
      </c>
      <c r="BD201" s="377">
        <f t="shared" si="90"/>
        <v>0</v>
      </c>
      <c r="BE201" s="377">
        <f t="shared" si="91"/>
        <v>0</v>
      </c>
      <c r="BF201" s="377">
        <f t="shared" si="92"/>
        <v>0</v>
      </c>
      <c r="BG201" s="328"/>
    </row>
    <row r="202" spans="2:59">
      <c r="B202" s="332">
        <v>187</v>
      </c>
      <c r="C202" s="350">
        <v>110313139.75255552</v>
      </c>
      <c r="D202" s="350">
        <v>111217928.1769678</v>
      </c>
      <c r="E202" s="350">
        <v>112084804.6450461</v>
      </c>
      <c r="F202" s="350">
        <v>112953741.0497469</v>
      </c>
      <c r="G202" s="350">
        <v>113827436.57210851</v>
      </c>
      <c r="H202" s="348">
        <v>560397050.19642484</v>
      </c>
      <c r="I202" s="369"/>
      <c r="J202" s="350">
        <v>134781042.82172972</v>
      </c>
      <c r="K202" s="350">
        <v>160643464.7708393</v>
      </c>
      <c r="L202" s="350">
        <v>186845496.5994938</v>
      </c>
      <c r="M202" s="350">
        <v>213437351.74570072</v>
      </c>
      <c r="N202" s="350">
        <v>240426107.03141713</v>
      </c>
      <c r="O202" s="348">
        <v>936133462.96918058</v>
      </c>
      <c r="P202" s="369"/>
      <c r="Q202" s="350">
        <f t="shared" si="93"/>
        <v>24467903.0691742</v>
      </c>
      <c r="R202" s="350">
        <f t="shared" si="94"/>
        <v>49425536.593871504</v>
      </c>
      <c r="S202" s="350">
        <f t="shared" si="95"/>
        <v>74760691.954447702</v>
      </c>
      <c r="T202" s="350">
        <f t="shared" si="96"/>
        <v>100483610.69595382</v>
      </c>
      <c r="U202" s="350">
        <f t="shared" si="97"/>
        <v>126598670.45930862</v>
      </c>
      <c r="V202" s="350">
        <f t="shared" si="98"/>
        <v>375736412.77275574</v>
      </c>
      <c r="W202" s="365"/>
      <c r="X202" s="377">
        <f t="shared" si="76"/>
        <v>0</v>
      </c>
      <c r="Y202" s="377">
        <f t="shared" si="77"/>
        <v>0</v>
      </c>
      <c r="Z202" s="377">
        <f t="shared" si="78"/>
        <v>0</v>
      </c>
      <c r="AA202" s="377">
        <f t="shared" si="79"/>
        <v>0</v>
      </c>
      <c r="AB202" s="377">
        <f t="shared" si="80"/>
        <v>0</v>
      </c>
      <c r="AC202" s="377">
        <f t="shared" si="81"/>
        <v>0</v>
      </c>
      <c r="AD202" s="376"/>
      <c r="AE202" s="332">
        <v>187</v>
      </c>
      <c r="AF202" s="350">
        <v>129947010.97358266</v>
      </c>
      <c r="AG202" s="350">
        <v>131012836.41903371</v>
      </c>
      <c r="AH202" s="350">
        <v>132034002.22179116</v>
      </c>
      <c r="AI202" s="350">
        <v>133057594.59501418</v>
      </c>
      <c r="AJ202" s="350">
        <v>134086793.12826744</v>
      </c>
      <c r="AK202" s="348">
        <v>660138237.33768916</v>
      </c>
      <c r="AL202" s="369"/>
      <c r="AM202" s="350">
        <v>162994844.739151</v>
      </c>
      <c r="AN202" s="350">
        <v>197781400.65392596</v>
      </c>
      <c r="AO202" s="350">
        <v>233033379.10250986</v>
      </c>
      <c r="AP202" s="350">
        <v>268811699.78541458</v>
      </c>
      <c r="AQ202" s="350">
        <v>305125456.74529117</v>
      </c>
      <c r="AR202" s="348">
        <v>1167746781.0262926</v>
      </c>
      <c r="AS202" s="369"/>
      <c r="AT202" s="350">
        <f t="shared" si="99"/>
        <v>33047833.765568346</v>
      </c>
      <c r="AU202" s="350">
        <f t="shared" si="82"/>
        <v>66768564.234892249</v>
      </c>
      <c r="AV202" s="350">
        <f t="shared" si="83"/>
        <v>100999376.88071869</v>
      </c>
      <c r="AW202" s="350">
        <f t="shared" si="84"/>
        <v>135754105.19040039</v>
      </c>
      <c r="AX202" s="350">
        <f t="shared" si="85"/>
        <v>171038663.61702374</v>
      </c>
      <c r="AY202" s="350">
        <f t="shared" si="86"/>
        <v>507608543.6886034</v>
      </c>
      <c r="AZ202" s="365"/>
      <c r="BA202" s="377">
        <f t="shared" si="87"/>
        <v>0</v>
      </c>
      <c r="BB202" s="377">
        <f t="shared" si="88"/>
        <v>0</v>
      </c>
      <c r="BC202" s="377">
        <f t="shared" si="89"/>
        <v>0</v>
      </c>
      <c r="BD202" s="377">
        <f t="shared" si="90"/>
        <v>0</v>
      </c>
      <c r="BE202" s="377">
        <f t="shared" si="91"/>
        <v>0</v>
      </c>
      <c r="BF202" s="377">
        <f t="shared" si="92"/>
        <v>0</v>
      </c>
      <c r="BG202" s="328"/>
    </row>
    <row r="203" spans="2:59">
      <c r="B203" s="332">
        <v>188</v>
      </c>
      <c r="C203" s="350">
        <v>137955461.30634767</v>
      </c>
      <c r="D203" s="350">
        <v>139086972.06521487</v>
      </c>
      <c r="E203" s="350">
        <v>140171070.87082967</v>
      </c>
      <c r="F203" s="350">
        <v>141257745.79301268</v>
      </c>
      <c r="G203" s="350">
        <v>142350372.37493259</v>
      </c>
      <c r="H203" s="348">
        <v>700821622.41033745</v>
      </c>
      <c r="I203" s="369"/>
      <c r="J203" s="350">
        <v>168856149.03246066</v>
      </c>
      <c r="K203" s="350">
        <v>201492417.59919301</v>
      </c>
      <c r="L203" s="350">
        <v>234557824.51115963</v>
      </c>
      <c r="M203" s="350">
        <v>268115291.15690312</v>
      </c>
      <c r="N203" s="350">
        <v>302173719.43307161</v>
      </c>
      <c r="O203" s="348">
        <v>1175195401.7327881</v>
      </c>
      <c r="P203" s="369"/>
      <c r="Q203" s="350">
        <f t="shared" si="93"/>
        <v>30900687.726112992</v>
      </c>
      <c r="R203" s="350">
        <f t="shared" si="94"/>
        <v>62405445.533978134</v>
      </c>
      <c r="S203" s="350">
        <f t="shared" si="95"/>
        <v>94386753.640329957</v>
      </c>
      <c r="T203" s="350">
        <f t="shared" si="96"/>
        <v>126857545.36389044</v>
      </c>
      <c r="U203" s="350">
        <f t="shared" si="97"/>
        <v>159823347.05813903</v>
      </c>
      <c r="V203" s="350">
        <f t="shared" si="98"/>
        <v>474373779.32245064</v>
      </c>
      <c r="W203" s="365"/>
      <c r="X203" s="377">
        <f t="shared" si="76"/>
        <v>0</v>
      </c>
      <c r="Y203" s="377">
        <f t="shared" si="77"/>
        <v>0</v>
      </c>
      <c r="Z203" s="377">
        <f t="shared" si="78"/>
        <v>0</v>
      </c>
      <c r="AA203" s="377">
        <f t="shared" si="79"/>
        <v>0</v>
      </c>
      <c r="AB203" s="377">
        <f t="shared" si="80"/>
        <v>0</v>
      </c>
      <c r="AC203" s="377">
        <f t="shared" si="81"/>
        <v>0</v>
      </c>
      <c r="AD203" s="376"/>
      <c r="AE203" s="332">
        <v>188</v>
      </c>
      <c r="AF203" s="350">
        <v>138073361.359936</v>
      </c>
      <c r="AG203" s="350">
        <v>139205839.13509849</v>
      </c>
      <c r="AH203" s="350">
        <v>140290864.43761355</v>
      </c>
      <c r="AI203" s="350">
        <v>141378468.05830804</v>
      </c>
      <c r="AJ203" s="350">
        <v>142472028.42517081</v>
      </c>
      <c r="AK203" s="348">
        <v>701420561.41612685</v>
      </c>
      <c r="AL203" s="369"/>
      <c r="AM203" s="350">
        <v>173962283.2512283</v>
      </c>
      <c r="AN203" s="350">
        <v>211704871.05924103</v>
      </c>
      <c r="AO203" s="350">
        <v>249953790.82993904</v>
      </c>
      <c r="AP203" s="350">
        <v>288774095.5610956</v>
      </c>
      <c r="AQ203" s="350">
        <v>328175585.1344381</v>
      </c>
      <c r="AR203" s="348">
        <v>1252570625.835942</v>
      </c>
      <c r="AS203" s="369"/>
      <c r="AT203" s="350">
        <f t="shared" si="99"/>
        <v>35888921.891292304</v>
      </c>
      <c r="AU203" s="350">
        <f t="shared" si="82"/>
        <v>72499031.92414254</v>
      </c>
      <c r="AV203" s="350">
        <f t="shared" si="83"/>
        <v>109662926.39232549</v>
      </c>
      <c r="AW203" s="350">
        <f t="shared" si="84"/>
        <v>147395627.50278756</v>
      </c>
      <c r="AX203" s="350">
        <f t="shared" si="85"/>
        <v>185703556.70926729</v>
      </c>
      <c r="AY203" s="350">
        <f t="shared" si="86"/>
        <v>551150064.41981518</v>
      </c>
      <c r="AZ203" s="365"/>
      <c r="BA203" s="377">
        <f t="shared" si="87"/>
        <v>0</v>
      </c>
      <c r="BB203" s="377">
        <f t="shared" si="88"/>
        <v>0</v>
      </c>
      <c r="BC203" s="377">
        <f t="shared" si="89"/>
        <v>0</v>
      </c>
      <c r="BD203" s="377">
        <f t="shared" si="90"/>
        <v>0</v>
      </c>
      <c r="BE203" s="377">
        <f t="shared" si="91"/>
        <v>0</v>
      </c>
      <c r="BF203" s="377">
        <f t="shared" si="92"/>
        <v>0</v>
      </c>
      <c r="BG203" s="328"/>
    </row>
    <row r="204" spans="2:59">
      <c r="B204" s="332">
        <v>189</v>
      </c>
      <c r="C204" s="350">
        <v>132993033.79914387</v>
      </c>
      <c r="D204" s="350">
        <v>134083842.72525053</v>
      </c>
      <c r="E204" s="350">
        <v>135128945.16433829</v>
      </c>
      <c r="F204" s="350">
        <v>136176531.05391493</v>
      </c>
      <c r="G204" s="350">
        <v>137229854.51471239</v>
      </c>
      <c r="H204" s="348">
        <v>675612207.25735998</v>
      </c>
      <c r="I204" s="369"/>
      <c r="J204" s="350">
        <v>167304469.85182923</v>
      </c>
      <c r="K204" s="350">
        <v>203395240.80935538</v>
      </c>
      <c r="L204" s="350">
        <v>239969733.29587564</v>
      </c>
      <c r="M204" s="350">
        <v>277090499.10615981</v>
      </c>
      <c r="N204" s="350">
        <v>314766931.41484737</v>
      </c>
      <c r="O204" s="348">
        <v>1202526874.4780674</v>
      </c>
      <c r="P204" s="369"/>
      <c r="Q204" s="350">
        <f t="shared" si="93"/>
        <v>34311436.052685365</v>
      </c>
      <c r="R204" s="350">
        <f t="shared" si="94"/>
        <v>69311398.084104851</v>
      </c>
      <c r="S204" s="350">
        <f t="shared" si="95"/>
        <v>104840788.13153735</v>
      </c>
      <c r="T204" s="350">
        <f t="shared" si="96"/>
        <v>140913968.05224487</v>
      </c>
      <c r="U204" s="350">
        <f t="shared" si="97"/>
        <v>177537076.90013498</v>
      </c>
      <c r="V204" s="350">
        <f t="shared" si="98"/>
        <v>526914667.22070742</v>
      </c>
      <c r="W204" s="365"/>
      <c r="X204" s="377">
        <f t="shared" si="76"/>
        <v>0</v>
      </c>
      <c r="Y204" s="377">
        <f t="shared" si="77"/>
        <v>0</v>
      </c>
      <c r="Z204" s="377">
        <f t="shared" si="78"/>
        <v>0</v>
      </c>
      <c r="AA204" s="377">
        <f t="shared" si="79"/>
        <v>0</v>
      </c>
      <c r="AB204" s="377">
        <f t="shared" si="80"/>
        <v>0</v>
      </c>
      <c r="AC204" s="377">
        <f t="shared" si="81"/>
        <v>0</v>
      </c>
      <c r="AD204" s="376"/>
      <c r="AE204" s="332">
        <v>189</v>
      </c>
      <c r="AF204" s="350">
        <v>108742487.77910078</v>
      </c>
      <c r="AG204" s="350">
        <v>109634393.71528411</v>
      </c>
      <c r="AH204" s="350">
        <v>110488927.4902038</v>
      </c>
      <c r="AI204" s="350">
        <v>111345491.87211645</v>
      </c>
      <c r="AJ204" s="350">
        <v>112206747.61079068</v>
      </c>
      <c r="AK204" s="348">
        <v>552418048.4674958</v>
      </c>
      <c r="AL204" s="369"/>
      <c r="AM204" s="350">
        <v>135794904.79162127</v>
      </c>
      <c r="AN204" s="350">
        <v>164269874.55314383</v>
      </c>
      <c r="AO204" s="350">
        <v>193124702.58218229</v>
      </c>
      <c r="AP204" s="350">
        <v>222410114.39277831</v>
      </c>
      <c r="AQ204" s="350">
        <v>252133609.12978664</v>
      </c>
      <c r="AR204" s="348">
        <v>967733205.44951224</v>
      </c>
      <c r="AS204" s="369"/>
      <c r="AT204" s="350">
        <f t="shared" si="99"/>
        <v>27052417.012520492</v>
      </c>
      <c r="AU204" s="350">
        <f t="shared" si="82"/>
        <v>54635480.83785972</v>
      </c>
      <c r="AV204" s="350">
        <f t="shared" si="83"/>
        <v>82635775.09197849</v>
      </c>
      <c r="AW204" s="350">
        <f t="shared" si="84"/>
        <v>111064622.52066186</v>
      </c>
      <c r="AX204" s="350">
        <f t="shared" si="85"/>
        <v>139926861.51899594</v>
      </c>
      <c r="AY204" s="350">
        <f t="shared" si="86"/>
        <v>415315156.98201644</v>
      </c>
      <c r="AZ204" s="365"/>
      <c r="BA204" s="377">
        <f t="shared" si="87"/>
        <v>0</v>
      </c>
      <c r="BB204" s="377">
        <f t="shared" si="88"/>
        <v>0</v>
      </c>
      <c r="BC204" s="377">
        <f t="shared" si="89"/>
        <v>0</v>
      </c>
      <c r="BD204" s="377">
        <f t="shared" si="90"/>
        <v>0</v>
      </c>
      <c r="BE204" s="377">
        <f t="shared" si="91"/>
        <v>0</v>
      </c>
      <c r="BF204" s="377">
        <f t="shared" si="92"/>
        <v>0</v>
      </c>
      <c r="BG204" s="328"/>
    </row>
    <row r="205" spans="2:59">
      <c r="B205" s="332">
        <v>190</v>
      </c>
      <c r="C205" s="350">
        <v>122576115.33057059</v>
      </c>
      <c r="D205" s="350">
        <v>123581484.68647231</v>
      </c>
      <c r="E205" s="350">
        <v>124544727.59812248</v>
      </c>
      <c r="F205" s="350">
        <v>125510259.4395373</v>
      </c>
      <c r="G205" s="350">
        <v>126481079.44659196</v>
      </c>
      <c r="H205" s="348">
        <v>622693666.50129461</v>
      </c>
      <c r="I205" s="369"/>
      <c r="J205" s="350">
        <v>154380051.53014603</v>
      </c>
      <c r="K205" s="350">
        <v>187824756.9894712</v>
      </c>
      <c r="L205" s="350">
        <v>221718029.33457541</v>
      </c>
      <c r="M205" s="350">
        <v>256117596.06775504</v>
      </c>
      <c r="N205" s="350">
        <v>291032146.40448755</v>
      </c>
      <c r="O205" s="348">
        <v>1111072580.3264353</v>
      </c>
      <c r="P205" s="369"/>
      <c r="Q205" s="350">
        <f t="shared" si="93"/>
        <v>31803936.199575439</v>
      </c>
      <c r="R205" s="350">
        <f t="shared" si="94"/>
        <v>64243272.302998886</v>
      </c>
      <c r="S205" s="350">
        <f t="shared" si="95"/>
        <v>97173301.736452937</v>
      </c>
      <c r="T205" s="350">
        <f t="shared" si="96"/>
        <v>130607336.62821774</v>
      </c>
      <c r="U205" s="350">
        <f t="shared" si="97"/>
        <v>164551066.95789558</v>
      </c>
      <c r="V205" s="350">
        <f t="shared" si="98"/>
        <v>488378913.82514071</v>
      </c>
      <c r="W205" s="365"/>
      <c r="X205" s="377">
        <f t="shared" si="76"/>
        <v>0</v>
      </c>
      <c r="Y205" s="377">
        <f t="shared" si="77"/>
        <v>0</v>
      </c>
      <c r="Z205" s="377">
        <f t="shared" si="78"/>
        <v>0</v>
      </c>
      <c r="AA205" s="377">
        <f t="shared" si="79"/>
        <v>0</v>
      </c>
      <c r="AB205" s="377">
        <f t="shared" si="80"/>
        <v>0</v>
      </c>
      <c r="AC205" s="377">
        <f t="shared" si="81"/>
        <v>0</v>
      </c>
      <c r="AD205" s="376"/>
      <c r="AE205" s="332">
        <v>190</v>
      </c>
      <c r="AF205" s="350">
        <v>163955692.84339201</v>
      </c>
      <c r="AG205" s="350">
        <v>165300457.51362032</v>
      </c>
      <c r="AH205" s="350">
        <v>166588874.58027458</v>
      </c>
      <c r="AI205" s="350">
        <v>167880353.27981243</v>
      </c>
      <c r="AJ205" s="350">
        <v>169178905.33829144</v>
      </c>
      <c r="AK205" s="348">
        <v>832904283.55539072</v>
      </c>
      <c r="AL205" s="369"/>
      <c r="AM205" s="350">
        <v>204355232.33575228</v>
      </c>
      <c r="AN205" s="350">
        <v>246896676.43454006</v>
      </c>
      <c r="AO205" s="350">
        <v>290004929.51826286</v>
      </c>
      <c r="AP205" s="350">
        <v>333756310.24607319</v>
      </c>
      <c r="AQ205" s="350">
        <v>378162056.6214152</v>
      </c>
      <c r="AR205" s="348">
        <v>1453175205.1560435</v>
      </c>
      <c r="AS205" s="369"/>
      <c r="AT205" s="350">
        <f t="shared" si="99"/>
        <v>40399539.492360264</v>
      </c>
      <c r="AU205" s="350">
        <f t="shared" si="82"/>
        <v>81596218.920919746</v>
      </c>
      <c r="AV205" s="350">
        <f t="shared" si="83"/>
        <v>123416054.93798828</v>
      </c>
      <c r="AW205" s="350">
        <f t="shared" si="84"/>
        <v>165875956.96626076</v>
      </c>
      <c r="AX205" s="350">
        <f t="shared" si="85"/>
        <v>208983151.28312376</v>
      </c>
      <c r="AY205" s="350">
        <f t="shared" si="86"/>
        <v>620270921.60065281</v>
      </c>
      <c r="AZ205" s="365"/>
      <c r="BA205" s="377">
        <f t="shared" si="87"/>
        <v>0</v>
      </c>
      <c r="BB205" s="377">
        <f t="shared" si="88"/>
        <v>0</v>
      </c>
      <c r="BC205" s="377">
        <f t="shared" si="89"/>
        <v>0</v>
      </c>
      <c r="BD205" s="377">
        <f t="shared" si="90"/>
        <v>0</v>
      </c>
      <c r="BE205" s="377">
        <f t="shared" si="91"/>
        <v>0</v>
      </c>
      <c r="BF205" s="377">
        <f t="shared" si="92"/>
        <v>0</v>
      </c>
      <c r="BG205" s="328"/>
    </row>
    <row r="206" spans="2:59">
      <c r="B206" s="332">
        <v>191</v>
      </c>
      <c r="C206" s="350">
        <v>117816658.11906233</v>
      </c>
      <c r="D206" s="350">
        <v>118782990.40466473</v>
      </c>
      <c r="E206" s="350">
        <v>119708831.95627083</v>
      </c>
      <c r="F206" s="350">
        <v>120636873.56173575</v>
      </c>
      <c r="G206" s="350">
        <v>121569998.00084727</v>
      </c>
      <c r="H206" s="348">
        <v>598515352.04258084</v>
      </c>
      <c r="I206" s="369"/>
      <c r="J206" s="350">
        <v>151318987.57887751</v>
      </c>
      <c r="K206" s="350">
        <v>186436778.19974554</v>
      </c>
      <c r="L206" s="350">
        <v>222030660.47875088</v>
      </c>
      <c r="M206" s="350">
        <v>258157347.10351971</v>
      </c>
      <c r="N206" s="350">
        <v>294825711.60586321</v>
      </c>
      <c r="O206" s="348">
        <v>1112769484.9667568</v>
      </c>
      <c r="P206" s="369"/>
      <c r="Q206" s="350">
        <f t="shared" si="93"/>
        <v>33502329.459815174</v>
      </c>
      <c r="R206" s="350">
        <f t="shared" si="94"/>
        <v>67653787.795080811</v>
      </c>
      <c r="S206" s="350">
        <f t="shared" si="95"/>
        <v>102321828.52248006</v>
      </c>
      <c r="T206" s="350">
        <f t="shared" si="96"/>
        <v>137520473.54178396</v>
      </c>
      <c r="U206" s="350">
        <f t="shared" si="97"/>
        <v>173255713.60501593</v>
      </c>
      <c r="V206" s="350">
        <f t="shared" si="98"/>
        <v>514254132.92417598</v>
      </c>
      <c r="W206" s="365"/>
      <c r="X206" s="377">
        <f t="shared" si="76"/>
        <v>0</v>
      </c>
      <c r="Y206" s="377">
        <f t="shared" si="77"/>
        <v>0</v>
      </c>
      <c r="Z206" s="377">
        <f t="shared" si="78"/>
        <v>0</v>
      </c>
      <c r="AA206" s="377">
        <f t="shared" si="79"/>
        <v>0</v>
      </c>
      <c r="AB206" s="377">
        <f t="shared" si="80"/>
        <v>0</v>
      </c>
      <c r="AC206" s="377">
        <f t="shared" si="81"/>
        <v>0</v>
      </c>
      <c r="AD206" s="376"/>
      <c r="AE206" s="332">
        <v>191</v>
      </c>
      <c r="AF206" s="350">
        <v>126259176.51997709</v>
      </c>
      <c r="AG206" s="350">
        <v>127294754.34549585</v>
      </c>
      <c r="AH206" s="350">
        <v>128286939.94776976</v>
      </c>
      <c r="AI206" s="350">
        <v>129281483.2555919</v>
      </c>
      <c r="AJ206" s="350">
        <v>130281473.62328522</v>
      </c>
      <c r="AK206" s="348">
        <v>641403827.69211972</v>
      </c>
      <c r="AL206" s="369"/>
      <c r="AM206" s="350">
        <v>158613748.77469605</v>
      </c>
      <c r="AN206" s="350">
        <v>192656776.06808719</v>
      </c>
      <c r="AO206" s="350">
        <v>227155701.0240413</v>
      </c>
      <c r="AP206" s="350">
        <v>262169816.53843808</v>
      </c>
      <c r="AQ206" s="350">
        <v>297708001.44697732</v>
      </c>
      <c r="AR206" s="348">
        <v>1138304043.8522398</v>
      </c>
      <c r="AS206" s="369"/>
      <c r="AT206" s="350">
        <f t="shared" si="99"/>
        <v>32354572.254718959</v>
      </c>
      <c r="AU206" s="350">
        <f t="shared" si="82"/>
        <v>65362021.722591341</v>
      </c>
      <c r="AV206" s="350">
        <f t="shared" si="83"/>
        <v>98868761.076271534</v>
      </c>
      <c r="AW206" s="350">
        <f t="shared" si="84"/>
        <v>132888333.28284618</v>
      </c>
      <c r="AX206" s="350">
        <f t="shared" si="85"/>
        <v>167426527.82369208</v>
      </c>
      <c r="AY206" s="350">
        <f t="shared" si="86"/>
        <v>496900216.16012013</v>
      </c>
      <c r="AZ206" s="365"/>
      <c r="BA206" s="377">
        <f t="shared" si="87"/>
        <v>0</v>
      </c>
      <c r="BB206" s="377">
        <f t="shared" si="88"/>
        <v>0</v>
      </c>
      <c r="BC206" s="377">
        <f t="shared" si="89"/>
        <v>0</v>
      </c>
      <c r="BD206" s="377">
        <f t="shared" si="90"/>
        <v>0</v>
      </c>
      <c r="BE206" s="377">
        <f t="shared" si="91"/>
        <v>0</v>
      </c>
      <c r="BF206" s="377">
        <f t="shared" si="92"/>
        <v>0</v>
      </c>
      <c r="BG206" s="328"/>
    </row>
    <row r="207" spans="2:59">
      <c r="B207" s="332">
        <v>192</v>
      </c>
      <c r="C207" s="350">
        <v>122361839.695592</v>
      </c>
      <c r="D207" s="350">
        <v>123365451.56263433</v>
      </c>
      <c r="E207" s="350">
        <v>124327010.62677492</v>
      </c>
      <c r="F207" s="350">
        <v>125290854.61939591</v>
      </c>
      <c r="G207" s="350">
        <v>126259977.53340028</v>
      </c>
      <c r="H207" s="348">
        <v>621605134.03779745</v>
      </c>
      <c r="I207" s="369"/>
      <c r="J207" s="350">
        <v>156264584.66812474</v>
      </c>
      <c r="K207" s="350">
        <v>191827344.58106327</v>
      </c>
      <c r="L207" s="350">
        <v>227870800.66259965</v>
      </c>
      <c r="M207" s="350">
        <v>264453480.10492176</v>
      </c>
      <c r="N207" s="350">
        <v>301584439.17975515</v>
      </c>
      <c r="O207" s="348">
        <v>1142000649.1964645</v>
      </c>
      <c r="P207" s="369"/>
      <c r="Q207" s="350">
        <f t="shared" si="93"/>
        <v>33902744.972532734</v>
      </c>
      <c r="R207" s="350">
        <f t="shared" si="94"/>
        <v>68461893.018428937</v>
      </c>
      <c r="S207" s="350">
        <f t="shared" si="95"/>
        <v>103543790.03582473</v>
      </c>
      <c r="T207" s="350">
        <f t="shared" si="96"/>
        <v>139162625.48552585</v>
      </c>
      <c r="U207" s="350">
        <f t="shared" si="97"/>
        <v>175324461.64635485</v>
      </c>
      <c r="V207" s="350">
        <f t="shared" si="98"/>
        <v>520395515.15866709</v>
      </c>
      <c r="W207" s="365"/>
      <c r="X207" s="377">
        <f t="shared" si="76"/>
        <v>0</v>
      </c>
      <c r="Y207" s="377">
        <f t="shared" si="77"/>
        <v>0</v>
      </c>
      <c r="Z207" s="377">
        <f t="shared" si="78"/>
        <v>0</v>
      </c>
      <c r="AA207" s="377">
        <f t="shared" si="79"/>
        <v>0</v>
      </c>
      <c r="AB207" s="377">
        <f t="shared" si="80"/>
        <v>0</v>
      </c>
      <c r="AC207" s="377">
        <f t="shared" si="81"/>
        <v>0</v>
      </c>
      <c r="AD207" s="376"/>
      <c r="AE207" s="332">
        <v>192</v>
      </c>
      <c r="AF207" s="350">
        <v>145972998.17501795</v>
      </c>
      <c r="AG207" s="350">
        <v>147170268.77507308</v>
      </c>
      <c r="AH207" s="350">
        <v>148317371.98849452</v>
      </c>
      <c r="AI207" s="350">
        <v>149467201.03426468</v>
      </c>
      <c r="AJ207" s="350">
        <v>150623327.63148862</v>
      </c>
      <c r="AK207" s="348">
        <v>741551167.60433888</v>
      </c>
      <c r="AL207" s="369"/>
      <c r="AM207" s="350">
        <v>182050714.70174837</v>
      </c>
      <c r="AN207" s="350">
        <v>220049059.17823178</v>
      </c>
      <c r="AO207" s="350">
        <v>258553908.5753957</v>
      </c>
      <c r="AP207" s="350">
        <v>297633257.25361931</v>
      </c>
      <c r="AQ207" s="350">
        <v>337297131.91799015</v>
      </c>
      <c r="AR207" s="348">
        <v>1295584071.6269853</v>
      </c>
      <c r="AS207" s="369"/>
      <c r="AT207" s="350">
        <f t="shared" si="99"/>
        <v>36077716.526730418</v>
      </c>
      <c r="AU207" s="350">
        <f t="shared" si="82"/>
        <v>72878790.403158695</v>
      </c>
      <c r="AV207" s="350">
        <f t="shared" si="83"/>
        <v>110236536.58690119</v>
      </c>
      <c r="AW207" s="350">
        <f t="shared" si="84"/>
        <v>148166056.21935463</v>
      </c>
      <c r="AX207" s="350">
        <f t="shared" si="85"/>
        <v>186673804.28650153</v>
      </c>
      <c r="AY207" s="350">
        <f t="shared" si="86"/>
        <v>554032904.02264643</v>
      </c>
      <c r="AZ207" s="365"/>
      <c r="BA207" s="377">
        <f t="shared" si="87"/>
        <v>0</v>
      </c>
      <c r="BB207" s="377">
        <f t="shared" si="88"/>
        <v>0</v>
      </c>
      <c r="BC207" s="377">
        <f t="shared" si="89"/>
        <v>0</v>
      </c>
      <c r="BD207" s="377">
        <f t="shared" si="90"/>
        <v>0</v>
      </c>
      <c r="BE207" s="377">
        <f t="shared" si="91"/>
        <v>0</v>
      </c>
      <c r="BF207" s="377">
        <f t="shared" si="92"/>
        <v>0</v>
      </c>
      <c r="BG207" s="328"/>
    </row>
    <row r="208" spans="2:59">
      <c r="B208" s="332">
        <v>193</v>
      </c>
      <c r="C208" s="350">
        <v>122463648.66495948</v>
      </c>
      <c r="D208" s="350">
        <v>123468095.5692167</v>
      </c>
      <c r="E208" s="350">
        <v>124430454.68129337</v>
      </c>
      <c r="F208" s="350">
        <v>125395100.62298417</v>
      </c>
      <c r="G208" s="350">
        <v>126365029.87828997</v>
      </c>
      <c r="H208" s="348">
        <v>622122329.41674364</v>
      </c>
      <c r="I208" s="369"/>
      <c r="J208" s="350">
        <v>157718030.0068064</v>
      </c>
      <c r="K208" s="350">
        <v>194652973.61323261</v>
      </c>
      <c r="L208" s="350">
        <v>232089318.72137648</v>
      </c>
      <c r="M208" s="350">
        <v>270086194.76119232</v>
      </c>
      <c r="N208" s="350">
        <v>308652901.20110124</v>
      </c>
      <c r="O208" s="348">
        <v>1163199418.303709</v>
      </c>
      <c r="P208" s="369"/>
      <c r="Q208" s="350">
        <f t="shared" si="93"/>
        <v>35254381.341846928</v>
      </c>
      <c r="R208" s="350">
        <f t="shared" si="94"/>
        <v>71184878.044015914</v>
      </c>
      <c r="S208" s="350">
        <f t="shared" si="95"/>
        <v>107658864.04008311</v>
      </c>
      <c r="T208" s="350">
        <f t="shared" si="96"/>
        <v>144691094.13820815</v>
      </c>
      <c r="U208" s="350">
        <f t="shared" si="97"/>
        <v>182287871.32281128</v>
      </c>
      <c r="V208" s="350">
        <f t="shared" si="98"/>
        <v>541077088.88696539</v>
      </c>
      <c r="W208" s="365"/>
      <c r="X208" s="377">
        <f t="shared" ref="X208:X271" si="100">IF(Q208&lt;Q$8,1,0)</f>
        <v>0</v>
      </c>
      <c r="Y208" s="377">
        <f t="shared" ref="Y208:Y271" si="101">IF(R208&lt;R$8,1,0)</f>
        <v>0</v>
      </c>
      <c r="Z208" s="377">
        <f t="shared" ref="Z208:Z271" si="102">IF(S208&lt;S$8,1,0)</f>
        <v>0</v>
      </c>
      <c r="AA208" s="377">
        <f t="shared" ref="AA208:AA271" si="103">IF(T208&lt;T$8,1,0)</f>
        <v>0</v>
      </c>
      <c r="AB208" s="377">
        <f t="shared" ref="AB208:AB271" si="104">IF(U208&lt;U$8,1,0)</f>
        <v>0</v>
      </c>
      <c r="AC208" s="377">
        <f t="shared" ref="AC208:AC271" si="105">IF(V208&lt;V$8,1,0)</f>
        <v>0</v>
      </c>
      <c r="AD208" s="376"/>
      <c r="AE208" s="332">
        <v>193</v>
      </c>
      <c r="AF208" s="350">
        <v>116931287.6755864</v>
      </c>
      <c r="AG208" s="350">
        <v>117890358.15239279</v>
      </c>
      <c r="AH208" s="350">
        <v>118809242.17559652</v>
      </c>
      <c r="AI208" s="350">
        <v>119730309.71966036</v>
      </c>
      <c r="AJ208" s="350">
        <v>120656421.90081391</v>
      </c>
      <c r="AK208" s="348">
        <v>594017619.62405002</v>
      </c>
      <c r="AL208" s="369"/>
      <c r="AM208" s="350">
        <v>147915101.56637833</v>
      </c>
      <c r="AN208" s="350">
        <v>180459676.86595002</v>
      </c>
      <c r="AO208" s="350">
        <v>213441835.56176996</v>
      </c>
      <c r="AP208" s="350">
        <v>246916915.51654676</v>
      </c>
      <c r="AQ208" s="350">
        <v>280893318.45526934</v>
      </c>
      <c r="AR208" s="348">
        <v>1069626847.9659144</v>
      </c>
      <c r="AS208" s="369"/>
      <c r="AT208" s="350">
        <f t="shared" si="99"/>
        <v>30983813.890791923</v>
      </c>
      <c r="AU208" s="350">
        <f t="shared" ref="AU208:AU271" si="106">AN208-AG208</f>
        <v>62569318.713557228</v>
      </c>
      <c r="AV208" s="350">
        <f t="shared" ref="AV208:AV271" si="107">AO208-AH208</f>
        <v>94632593.386173442</v>
      </c>
      <c r="AW208" s="350">
        <f t="shared" ref="AW208:AW271" si="108">AP208-AI208</f>
        <v>127186605.7968864</v>
      </c>
      <c r="AX208" s="350">
        <f t="shared" ref="AX208:AX271" si="109">AQ208-AJ208</f>
        <v>160236896.55445543</v>
      </c>
      <c r="AY208" s="350">
        <f t="shared" ref="AY208:AY271" si="110">AR208-AK208</f>
        <v>475609228.34186435</v>
      </c>
      <c r="AZ208" s="365"/>
      <c r="BA208" s="377">
        <f t="shared" ref="BA208:BA271" si="111">IF(AT208&lt;AT$8,1,0)</f>
        <v>0</v>
      </c>
      <c r="BB208" s="377">
        <f t="shared" ref="BB208:BB271" si="112">IF(AU208&lt;AU$8,1,0)</f>
        <v>0</v>
      </c>
      <c r="BC208" s="377">
        <f t="shared" ref="BC208:BC271" si="113">IF(AV208&lt;AV$8,1,0)</f>
        <v>0</v>
      </c>
      <c r="BD208" s="377">
        <f t="shared" ref="BD208:BD271" si="114">IF(AW208&lt;AW$8,1,0)</f>
        <v>0</v>
      </c>
      <c r="BE208" s="377">
        <f t="shared" ref="BE208:BE271" si="115">IF(AX208&lt;AX$8,1,0)</f>
        <v>0</v>
      </c>
      <c r="BF208" s="377">
        <f t="shared" ref="BF208:BF271" si="116">IF(AY208&lt;AY$8,1,0)</f>
        <v>0</v>
      </c>
      <c r="BG208" s="328"/>
    </row>
    <row r="209" spans="2:59">
      <c r="B209" s="332">
        <v>194</v>
      </c>
      <c r="C209" s="350">
        <v>114554384.66419363</v>
      </c>
      <c r="D209" s="350">
        <v>115493959.78137663</v>
      </c>
      <c r="E209" s="350">
        <v>116394165.32899618</v>
      </c>
      <c r="F209" s="350">
        <v>117296510.01228681</v>
      </c>
      <c r="G209" s="350">
        <v>118203796.78857203</v>
      </c>
      <c r="H209" s="348">
        <v>581942816.57542527</v>
      </c>
      <c r="I209" s="369"/>
      <c r="J209" s="350">
        <v>141521682.27542663</v>
      </c>
      <c r="K209" s="350">
        <v>169961379.77894211</v>
      </c>
      <c r="L209" s="350">
        <v>198777685.32177368</v>
      </c>
      <c r="M209" s="350">
        <v>228023394.94214454</v>
      </c>
      <c r="N209" s="350">
        <v>257706135.35594717</v>
      </c>
      <c r="O209" s="348">
        <v>995990277.67423403</v>
      </c>
      <c r="P209" s="369"/>
      <c r="Q209" s="350">
        <f t="shared" ref="Q209:Q272" si="117">J209-C209</f>
        <v>26967297.611232996</v>
      </c>
      <c r="R209" s="350">
        <f t="shared" ref="R209:R272" si="118">K209-D209</f>
        <v>54467419.997565478</v>
      </c>
      <c r="S209" s="350">
        <f t="shared" ref="S209:S272" si="119">L209-E209</f>
        <v>82383519.992777497</v>
      </c>
      <c r="T209" s="350">
        <f t="shared" ref="T209:T272" si="120">M209-F209</f>
        <v>110726884.92985773</v>
      </c>
      <c r="U209" s="350">
        <f t="shared" ref="U209:U272" si="121">N209-G209</f>
        <v>139502338.56737512</v>
      </c>
      <c r="V209" s="350">
        <f t="shared" ref="V209:V272" si="122">O209-H209</f>
        <v>414047461.09880877</v>
      </c>
      <c r="W209" s="365"/>
      <c r="X209" s="377">
        <f t="shared" si="100"/>
        <v>0</v>
      </c>
      <c r="Y209" s="377">
        <f t="shared" si="101"/>
        <v>0</v>
      </c>
      <c r="Z209" s="377">
        <f t="shared" si="102"/>
        <v>0</v>
      </c>
      <c r="AA209" s="377">
        <f t="shared" si="103"/>
        <v>0</v>
      </c>
      <c r="AB209" s="377">
        <f t="shared" si="104"/>
        <v>0</v>
      </c>
      <c r="AC209" s="377">
        <f t="shared" si="105"/>
        <v>0</v>
      </c>
      <c r="AD209" s="376"/>
      <c r="AE209" s="332">
        <v>194</v>
      </c>
      <c r="AF209" s="350">
        <v>124683617.05705035</v>
      </c>
      <c r="AG209" s="350">
        <v>125706272.14310917</v>
      </c>
      <c r="AH209" s="350">
        <v>126686076.48757887</v>
      </c>
      <c r="AI209" s="350">
        <v>127668209.11632703</v>
      </c>
      <c r="AJ209" s="350">
        <v>128655720.83232886</v>
      </c>
      <c r="AK209" s="348">
        <v>633399895.63639426</v>
      </c>
      <c r="AL209" s="369"/>
      <c r="AM209" s="350">
        <v>157323147.52395254</v>
      </c>
      <c r="AN209" s="350">
        <v>191638615.47387537</v>
      </c>
      <c r="AO209" s="350">
        <v>226414836.67030716</v>
      </c>
      <c r="AP209" s="350">
        <v>261710652.08693355</v>
      </c>
      <c r="AQ209" s="350">
        <v>297534952.18226385</v>
      </c>
      <c r="AR209" s="348">
        <v>1134622203.9373324</v>
      </c>
      <c r="AS209" s="369"/>
      <c r="AT209" s="350">
        <f t="shared" ref="AT209:AT272" si="123">AM209-AF209</f>
        <v>32639530.466902196</v>
      </c>
      <c r="AU209" s="350">
        <f t="shared" si="106"/>
        <v>65932343.330766201</v>
      </c>
      <c r="AV209" s="350">
        <f t="shared" si="107"/>
        <v>99728760.182728291</v>
      </c>
      <c r="AW209" s="350">
        <f t="shared" si="108"/>
        <v>134042442.97060652</v>
      </c>
      <c r="AX209" s="350">
        <f t="shared" si="109"/>
        <v>168879231.349935</v>
      </c>
      <c r="AY209" s="350">
        <f t="shared" si="110"/>
        <v>501222308.30093813</v>
      </c>
      <c r="AZ209" s="365"/>
      <c r="BA209" s="377">
        <f t="shared" si="111"/>
        <v>0</v>
      </c>
      <c r="BB209" s="377">
        <f t="shared" si="112"/>
        <v>0</v>
      </c>
      <c r="BC209" s="377">
        <f t="shared" si="113"/>
        <v>0</v>
      </c>
      <c r="BD209" s="377">
        <f t="shared" si="114"/>
        <v>0</v>
      </c>
      <c r="BE209" s="377">
        <f t="shared" si="115"/>
        <v>0</v>
      </c>
      <c r="BF209" s="377">
        <f t="shared" si="116"/>
        <v>0</v>
      </c>
      <c r="BG209" s="328"/>
    </row>
    <row r="210" spans="2:59">
      <c r="B210" s="332">
        <v>195</v>
      </c>
      <c r="C210" s="350">
        <v>136165243.71209133</v>
      </c>
      <c r="D210" s="350">
        <v>137282071.10540393</v>
      </c>
      <c r="E210" s="350">
        <v>138352101.79992437</v>
      </c>
      <c r="F210" s="350">
        <v>139424675.18131661</v>
      </c>
      <c r="G210" s="350">
        <v>140503122.98906997</v>
      </c>
      <c r="H210" s="348">
        <v>691727214.78780615</v>
      </c>
      <c r="I210" s="369"/>
      <c r="J210" s="350">
        <v>173811012.72338581</v>
      </c>
      <c r="K210" s="350">
        <v>213308715.76638985</v>
      </c>
      <c r="L210" s="350">
        <v>253340182.22441202</v>
      </c>
      <c r="M210" s="350">
        <v>293970507.87414283</v>
      </c>
      <c r="N210" s="350">
        <v>335209756.98976558</v>
      </c>
      <c r="O210" s="348">
        <v>1269640175.5780962</v>
      </c>
      <c r="P210" s="369"/>
      <c r="Q210" s="350">
        <f t="shared" si="117"/>
        <v>37645769.011294484</v>
      </c>
      <c r="R210" s="350">
        <f t="shared" si="118"/>
        <v>76026644.660985917</v>
      </c>
      <c r="S210" s="350">
        <f t="shared" si="119"/>
        <v>114988080.42448765</v>
      </c>
      <c r="T210" s="350">
        <f t="shared" si="120"/>
        <v>154545832.69282621</v>
      </c>
      <c r="U210" s="350">
        <f t="shared" si="121"/>
        <v>194706634.00069562</v>
      </c>
      <c r="V210" s="350">
        <f t="shared" si="122"/>
        <v>577912960.79029</v>
      </c>
      <c r="W210" s="365"/>
      <c r="X210" s="377">
        <f t="shared" si="100"/>
        <v>0</v>
      </c>
      <c r="Y210" s="377">
        <f t="shared" si="101"/>
        <v>0</v>
      </c>
      <c r="Z210" s="377">
        <f t="shared" si="102"/>
        <v>0</v>
      </c>
      <c r="AA210" s="377">
        <f t="shared" si="103"/>
        <v>0</v>
      </c>
      <c r="AB210" s="377">
        <f t="shared" si="104"/>
        <v>0</v>
      </c>
      <c r="AC210" s="377">
        <f t="shared" si="105"/>
        <v>0</v>
      </c>
      <c r="AD210" s="376"/>
      <c r="AE210" s="332">
        <v>195</v>
      </c>
      <c r="AF210" s="350">
        <v>138512598.08661684</v>
      </c>
      <c r="AG210" s="350">
        <v>139648678.48161924</v>
      </c>
      <c r="AH210" s="350">
        <v>140737155.44894168</v>
      </c>
      <c r="AI210" s="350">
        <v>141828218.93654734</v>
      </c>
      <c r="AJ210" s="350">
        <v>142925258.11982507</v>
      </c>
      <c r="AK210" s="348">
        <v>703651909.07355022</v>
      </c>
      <c r="AL210" s="369"/>
      <c r="AM210" s="350">
        <v>172175622.72543973</v>
      </c>
      <c r="AN210" s="350">
        <v>207647605.65437067</v>
      </c>
      <c r="AO210" s="350">
        <v>243591367.03623971</v>
      </c>
      <c r="AP210" s="350">
        <v>280071187.12195498</v>
      </c>
      <c r="AQ210" s="350">
        <v>317096477.72363263</v>
      </c>
      <c r="AR210" s="348">
        <v>1220582260.2616377</v>
      </c>
      <c r="AS210" s="369"/>
      <c r="AT210" s="350">
        <f t="shared" si="123"/>
        <v>33663024.638822883</v>
      </c>
      <c r="AU210" s="350">
        <f t="shared" si="106"/>
        <v>67998927.172751427</v>
      </c>
      <c r="AV210" s="350">
        <f t="shared" si="107"/>
        <v>102854211.58729804</v>
      </c>
      <c r="AW210" s="350">
        <f t="shared" si="108"/>
        <v>138242968.18540764</v>
      </c>
      <c r="AX210" s="350">
        <f t="shared" si="109"/>
        <v>174171219.60380757</v>
      </c>
      <c r="AY210" s="350">
        <f t="shared" si="110"/>
        <v>516930351.18808746</v>
      </c>
      <c r="AZ210" s="365"/>
      <c r="BA210" s="377">
        <f t="shared" si="111"/>
        <v>0</v>
      </c>
      <c r="BB210" s="377">
        <f t="shared" si="112"/>
        <v>0</v>
      </c>
      <c r="BC210" s="377">
        <f t="shared" si="113"/>
        <v>0</v>
      </c>
      <c r="BD210" s="377">
        <f t="shared" si="114"/>
        <v>0</v>
      </c>
      <c r="BE210" s="377">
        <f t="shared" si="115"/>
        <v>0</v>
      </c>
      <c r="BF210" s="377">
        <f t="shared" si="116"/>
        <v>0</v>
      </c>
      <c r="BG210" s="328"/>
    </row>
    <row r="211" spans="2:59">
      <c r="B211" s="332">
        <v>196</v>
      </c>
      <c r="C211" s="350">
        <v>146982983.55717894</v>
      </c>
      <c r="D211" s="350">
        <v>148188538.05781609</v>
      </c>
      <c r="E211" s="350">
        <v>149343578.06428742</v>
      </c>
      <c r="F211" s="350">
        <v>150501362.76310804</v>
      </c>
      <c r="G211" s="350">
        <v>151665488.58606359</v>
      </c>
      <c r="H211" s="348">
        <v>746681951.02845407</v>
      </c>
      <c r="I211" s="369"/>
      <c r="J211" s="350">
        <v>184897514.69833216</v>
      </c>
      <c r="K211" s="350">
        <v>224764895.23208797</v>
      </c>
      <c r="L211" s="350">
        <v>265166574.33127257</v>
      </c>
      <c r="M211" s="350">
        <v>306171680.44769251</v>
      </c>
      <c r="N211" s="350">
        <v>347790591.67235839</v>
      </c>
      <c r="O211" s="348">
        <v>1328791256.3817437</v>
      </c>
      <c r="P211" s="369"/>
      <c r="Q211" s="350">
        <f t="shared" si="117"/>
        <v>37914531.141153216</v>
      </c>
      <c r="R211" s="350">
        <f t="shared" si="118"/>
        <v>76576357.174271882</v>
      </c>
      <c r="S211" s="350">
        <f t="shared" si="119"/>
        <v>115822996.26698515</v>
      </c>
      <c r="T211" s="350">
        <f t="shared" si="120"/>
        <v>155670317.68458447</v>
      </c>
      <c r="U211" s="350">
        <f t="shared" si="121"/>
        <v>196125103.0862948</v>
      </c>
      <c r="V211" s="350">
        <f t="shared" si="122"/>
        <v>582109305.3532896</v>
      </c>
      <c r="W211" s="365"/>
      <c r="X211" s="377">
        <f t="shared" si="100"/>
        <v>0</v>
      </c>
      <c r="Y211" s="377">
        <f t="shared" si="101"/>
        <v>0</v>
      </c>
      <c r="Z211" s="377">
        <f t="shared" si="102"/>
        <v>0</v>
      </c>
      <c r="AA211" s="377">
        <f t="shared" si="103"/>
        <v>0</v>
      </c>
      <c r="AB211" s="377">
        <f t="shared" si="104"/>
        <v>0</v>
      </c>
      <c r="AC211" s="377">
        <f t="shared" si="105"/>
        <v>0</v>
      </c>
      <c r="AD211" s="376"/>
      <c r="AE211" s="332">
        <v>196</v>
      </c>
      <c r="AF211" s="350">
        <v>137427656.91105431</v>
      </c>
      <c r="AG211" s="350">
        <v>138554838.61802173</v>
      </c>
      <c r="AH211" s="350">
        <v>139634789.76533347</v>
      </c>
      <c r="AI211" s="350">
        <v>140717307.17323798</v>
      </c>
      <c r="AJ211" s="350">
        <v>141805753.47039866</v>
      </c>
      <c r="AK211" s="348">
        <v>698140345.93804622</v>
      </c>
      <c r="AL211" s="369"/>
      <c r="AM211" s="350">
        <v>174818327.11481932</v>
      </c>
      <c r="AN211" s="350">
        <v>214078112.96535298</v>
      </c>
      <c r="AO211" s="350">
        <v>253867478.40567979</v>
      </c>
      <c r="AP211" s="350">
        <v>294251870.53327656</v>
      </c>
      <c r="AQ211" s="350">
        <v>335241340.69235367</v>
      </c>
      <c r="AR211" s="348">
        <v>1272257129.7114823</v>
      </c>
      <c r="AS211" s="369"/>
      <c r="AT211" s="350">
        <f t="shared" si="123"/>
        <v>37390670.203765005</v>
      </c>
      <c r="AU211" s="350">
        <f t="shared" si="106"/>
        <v>75523274.347331256</v>
      </c>
      <c r="AV211" s="350">
        <f t="shared" si="107"/>
        <v>114232688.64034632</v>
      </c>
      <c r="AW211" s="350">
        <f t="shared" si="108"/>
        <v>153534563.36003858</v>
      </c>
      <c r="AX211" s="350">
        <f t="shared" si="109"/>
        <v>193435587.221955</v>
      </c>
      <c r="AY211" s="350">
        <f t="shared" si="110"/>
        <v>574116783.77343607</v>
      </c>
      <c r="AZ211" s="365"/>
      <c r="BA211" s="377">
        <f t="shared" si="111"/>
        <v>0</v>
      </c>
      <c r="BB211" s="377">
        <f t="shared" si="112"/>
        <v>0</v>
      </c>
      <c r="BC211" s="377">
        <f t="shared" si="113"/>
        <v>0</v>
      </c>
      <c r="BD211" s="377">
        <f t="shared" si="114"/>
        <v>0</v>
      </c>
      <c r="BE211" s="377">
        <f t="shared" si="115"/>
        <v>0</v>
      </c>
      <c r="BF211" s="377">
        <f t="shared" si="116"/>
        <v>0</v>
      </c>
      <c r="BG211" s="328"/>
    </row>
    <row r="212" spans="2:59">
      <c r="B212" s="332">
        <v>197</v>
      </c>
      <c r="C212" s="350">
        <v>140376311.61290976</v>
      </c>
      <c r="D212" s="350">
        <v>141527678.18713608</v>
      </c>
      <c r="E212" s="350">
        <v>142630800.82044905</v>
      </c>
      <c r="F212" s="350">
        <v>143736544.77617082</v>
      </c>
      <c r="G212" s="350">
        <v>144848344.83169404</v>
      </c>
      <c r="H212" s="348">
        <v>713119680.2283597</v>
      </c>
      <c r="I212" s="369"/>
      <c r="J212" s="350">
        <v>175991748.94125134</v>
      </c>
      <c r="K212" s="350">
        <v>213456550.71339679</v>
      </c>
      <c r="L212" s="350">
        <v>251422397.13579634</v>
      </c>
      <c r="M212" s="350">
        <v>289955060.2217083</v>
      </c>
      <c r="N212" s="350">
        <v>329064344.56788224</v>
      </c>
      <c r="O212" s="348">
        <v>1259890101.580035</v>
      </c>
      <c r="P212" s="369"/>
      <c r="Q212" s="350">
        <f t="shared" si="117"/>
        <v>35615437.328341573</v>
      </c>
      <c r="R212" s="350">
        <f t="shared" si="118"/>
        <v>71928872.526260704</v>
      </c>
      <c r="S212" s="350">
        <f t="shared" si="119"/>
        <v>108791596.31534728</v>
      </c>
      <c r="T212" s="350">
        <f t="shared" si="120"/>
        <v>146218515.44553748</v>
      </c>
      <c r="U212" s="350">
        <f t="shared" si="121"/>
        <v>184215999.7361882</v>
      </c>
      <c r="V212" s="350">
        <f t="shared" si="122"/>
        <v>546770421.35167527</v>
      </c>
      <c r="W212" s="365"/>
      <c r="X212" s="377">
        <f t="shared" si="100"/>
        <v>0</v>
      </c>
      <c r="Y212" s="377">
        <f t="shared" si="101"/>
        <v>0</v>
      </c>
      <c r="Z212" s="377">
        <f t="shared" si="102"/>
        <v>0</v>
      </c>
      <c r="AA212" s="377">
        <f t="shared" si="103"/>
        <v>0</v>
      </c>
      <c r="AB212" s="377">
        <f t="shared" si="104"/>
        <v>0</v>
      </c>
      <c r="AC212" s="377">
        <f t="shared" si="105"/>
        <v>0</v>
      </c>
      <c r="AD212" s="376"/>
      <c r="AE212" s="332">
        <v>197</v>
      </c>
      <c r="AF212" s="350">
        <v>130929510.13675603</v>
      </c>
      <c r="AG212" s="350">
        <v>132003394.04080799</v>
      </c>
      <c r="AH212" s="350">
        <v>133032280.64098239</v>
      </c>
      <c r="AI212" s="350">
        <v>134063612.15835804</v>
      </c>
      <c r="AJ212" s="350">
        <v>135100592.22263753</v>
      </c>
      <c r="AK212" s="348">
        <v>665129389.19954205</v>
      </c>
      <c r="AL212" s="369"/>
      <c r="AM212" s="350">
        <v>160046254.51295924</v>
      </c>
      <c r="AN212" s="350">
        <v>190833401.08679059</v>
      </c>
      <c r="AO212" s="350">
        <v>222025014.60542083</v>
      </c>
      <c r="AP212" s="350">
        <v>253680725.46678507</v>
      </c>
      <c r="AQ212" s="350">
        <v>285808948.77983665</v>
      </c>
      <c r="AR212" s="348">
        <v>1112394344.4517922</v>
      </c>
      <c r="AS212" s="369"/>
      <c r="AT212" s="350">
        <f t="shared" si="123"/>
        <v>29116744.376203209</v>
      </c>
      <c r="AU212" s="350">
        <f t="shared" si="106"/>
        <v>58830007.045982599</v>
      </c>
      <c r="AV212" s="350">
        <f t="shared" si="107"/>
        <v>88992733.964438438</v>
      </c>
      <c r="AW212" s="350">
        <f t="shared" si="108"/>
        <v>119617113.30842704</v>
      </c>
      <c r="AX212" s="350">
        <f t="shared" si="109"/>
        <v>150708356.55719912</v>
      </c>
      <c r="AY212" s="350">
        <f t="shared" si="110"/>
        <v>447264955.25225019</v>
      </c>
      <c r="AZ212" s="365"/>
      <c r="BA212" s="377">
        <f t="shared" si="111"/>
        <v>0</v>
      </c>
      <c r="BB212" s="377">
        <f t="shared" si="112"/>
        <v>0</v>
      </c>
      <c r="BC212" s="377">
        <f t="shared" si="113"/>
        <v>0</v>
      </c>
      <c r="BD212" s="377">
        <f t="shared" si="114"/>
        <v>0</v>
      </c>
      <c r="BE212" s="377">
        <f t="shared" si="115"/>
        <v>0</v>
      </c>
      <c r="BF212" s="377">
        <f t="shared" si="116"/>
        <v>0</v>
      </c>
      <c r="BG212" s="328"/>
    </row>
    <row r="213" spans="2:59">
      <c r="B213" s="332">
        <v>198</v>
      </c>
      <c r="C213" s="350">
        <v>119586420.66778505</v>
      </c>
      <c r="D213" s="350">
        <v>120567268.54664892</v>
      </c>
      <c r="E213" s="350">
        <v>121507017.46696025</v>
      </c>
      <c r="F213" s="350">
        <v>122448999.48885888</v>
      </c>
      <c r="G213" s="350">
        <v>123396140.69531044</v>
      </c>
      <c r="H213" s="348">
        <v>607505846.86556351</v>
      </c>
      <c r="I213" s="369"/>
      <c r="J213" s="350">
        <v>152518242.94849527</v>
      </c>
      <c r="K213" s="350">
        <v>187085721.42219788</v>
      </c>
      <c r="L213" s="350">
        <v>222120147.36253926</v>
      </c>
      <c r="M213" s="350">
        <v>257678636.88195661</v>
      </c>
      <c r="N213" s="350">
        <v>293770007.35385311</v>
      </c>
      <c r="O213" s="348">
        <v>1113172755.9690421</v>
      </c>
      <c r="P213" s="369"/>
      <c r="Q213" s="350">
        <f t="shared" si="117"/>
        <v>32931822.28071022</v>
      </c>
      <c r="R213" s="350">
        <f t="shared" si="118"/>
        <v>66518452.875548959</v>
      </c>
      <c r="S213" s="350">
        <f t="shared" si="119"/>
        <v>100613129.89557901</v>
      </c>
      <c r="T213" s="350">
        <f t="shared" si="120"/>
        <v>135229637.39309773</v>
      </c>
      <c r="U213" s="350">
        <f t="shared" si="121"/>
        <v>170373866.65854266</v>
      </c>
      <c r="V213" s="350">
        <f t="shared" si="122"/>
        <v>505666909.10347855</v>
      </c>
      <c r="W213" s="365"/>
      <c r="X213" s="377">
        <f t="shared" si="100"/>
        <v>0</v>
      </c>
      <c r="Y213" s="377">
        <f t="shared" si="101"/>
        <v>0</v>
      </c>
      <c r="Z213" s="377">
        <f t="shared" si="102"/>
        <v>0</v>
      </c>
      <c r="AA213" s="377">
        <f t="shared" si="103"/>
        <v>0</v>
      </c>
      <c r="AB213" s="377">
        <f t="shared" si="104"/>
        <v>0</v>
      </c>
      <c r="AC213" s="377">
        <f t="shared" si="105"/>
        <v>0</v>
      </c>
      <c r="AD213" s="376"/>
      <c r="AE213" s="332">
        <v>198</v>
      </c>
      <c r="AF213" s="350">
        <v>123411495.62260124</v>
      </c>
      <c r="AG213" s="350">
        <v>124423716.76805317</v>
      </c>
      <c r="AH213" s="350">
        <v>125393524.36926518</v>
      </c>
      <c r="AI213" s="350">
        <v>126365636.49974748</v>
      </c>
      <c r="AJ213" s="350">
        <v>127343072.8357567</v>
      </c>
      <c r="AK213" s="348">
        <v>626937446.0954237</v>
      </c>
      <c r="AL213" s="369"/>
      <c r="AM213" s="350">
        <v>156306478.20379886</v>
      </c>
      <c r="AN213" s="350">
        <v>190853176.47701204</v>
      </c>
      <c r="AO213" s="350">
        <v>225864711.99293602</v>
      </c>
      <c r="AP213" s="350">
        <v>261399570.64742649</v>
      </c>
      <c r="AQ213" s="350">
        <v>297466654.59108013</v>
      </c>
      <c r="AR213" s="348">
        <v>1131890591.9122536</v>
      </c>
      <c r="AS213" s="369"/>
      <c r="AT213" s="350">
        <f t="shared" si="123"/>
        <v>32894982.581197619</v>
      </c>
      <c r="AU213" s="350">
        <f t="shared" si="106"/>
        <v>66429459.708958864</v>
      </c>
      <c r="AV213" s="350">
        <f t="shared" si="107"/>
        <v>100471187.62367083</v>
      </c>
      <c r="AW213" s="350">
        <f t="shared" si="108"/>
        <v>135033934.147679</v>
      </c>
      <c r="AX213" s="350">
        <f t="shared" si="109"/>
        <v>170123581.75532341</v>
      </c>
      <c r="AY213" s="350">
        <f t="shared" si="110"/>
        <v>504953145.81682992</v>
      </c>
      <c r="AZ213" s="365"/>
      <c r="BA213" s="377">
        <f t="shared" si="111"/>
        <v>0</v>
      </c>
      <c r="BB213" s="377">
        <f t="shared" si="112"/>
        <v>0</v>
      </c>
      <c r="BC213" s="377">
        <f t="shared" si="113"/>
        <v>0</v>
      </c>
      <c r="BD213" s="377">
        <f t="shared" si="114"/>
        <v>0</v>
      </c>
      <c r="BE213" s="377">
        <f t="shared" si="115"/>
        <v>0</v>
      </c>
      <c r="BF213" s="377">
        <f t="shared" si="116"/>
        <v>0</v>
      </c>
      <c r="BG213" s="328"/>
    </row>
    <row r="214" spans="2:59">
      <c r="B214" s="332">
        <v>199</v>
      </c>
      <c r="C214" s="350">
        <v>105583781.08495267</v>
      </c>
      <c r="D214" s="350">
        <v>106449779.30733699</v>
      </c>
      <c r="E214" s="350">
        <v>107279490.93950143</v>
      </c>
      <c r="F214" s="350">
        <v>108111174.19442892</v>
      </c>
      <c r="G214" s="350">
        <v>108947412.53353204</v>
      </c>
      <c r="H214" s="348">
        <v>536371638.05975199</v>
      </c>
      <c r="I214" s="369"/>
      <c r="J214" s="350">
        <v>138136077.88958344</v>
      </c>
      <c r="K214" s="350">
        <v>172185803.83005011</v>
      </c>
      <c r="L214" s="350">
        <v>206701187.79668617</v>
      </c>
      <c r="M214" s="350">
        <v>241734112.31968713</v>
      </c>
      <c r="N214" s="350">
        <v>277292981.83976758</v>
      </c>
      <c r="O214" s="348">
        <v>1036050163.6757745</v>
      </c>
      <c r="P214" s="369"/>
      <c r="Q214" s="350">
        <f t="shared" si="117"/>
        <v>32552296.804630771</v>
      </c>
      <c r="R214" s="350">
        <f t="shared" si="118"/>
        <v>65736024.522713125</v>
      </c>
      <c r="S214" s="350">
        <f t="shared" si="119"/>
        <v>99421696.857184738</v>
      </c>
      <c r="T214" s="350">
        <f t="shared" si="120"/>
        <v>133622938.12525821</v>
      </c>
      <c r="U214" s="350">
        <f t="shared" si="121"/>
        <v>168345569.30623555</v>
      </c>
      <c r="V214" s="350">
        <f t="shared" si="122"/>
        <v>499678525.61602247</v>
      </c>
      <c r="W214" s="365"/>
      <c r="X214" s="377">
        <f t="shared" si="100"/>
        <v>0</v>
      </c>
      <c r="Y214" s="377">
        <f t="shared" si="101"/>
        <v>0</v>
      </c>
      <c r="Z214" s="377">
        <f t="shared" si="102"/>
        <v>0</v>
      </c>
      <c r="AA214" s="377">
        <f t="shared" si="103"/>
        <v>0</v>
      </c>
      <c r="AB214" s="377">
        <f t="shared" si="104"/>
        <v>0</v>
      </c>
      <c r="AC214" s="377">
        <f t="shared" si="105"/>
        <v>0</v>
      </c>
      <c r="AD214" s="376"/>
      <c r="AE214" s="332">
        <v>199</v>
      </c>
      <c r="AF214" s="350">
        <v>139369491.25909561</v>
      </c>
      <c r="AG214" s="350">
        <v>140512599.89230385</v>
      </c>
      <c r="AH214" s="350">
        <v>141607810.60438734</v>
      </c>
      <c r="AI214" s="350">
        <v>142705623.83798122</v>
      </c>
      <c r="AJ214" s="350">
        <v>143809449.73524085</v>
      </c>
      <c r="AK214" s="348">
        <v>708004975.32900894</v>
      </c>
      <c r="AL214" s="369"/>
      <c r="AM214" s="350">
        <v>172155250.98206487</v>
      </c>
      <c r="AN214" s="350">
        <v>206747716.6808053</v>
      </c>
      <c r="AO214" s="350">
        <v>241798259.82899663</v>
      </c>
      <c r="AP214" s="350">
        <v>277371104.43488181</v>
      </c>
      <c r="AQ214" s="350">
        <v>313475527.58629423</v>
      </c>
      <c r="AR214" s="348">
        <v>1211547859.5130429</v>
      </c>
      <c r="AS214" s="369"/>
      <c r="AT214" s="350">
        <f t="shared" si="123"/>
        <v>32785759.722969264</v>
      </c>
      <c r="AU214" s="350">
        <f t="shared" si="106"/>
        <v>66235116.788501441</v>
      </c>
      <c r="AV214" s="350">
        <f t="shared" si="107"/>
        <v>100190449.22460929</v>
      </c>
      <c r="AW214" s="350">
        <f t="shared" si="108"/>
        <v>134665480.59690058</v>
      </c>
      <c r="AX214" s="350">
        <f t="shared" si="109"/>
        <v>169666077.85105339</v>
      </c>
      <c r="AY214" s="350">
        <f t="shared" si="110"/>
        <v>503542884.18403399</v>
      </c>
      <c r="AZ214" s="365"/>
      <c r="BA214" s="377">
        <f t="shared" si="111"/>
        <v>0</v>
      </c>
      <c r="BB214" s="377">
        <f t="shared" si="112"/>
        <v>0</v>
      </c>
      <c r="BC214" s="377">
        <f t="shared" si="113"/>
        <v>0</v>
      </c>
      <c r="BD214" s="377">
        <f t="shared" si="114"/>
        <v>0</v>
      </c>
      <c r="BE214" s="377">
        <f t="shared" si="115"/>
        <v>0</v>
      </c>
      <c r="BF214" s="377">
        <f t="shared" si="116"/>
        <v>0</v>
      </c>
      <c r="BG214" s="328"/>
    </row>
    <row r="215" spans="2:59">
      <c r="B215" s="332">
        <v>200</v>
      </c>
      <c r="C215" s="350">
        <v>151054399.16259006</v>
      </c>
      <c r="D215" s="350">
        <v>152293347.415948</v>
      </c>
      <c r="E215" s="350">
        <v>153480381.92813292</v>
      </c>
      <c r="F215" s="350">
        <v>154670237.16040173</v>
      </c>
      <c r="G215" s="350">
        <v>155866609.16538149</v>
      </c>
      <c r="H215" s="348">
        <v>767364974.8324542</v>
      </c>
      <c r="I215" s="369"/>
      <c r="J215" s="350">
        <v>188259503.03789699</v>
      </c>
      <c r="K215" s="350">
        <v>227419231.30526447</v>
      </c>
      <c r="L215" s="350">
        <v>267100641.40004712</v>
      </c>
      <c r="M215" s="350">
        <v>307374039.13548434</v>
      </c>
      <c r="N215" s="350">
        <v>348249772.63829869</v>
      </c>
      <c r="O215" s="348">
        <v>1338403187.5169916</v>
      </c>
      <c r="P215" s="369"/>
      <c r="Q215" s="350">
        <f t="shared" si="117"/>
        <v>37205103.875306934</v>
      </c>
      <c r="R215" s="350">
        <f t="shared" si="118"/>
        <v>75125883.889316469</v>
      </c>
      <c r="S215" s="350">
        <f t="shared" si="119"/>
        <v>113620259.4719142</v>
      </c>
      <c r="T215" s="350">
        <f t="shared" si="120"/>
        <v>152703801.97508261</v>
      </c>
      <c r="U215" s="350">
        <f t="shared" si="121"/>
        <v>192383163.4729172</v>
      </c>
      <c r="V215" s="350">
        <f t="shared" si="122"/>
        <v>571038212.68453741</v>
      </c>
      <c r="W215" s="365"/>
      <c r="X215" s="377">
        <f t="shared" si="100"/>
        <v>0</v>
      </c>
      <c r="Y215" s="377">
        <f t="shared" si="101"/>
        <v>0</v>
      </c>
      <c r="Z215" s="377">
        <f t="shared" si="102"/>
        <v>0</v>
      </c>
      <c r="AA215" s="377">
        <f t="shared" si="103"/>
        <v>0</v>
      </c>
      <c r="AB215" s="377">
        <f t="shared" si="104"/>
        <v>0</v>
      </c>
      <c r="AC215" s="377">
        <f t="shared" si="105"/>
        <v>0</v>
      </c>
      <c r="AD215" s="376"/>
      <c r="AE215" s="332">
        <v>200</v>
      </c>
      <c r="AF215" s="350">
        <v>155351085.94759646</v>
      </c>
      <c r="AG215" s="350">
        <v>156625275.62799671</v>
      </c>
      <c r="AH215" s="350">
        <v>157846074.89996436</v>
      </c>
      <c r="AI215" s="350">
        <v>159069775.12636048</v>
      </c>
      <c r="AJ215" s="350">
        <v>160300177.49266863</v>
      </c>
      <c r="AK215" s="348">
        <v>789192389.09458661</v>
      </c>
      <c r="AL215" s="369"/>
      <c r="AM215" s="350">
        <v>188194958.59685704</v>
      </c>
      <c r="AN215" s="350">
        <v>222991556.59085384</v>
      </c>
      <c r="AO215" s="350">
        <v>258241850.92528296</v>
      </c>
      <c r="AP215" s="350">
        <v>294015881.61839217</v>
      </c>
      <c r="AQ215" s="350">
        <v>330323329.30120838</v>
      </c>
      <c r="AR215" s="348">
        <v>1293767577.0325942</v>
      </c>
      <c r="AS215" s="369"/>
      <c r="AT215" s="350">
        <f t="shared" si="123"/>
        <v>32843872.649260581</v>
      </c>
      <c r="AU215" s="350">
        <f t="shared" si="106"/>
        <v>66366280.962857127</v>
      </c>
      <c r="AV215" s="350">
        <f t="shared" si="107"/>
        <v>100395776.02531859</v>
      </c>
      <c r="AW215" s="350">
        <f t="shared" si="108"/>
        <v>134946106.49203169</v>
      </c>
      <c r="AX215" s="350">
        <f t="shared" si="109"/>
        <v>170023151.80853975</v>
      </c>
      <c r="AY215" s="350">
        <f t="shared" si="110"/>
        <v>504575187.93800759</v>
      </c>
      <c r="AZ215" s="365"/>
      <c r="BA215" s="377">
        <f t="shared" si="111"/>
        <v>0</v>
      </c>
      <c r="BB215" s="377">
        <f t="shared" si="112"/>
        <v>0</v>
      </c>
      <c r="BC215" s="377">
        <f t="shared" si="113"/>
        <v>0</v>
      </c>
      <c r="BD215" s="377">
        <f t="shared" si="114"/>
        <v>0</v>
      </c>
      <c r="BE215" s="377">
        <f t="shared" si="115"/>
        <v>0</v>
      </c>
      <c r="BF215" s="377">
        <f t="shared" si="116"/>
        <v>0</v>
      </c>
      <c r="BG215" s="328"/>
    </row>
    <row r="216" spans="2:59">
      <c r="B216" s="332">
        <v>201</v>
      </c>
      <c r="C216" s="350">
        <v>127137596.70811324</v>
      </c>
      <c r="D216" s="350">
        <v>128180379.33643043</v>
      </c>
      <c r="E216" s="350">
        <v>129179467.84974366</v>
      </c>
      <c r="F216" s="350">
        <v>130180930.47181799</v>
      </c>
      <c r="G216" s="350">
        <v>131187878.05047321</v>
      </c>
      <c r="H216" s="348">
        <v>645866252.41657853</v>
      </c>
      <c r="I216" s="369"/>
      <c r="J216" s="350">
        <v>159131714.53411084</v>
      </c>
      <c r="K216" s="350">
        <v>192801301.56332481</v>
      </c>
      <c r="L216" s="350">
        <v>226920720.53419751</v>
      </c>
      <c r="M216" s="350">
        <v>261549431.04093799</v>
      </c>
      <c r="N216" s="350">
        <v>296696266.94184613</v>
      </c>
      <c r="O216" s="348">
        <v>1137099434.6144173</v>
      </c>
      <c r="P216" s="369"/>
      <c r="Q216" s="350">
        <f t="shared" si="117"/>
        <v>31994117.825997606</v>
      </c>
      <c r="R216" s="350">
        <f t="shared" si="118"/>
        <v>64620922.226894379</v>
      </c>
      <c r="S216" s="350">
        <f t="shared" si="119"/>
        <v>97741252.684453845</v>
      </c>
      <c r="T216" s="350">
        <f t="shared" si="120"/>
        <v>131368500.56912</v>
      </c>
      <c r="U216" s="350">
        <f t="shared" si="121"/>
        <v>165508388.89137292</v>
      </c>
      <c r="V216" s="350">
        <f t="shared" si="122"/>
        <v>491233182.19783878</v>
      </c>
      <c r="W216" s="365"/>
      <c r="X216" s="377">
        <f t="shared" si="100"/>
        <v>0</v>
      </c>
      <c r="Y216" s="377">
        <f t="shared" si="101"/>
        <v>0</v>
      </c>
      <c r="Z216" s="377">
        <f t="shared" si="102"/>
        <v>0</v>
      </c>
      <c r="AA216" s="377">
        <f t="shared" si="103"/>
        <v>0</v>
      </c>
      <c r="AB216" s="377">
        <f t="shared" si="104"/>
        <v>0</v>
      </c>
      <c r="AC216" s="377">
        <f t="shared" si="105"/>
        <v>0</v>
      </c>
      <c r="AD216" s="376"/>
      <c r="AE216" s="332">
        <v>201</v>
      </c>
      <c r="AF216" s="350">
        <v>118222612.50378056</v>
      </c>
      <c r="AG216" s="350">
        <v>119192274.42743838</v>
      </c>
      <c r="AH216" s="350">
        <v>120121306.10040274</v>
      </c>
      <c r="AI216" s="350">
        <v>121052545.40783066</v>
      </c>
      <c r="AJ216" s="350">
        <v>121988885.06254572</v>
      </c>
      <c r="AK216" s="348">
        <v>600577623.50199807</v>
      </c>
      <c r="AL216" s="369"/>
      <c r="AM216" s="350">
        <v>143854527.88226473</v>
      </c>
      <c r="AN216" s="350">
        <v>170973157.92477942</v>
      </c>
      <c r="AO216" s="350">
        <v>198446702.14477405</v>
      </c>
      <c r="AP216" s="350">
        <v>226328727.4174071</v>
      </c>
      <c r="AQ216" s="350">
        <v>254626712.96834856</v>
      </c>
      <c r="AR216" s="348">
        <v>994229828.33757377</v>
      </c>
      <c r="AS216" s="369"/>
      <c r="AT216" s="350">
        <f t="shared" si="123"/>
        <v>25631915.378484175</v>
      </c>
      <c r="AU216" s="350">
        <f t="shared" si="106"/>
        <v>51780883.497341037</v>
      </c>
      <c r="AV216" s="350">
        <f t="shared" si="107"/>
        <v>78325396.044371307</v>
      </c>
      <c r="AW216" s="350">
        <f t="shared" si="108"/>
        <v>105276182.00957644</v>
      </c>
      <c r="AX216" s="350">
        <f t="shared" si="109"/>
        <v>132637827.90580285</v>
      </c>
      <c r="AY216" s="350">
        <f t="shared" si="110"/>
        <v>393652204.8355757</v>
      </c>
      <c r="AZ216" s="365"/>
      <c r="BA216" s="377">
        <f t="shared" si="111"/>
        <v>0</v>
      </c>
      <c r="BB216" s="377">
        <f t="shared" si="112"/>
        <v>0</v>
      </c>
      <c r="BC216" s="377">
        <f t="shared" si="113"/>
        <v>0</v>
      </c>
      <c r="BD216" s="377">
        <f t="shared" si="114"/>
        <v>0</v>
      </c>
      <c r="BE216" s="377">
        <f t="shared" si="115"/>
        <v>0</v>
      </c>
      <c r="BF216" s="377">
        <f t="shared" si="116"/>
        <v>0</v>
      </c>
      <c r="BG216" s="328"/>
    </row>
    <row r="217" spans="2:59">
      <c r="B217" s="332">
        <v>202</v>
      </c>
      <c r="C217" s="350">
        <v>128472500.31861103</v>
      </c>
      <c r="D217" s="350">
        <v>129526231.82697275</v>
      </c>
      <c r="E217" s="350">
        <v>130535810.44626696</v>
      </c>
      <c r="F217" s="350">
        <v>131547788.10169566</v>
      </c>
      <c r="G217" s="350">
        <v>132565308.30397393</v>
      </c>
      <c r="H217" s="348">
        <v>652647638.99752033</v>
      </c>
      <c r="I217" s="369"/>
      <c r="J217" s="350">
        <v>165152320.13217083</v>
      </c>
      <c r="K217" s="350">
        <v>203598921.55709794</v>
      </c>
      <c r="L217" s="350">
        <v>242566983.87170473</v>
      </c>
      <c r="M217" s="350">
        <v>282118410.92298269</v>
      </c>
      <c r="N217" s="350">
        <v>322262905.5192591</v>
      </c>
      <c r="O217" s="348">
        <v>1215699542.0032153</v>
      </c>
      <c r="P217" s="369"/>
      <c r="Q217" s="350">
        <f t="shared" si="117"/>
        <v>36679819.8135598</v>
      </c>
      <c r="R217" s="350">
        <f t="shared" si="118"/>
        <v>74072689.730125189</v>
      </c>
      <c r="S217" s="350">
        <f t="shared" si="119"/>
        <v>112031173.42543776</v>
      </c>
      <c r="T217" s="350">
        <f t="shared" si="120"/>
        <v>150570622.82128704</v>
      </c>
      <c r="U217" s="350">
        <f t="shared" si="121"/>
        <v>189697597.21528518</v>
      </c>
      <c r="V217" s="350">
        <f t="shared" si="122"/>
        <v>563051903.00569499</v>
      </c>
      <c r="W217" s="365"/>
      <c r="X217" s="377">
        <f t="shared" si="100"/>
        <v>0</v>
      </c>
      <c r="Y217" s="377">
        <f t="shared" si="101"/>
        <v>0</v>
      </c>
      <c r="Z217" s="377">
        <f t="shared" si="102"/>
        <v>0</v>
      </c>
      <c r="AA217" s="377">
        <f t="shared" si="103"/>
        <v>0</v>
      </c>
      <c r="AB217" s="377">
        <f t="shared" si="104"/>
        <v>0</v>
      </c>
      <c r="AC217" s="377">
        <f t="shared" si="105"/>
        <v>0</v>
      </c>
      <c r="AD217" s="376"/>
      <c r="AE217" s="332">
        <v>202</v>
      </c>
      <c r="AF217" s="350">
        <v>110406479.44392617</v>
      </c>
      <c r="AG217" s="350">
        <v>111312033.44053119</v>
      </c>
      <c r="AH217" s="350">
        <v>112179643.40220934</v>
      </c>
      <c r="AI217" s="350">
        <v>113049315.04349227</v>
      </c>
      <c r="AJ217" s="350">
        <v>113923749.82928696</v>
      </c>
      <c r="AK217" s="348">
        <v>560871221.15944588</v>
      </c>
      <c r="AL217" s="369"/>
      <c r="AM217" s="350">
        <v>141588097.26112121</v>
      </c>
      <c r="AN217" s="350">
        <v>174268394.35087544</v>
      </c>
      <c r="AO217" s="350">
        <v>207391373.97974035</v>
      </c>
      <c r="AP217" s="350">
        <v>241010091.84946713</v>
      </c>
      <c r="AQ217" s="350">
        <v>275132823.51173413</v>
      </c>
      <c r="AR217" s="348">
        <v>1039390780.9529383</v>
      </c>
      <c r="AS217" s="369"/>
      <c r="AT217" s="350">
        <f t="shared" si="123"/>
        <v>31181617.817195043</v>
      </c>
      <c r="AU217" s="350">
        <f t="shared" si="106"/>
        <v>62956360.910344243</v>
      </c>
      <c r="AV217" s="350">
        <f t="shared" si="107"/>
        <v>95211730.57753101</v>
      </c>
      <c r="AW217" s="350">
        <f t="shared" si="108"/>
        <v>127960776.80597486</v>
      </c>
      <c r="AX217" s="350">
        <f t="shared" si="109"/>
        <v>161209073.68244717</v>
      </c>
      <c r="AY217" s="350">
        <f t="shared" si="110"/>
        <v>478519559.79349244</v>
      </c>
      <c r="AZ217" s="365"/>
      <c r="BA217" s="377">
        <f t="shared" si="111"/>
        <v>0</v>
      </c>
      <c r="BB217" s="377">
        <f t="shared" si="112"/>
        <v>0</v>
      </c>
      <c r="BC217" s="377">
        <f t="shared" si="113"/>
        <v>0</v>
      </c>
      <c r="BD217" s="377">
        <f t="shared" si="114"/>
        <v>0</v>
      </c>
      <c r="BE217" s="377">
        <f t="shared" si="115"/>
        <v>0</v>
      </c>
      <c r="BF217" s="377">
        <f t="shared" si="116"/>
        <v>0</v>
      </c>
      <c r="BG217" s="328"/>
    </row>
    <row r="218" spans="2:59">
      <c r="B218" s="332">
        <v>203</v>
      </c>
      <c r="C218" s="350">
        <v>142328789.81801423</v>
      </c>
      <c r="D218" s="350">
        <v>143496170.61940199</v>
      </c>
      <c r="E218" s="350">
        <v>144614636.46037129</v>
      </c>
      <c r="F218" s="350">
        <v>145735760.08342555</v>
      </c>
      <c r="G218" s="350">
        <v>146863024.03988698</v>
      </c>
      <c r="H218" s="348">
        <v>723038381.02109993</v>
      </c>
      <c r="I218" s="369"/>
      <c r="J218" s="350">
        <v>178519697.08176935</v>
      </c>
      <c r="K218" s="350">
        <v>216618274.50493544</v>
      </c>
      <c r="L218" s="350">
        <v>255226584.35775888</v>
      </c>
      <c r="M218" s="350">
        <v>294411348.71739584</v>
      </c>
      <c r="N218" s="350">
        <v>334182527.61123502</v>
      </c>
      <c r="O218" s="348">
        <v>1278958432.2730947</v>
      </c>
      <c r="P218" s="369"/>
      <c r="Q218" s="350">
        <f t="shared" si="117"/>
        <v>36190907.263755113</v>
      </c>
      <c r="R218" s="350">
        <f t="shared" si="118"/>
        <v>73122103.885533452</v>
      </c>
      <c r="S218" s="350">
        <f t="shared" si="119"/>
        <v>110611947.89738759</v>
      </c>
      <c r="T218" s="350">
        <f t="shared" si="120"/>
        <v>148675588.63397029</v>
      </c>
      <c r="U218" s="350">
        <f t="shared" si="121"/>
        <v>187319503.57134804</v>
      </c>
      <c r="V218" s="350">
        <f t="shared" si="122"/>
        <v>555920051.25199473</v>
      </c>
      <c r="W218" s="365"/>
      <c r="X218" s="377">
        <f t="shared" si="100"/>
        <v>0</v>
      </c>
      <c r="Y218" s="377">
        <f t="shared" si="101"/>
        <v>0</v>
      </c>
      <c r="Z218" s="377">
        <f t="shared" si="102"/>
        <v>0</v>
      </c>
      <c r="AA218" s="377">
        <f t="shared" si="103"/>
        <v>0</v>
      </c>
      <c r="AB218" s="377">
        <f t="shared" si="104"/>
        <v>0</v>
      </c>
      <c r="AC218" s="377">
        <f t="shared" si="105"/>
        <v>0</v>
      </c>
      <c r="AD218" s="376"/>
      <c r="AE218" s="332">
        <v>203</v>
      </c>
      <c r="AF218" s="350">
        <v>129684995.56551608</v>
      </c>
      <c r="AG218" s="350">
        <v>130748671.96046627</v>
      </c>
      <c r="AH218" s="350">
        <v>131767778.76107731</v>
      </c>
      <c r="AI218" s="350">
        <v>132789307.23939921</v>
      </c>
      <c r="AJ218" s="350">
        <v>133816430.57391065</v>
      </c>
      <c r="AK218" s="348">
        <v>658807184.10036945</v>
      </c>
      <c r="AL218" s="369"/>
      <c r="AM218" s="350">
        <v>160283009.57063887</v>
      </c>
      <c r="AN218" s="350">
        <v>192555412.4960992</v>
      </c>
      <c r="AO218" s="350">
        <v>225255324.07753718</v>
      </c>
      <c r="AP218" s="350">
        <v>258442542.92110458</v>
      </c>
      <c r="AQ218" s="350">
        <v>292125716.34494489</v>
      </c>
      <c r="AR218" s="348">
        <v>1128662005.4103246</v>
      </c>
      <c r="AS218" s="369"/>
      <c r="AT218" s="350">
        <f t="shared" si="123"/>
        <v>30598014.005122781</v>
      </c>
      <c r="AU218" s="350">
        <f t="shared" si="106"/>
        <v>61806740.535632938</v>
      </c>
      <c r="AV218" s="350">
        <f t="shared" si="107"/>
        <v>93487545.316459864</v>
      </c>
      <c r="AW218" s="350">
        <f t="shared" si="108"/>
        <v>125653235.68170537</v>
      </c>
      <c r="AX218" s="350">
        <f t="shared" si="109"/>
        <v>158309285.77103424</v>
      </c>
      <c r="AY218" s="350">
        <f t="shared" si="110"/>
        <v>469854821.30995512</v>
      </c>
      <c r="AZ218" s="365"/>
      <c r="BA218" s="377">
        <f t="shared" si="111"/>
        <v>0</v>
      </c>
      <c r="BB218" s="377">
        <f t="shared" si="112"/>
        <v>0</v>
      </c>
      <c r="BC218" s="377">
        <f t="shared" si="113"/>
        <v>0</v>
      </c>
      <c r="BD218" s="377">
        <f t="shared" si="114"/>
        <v>0</v>
      </c>
      <c r="BE218" s="377">
        <f t="shared" si="115"/>
        <v>0</v>
      </c>
      <c r="BF218" s="377">
        <f t="shared" si="116"/>
        <v>0</v>
      </c>
      <c r="BG218" s="328"/>
    </row>
    <row r="219" spans="2:59">
      <c r="B219" s="332">
        <v>204</v>
      </c>
      <c r="C219" s="350">
        <v>109350467.47209144</v>
      </c>
      <c r="D219" s="350">
        <v>110247360.05800414</v>
      </c>
      <c r="E219" s="350">
        <v>111106671.53474712</v>
      </c>
      <c r="F219" s="350">
        <v>111968024.97161499</v>
      </c>
      <c r="G219" s="350">
        <v>112834095.99463922</v>
      </c>
      <c r="H219" s="348">
        <v>555506620.03109694</v>
      </c>
      <c r="I219" s="369"/>
      <c r="J219" s="350">
        <v>136573842.48595965</v>
      </c>
      <c r="K219" s="350">
        <v>165251708.54423654</v>
      </c>
      <c r="L219" s="350">
        <v>194312228.48137498</v>
      </c>
      <c r="M219" s="350">
        <v>223806420.97788408</v>
      </c>
      <c r="N219" s="350">
        <v>253741834.23324493</v>
      </c>
      <c r="O219" s="348">
        <v>973686034.72270012</v>
      </c>
      <c r="P219" s="369"/>
      <c r="Q219" s="350">
        <f t="shared" si="117"/>
        <v>27223375.013868213</v>
      </c>
      <c r="R219" s="350">
        <f t="shared" si="118"/>
        <v>55004348.4862324</v>
      </c>
      <c r="S219" s="350">
        <f t="shared" si="119"/>
        <v>83205556.946627855</v>
      </c>
      <c r="T219" s="350">
        <f t="shared" si="120"/>
        <v>111838396.0062691</v>
      </c>
      <c r="U219" s="350">
        <f t="shared" si="121"/>
        <v>140907738.23860571</v>
      </c>
      <c r="V219" s="350">
        <f t="shared" si="122"/>
        <v>418179414.69160318</v>
      </c>
      <c r="W219" s="365"/>
      <c r="X219" s="377">
        <f t="shared" si="100"/>
        <v>0</v>
      </c>
      <c r="Y219" s="377">
        <f t="shared" si="101"/>
        <v>0</v>
      </c>
      <c r="Z219" s="377">
        <f t="shared" si="102"/>
        <v>0</v>
      </c>
      <c r="AA219" s="377">
        <f t="shared" si="103"/>
        <v>0</v>
      </c>
      <c r="AB219" s="377">
        <f t="shared" si="104"/>
        <v>0</v>
      </c>
      <c r="AC219" s="377">
        <f t="shared" si="105"/>
        <v>0</v>
      </c>
      <c r="AD219" s="376"/>
      <c r="AE219" s="332">
        <v>204</v>
      </c>
      <c r="AF219" s="350">
        <v>100405753.70978816</v>
      </c>
      <c r="AG219" s="350">
        <v>101229281.74919291</v>
      </c>
      <c r="AH219" s="350">
        <v>102018302.76106802</v>
      </c>
      <c r="AI219" s="350">
        <v>102809198.70361449</v>
      </c>
      <c r="AJ219" s="350">
        <v>103604426.34043413</v>
      </c>
      <c r="AK219" s="348">
        <v>510066963.26409769</v>
      </c>
      <c r="AL219" s="369"/>
      <c r="AM219" s="350">
        <v>127338217.32255834</v>
      </c>
      <c r="AN219" s="350">
        <v>155620525.32476401</v>
      </c>
      <c r="AO219" s="350">
        <v>184283675.8554092</v>
      </c>
      <c r="AP219" s="350">
        <v>213375323.30229613</v>
      </c>
      <c r="AQ219" s="350">
        <v>242902741.06828332</v>
      </c>
      <c r="AR219" s="348">
        <v>923520482.87331104</v>
      </c>
      <c r="AS219" s="369"/>
      <c r="AT219" s="350">
        <f t="shared" si="123"/>
        <v>26932463.612770185</v>
      </c>
      <c r="AU219" s="350">
        <f t="shared" si="106"/>
        <v>54391243.575571105</v>
      </c>
      <c r="AV219" s="350">
        <f t="shared" si="107"/>
        <v>82265373.094341189</v>
      </c>
      <c r="AW219" s="350">
        <f t="shared" si="108"/>
        <v>110566124.59868164</v>
      </c>
      <c r="AX219" s="350">
        <f t="shared" si="109"/>
        <v>139298314.72784919</v>
      </c>
      <c r="AY219" s="350">
        <f t="shared" si="110"/>
        <v>413453519.60921335</v>
      </c>
      <c r="AZ219" s="365"/>
      <c r="BA219" s="377">
        <f t="shared" si="111"/>
        <v>0</v>
      </c>
      <c r="BB219" s="377">
        <f t="shared" si="112"/>
        <v>0</v>
      </c>
      <c r="BC219" s="377">
        <f t="shared" si="113"/>
        <v>0</v>
      </c>
      <c r="BD219" s="377">
        <f t="shared" si="114"/>
        <v>0</v>
      </c>
      <c r="BE219" s="377">
        <f t="shared" si="115"/>
        <v>0</v>
      </c>
      <c r="BF219" s="377">
        <f t="shared" si="116"/>
        <v>0</v>
      </c>
      <c r="BG219" s="328"/>
    </row>
    <row r="220" spans="2:59">
      <c r="B220" s="332">
        <v>205</v>
      </c>
      <c r="C220" s="350">
        <v>119990689.4959709</v>
      </c>
      <c r="D220" s="350">
        <v>120974853.18795472</v>
      </c>
      <c r="E220" s="350">
        <v>121917778.98397386</v>
      </c>
      <c r="F220" s="350">
        <v>122862945.43070972</v>
      </c>
      <c r="G220" s="350">
        <v>123813288.50292096</v>
      </c>
      <c r="H220" s="348">
        <v>609559555.60153019</v>
      </c>
      <c r="I220" s="369"/>
      <c r="J220" s="350">
        <v>149611324.23661298</v>
      </c>
      <c r="K220" s="350">
        <v>180813479.22993284</v>
      </c>
      <c r="L220" s="350">
        <v>212431491.08267826</v>
      </c>
      <c r="M220" s="350">
        <v>244521236.91826281</v>
      </c>
      <c r="N220" s="350">
        <v>277090952.93202794</v>
      </c>
      <c r="O220" s="348">
        <v>1064468484.3995149</v>
      </c>
      <c r="P220" s="369"/>
      <c r="Q220" s="350">
        <f t="shared" si="117"/>
        <v>29620634.740642071</v>
      </c>
      <c r="R220" s="350">
        <f t="shared" si="118"/>
        <v>59838626.041978121</v>
      </c>
      <c r="S220" s="350">
        <f t="shared" si="119"/>
        <v>90513712.098704398</v>
      </c>
      <c r="T220" s="350">
        <f t="shared" si="120"/>
        <v>121658291.48755309</v>
      </c>
      <c r="U220" s="350">
        <f t="shared" si="121"/>
        <v>153277664.42910698</v>
      </c>
      <c r="V220" s="350">
        <f t="shared" si="122"/>
        <v>454908928.79798472</v>
      </c>
      <c r="W220" s="365"/>
      <c r="X220" s="377">
        <f t="shared" si="100"/>
        <v>0</v>
      </c>
      <c r="Y220" s="377">
        <f t="shared" si="101"/>
        <v>0</v>
      </c>
      <c r="Z220" s="377">
        <f t="shared" si="102"/>
        <v>0</v>
      </c>
      <c r="AA220" s="377">
        <f t="shared" si="103"/>
        <v>0</v>
      </c>
      <c r="AB220" s="377">
        <f t="shared" si="104"/>
        <v>0</v>
      </c>
      <c r="AC220" s="377">
        <f t="shared" si="105"/>
        <v>0</v>
      </c>
      <c r="AD220" s="376"/>
      <c r="AE220" s="332">
        <v>205</v>
      </c>
      <c r="AF220" s="350">
        <v>138804170.6886076</v>
      </c>
      <c r="AG220" s="350">
        <v>139942642.56222937</v>
      </c>
      <c r="AH220" s="350">
        <v>141033410.80172455</v>
      </c>
      <c r="AI220" s="350">
        <v>142126771.00619498</v>
      </c>
      <c r="AJ220" s="350">
        <v>143226119.48533159</v>
      </c>
      <c r="AK220" s="348">
        <v>705133114.54408813</v>
      </c>
      <c r="AL220" s="369"/>
      <c r="AM220" s="350">
        <v>171660849.51904467</v>
      </c>
      <c r="AN220" s="350">
        <v>206309320.82480747</v>
      </c>
      <c r="AO220" s="350">
        <v>241416975.76729703</v>
      </c>
      <c r="AP220" s="350">
        <v>277047862.54597867</v>
      </c>
      <c r="AQ220" s="350">
        <v>313211255.31928295</v>
      </c>
      <c r="AR220" s="348">
        <v>1209646263.9764109</v>
      </c>
      <c r="AS220" s="369"/>
      <c r="AT220" s="350">
        <f t="shared" si="123"/>
        <v>32856678.830437064</v>
      </c>
      <c r="AU220" s="350">
        <f t="shared" si="106"/>
        <v>66366678.2625781</v>
      </c>
      <c r="AV220" s="350">
        <f t="shared" si="107"/>
        <v>100383564.96557248</v>
      </c>
      <c r="AW220" s="350">
        <f t="shared" si="108"/>
        <v>134921091.53978369</v>
      </c>
      <c r="AX220" s="350">
        <f t="shared" si="109"/>
        <v>169985135.83395135</v>
      </c>
      <c r="AY220" s="350">
        <f t="shared" si="110"/>
        <v>504513149.43232274</v>
      </c>
      <c r="AZ220" s="365"/>
      <c r="BA220" s="377">
        <f t="shared" si="111"/>
        <v>0</v>
      </c>
      <c r="BB220" s="377">
        <f t="shared" si="112"/>
        <v>0</v>
      </c>
      <c r="BC220" s="377">
        <f t="shared" si="113"/>
        <v>0</v>
      </c>
      <c r="BD220" s="377">
        <f t="shared" si="114"/>
        <v>0</v>
      </c>
      <c r="BE220" s="377">
        <f t="shared" si="115"/>
        <v>0</v>
      </c>
      <c r="BF220" s="377">
        <f t="shared" si="116"/>
        <v>0</v>
      </c>
      <c r="BG220" s="328"/>
    </row>
    <row r="221" spans="2:59">
      <c r="B221" s="332">
        <v>206</v>
      </c>
      <c r="C221" s="350">
        <v>124334422.92387804</v>
      </c>
      <c r="D221" s="350">
        <v>125354213.91949148</v>
      </c>
      <c r="E221" s="350">
        <v>126331274.18308815</v>
      </c>
      <c r="F221" s="350">
        <v>127310656.21027333</v>
      </c>
      <c r="G221" s="350">
        <v>128295402.25981629</v>
      </c>
      <c r="H221" s="348">
        <v>631625969.49654722</v>
      </c>
      <c r="I221" s="369"/>
      <c r="J221" s="350">
        <v>154758939.22704953</v>
      </c>
      <c r="K221" s="350">
        <v>186784734.80803519</v>
      </c>
      <c r="L221" s="350">
        <v>219236799.52772191</v>
      </c>
      <c r="M221" s="350">
        <v>252172919.16389111</v>
      </c>
      <c r="N221" s="350">
        <v>285601575.14309174</v>
      </c>
      <c r="O221" s="348">
        <v>1098554967.8697894</v>
      </c>
      <c r="P221" s="369"/>
      <c r="Q221" s="350">
        <f t="shared" si="117"/>
        <v>30424516.303171486</v>
      </c>
      <c r="R221" s="350">
        <f t="shared" si="118"/>
        <v>61430520.88854371</v>
      </c>
      <c r="S221" s="350">
        <f t="shared" si="119"/>
        <v>92905525.344633758</v>
      </c>
      <c r="T221" s="350">
        <f t="shared" si="120"/>
        <v>124862262.95361778</v>
      </c>
      <c r="U221" s="350">
        <f t="shared" si="121"/>
        <v>157306172.88327545</v>
      </c>
      <c r="V221" s="350">
        <f t="shared" si="122"/>
        <v>466928998.37324214</v>
      </c>
      <c r="W221" s="365"/>
      <c r="X221" s="377">
        <f t="shared" si="100"/>
        <v>0</v>
      </c>
      <c r="Y221" s="377">
        <f t="shared" si="101"/>
        <v>0</v>
      </c>
      <c r="Z221" s="377">
        <f t="shared" si="102"/>
        <v>0</v>
      </c>
      <c r="AA221" s="377">
        <f t="shared" si="103"/>
        <v>0</v>
      </c>
      <c r="AB221" s="377">
        <f t="shared" si="104"/>
        <v>0</v>
      </c>
      <c r="AC221" s="377">
        <f t="shared" si="105"/>
        <v>0</v>
      </c>
      <c r="AD221" s="376"/>
      <c r="AE221" s="332">
        <v>206</v>
      </c>
      <c r="AF221" s="350">
        <v>151654353.99973178</v>
      </c>
      <c r="AG221" s="350">
        <v>152898223.08294767</v>
      </c>
      <c r="AH221" s="350">
        <v>154089972.23503309</v>
      </c>
      <c r="AI221" s="350">
        <v>155284553.31048191</v>
      </c>
      <c r="AJ221" s="350">
        <v>156485677.04182905</v>
      </c>
      <c r="AK221" s="348">
        <v>770412779.67002344</v>
      </c>
      <c r="AL221" s="369"/>
      <c r="AM221" s="350">
        <v>186350793.80750287</v>
      </c>
      <c r="AN221" s="350">
        <v>222984817.81895697</v>
      </c>
      <c r="AO221" s="350">
        <v>260102051.00768602</v>
      </c>
      <c r="AP221" s="350">
        <v>297771968.09685582</v>
      </c>
      <c r="AQ221" s="350">
        <v>336004487.37115335</v>
      </c>
      <c r="AR221" s="348">
        <v>1303214118.102155</v>
      </c>
      <c r="AS221" s="369"/>
      <c r="AT221" s="350">
        <f t="shared" si="123"/>
        <v>34696439.807771087</v>
      </c>
      <c r="AU221" s="350">
        <f t="shared" si="106"/>
        <v>70086594.7360093</v>
      </c>
      <c r="AV221" s="350">
        <f t="shared" si="107"/>
        <v>106012078.77265292</v>
      </c>
      <c r="AW221" s="350">
        <f t="shared" si="108"/>
        <v>142487414.78637391</v>
      </c>
      <c r="AX221" s="350">
        <f t="shared" si="109"/>
        <v>179518810.32932431</v>
      </c>
      <c r="AY221" s="350">
        <f t="shared" si="110"/>
        <v>532801338.43213153</v>
      </c>
      <c r="AZ221" s="365"/>
      <c r="BA221" s="377">
        <f t="shared" si="111"/>
        <v>0</v>
      </c>
      <c r="BB221" s="377">
        <f t="shared" si="112"/>
        <v>0</v>
      </c>
      <c r="BC221" s="377">
        <f t="shared" si="113"/>
        <v>0</v>
      </c>
      <c r="BD221" s="377">
        <f t="shared" si="114"/>
        <v>0</v>
      </c>
      <c r="BE221" s="377">
        <f t="shared" si="115"/>
        <v>0</v>
      </c>
      <c r="BF221" s="377">
        <f t="shared" si="116"/>
        <v>0</v>
      </c>
      <c r="BG221" s="328"/>
    </row>
    <row r="222" spans="2:59">
      <c r="B222" s="332">
        <v>207</v>
      </c>
      <c r="C222" s="350">
        <v>128684570.13637207</v>
      </c>
      <c r="D222" s="350">
        <v>129740041.04147935</v>
      </c>
      <c r="E222" s="350">
        <v>130751286.17425521</v>
      </c>
      <c r="F222" s="350">
        <v>131764934.30325949</v>
      </c>
      <c r="G222" s="350">
        <v>132784134.12820666</v>
      </c>
      <c r="H222" s="348">
        <v>653724965.78357279</v>
      </c>
      <c r="I222" s="369"/>
      <c r="J222" s="350">
        <v>160533084.64395589</v>
      </c>
      <c r="K222" s="350">
        <v>194086327.62679973</v>
      </c>
      <c r="L222" s="350">
        <v>228086928.09324461</v>
      </c>
      <c r="M222" s="350">
        <v>262594846.31972182</v>
      </c>
      <c r="N222" s="350">
        <v>297618930.94028306</v>
      </c>
      <c r="O222" s="348">
        <v>1142920117.6240053</v>
      </c>
      <c r="P222" s="369"/>
      <c r="Q222" s="350">
        <f t="shared" si="117"/>
        <v>31848514.507583812</v>
      </c>
      <c r="R222" s="350">
        <f t="shared" si="118"/>
        <v>64346286.585320383</v>
      </c>
      <c r="S222" s="350">
        <f t="shared" si="119"/>
        <v>97335641.918989405</v>
      </c>
      <c r="T222" s="350">
        <f t="shared" si="120"/>
        <v>130829912.01646233</v>
      </c>
      <c r="U222" s="350">
        <f t="shared" si="121"/>
        <v>164834796.81207639</v>
      </c>
      <c r="V222" s="350">
        <f t="shared" si="122"/>
        <v>489195151.84043252</v>
      </c>
      <c r="W222" s="365"/>
      <c r="X222" s="377">
        <f t="shared" si="100"/>
        <v>0</v>
      </c>
      <c r="Y222" s="377">
        <f t="shared" si="101"/>
        <v>0</v>
      </c>
      <c r="Z222" s="377">
        <f t="shared" si="102"/>
        <v>0</v>
      </c>
      <c r="AA222" s="377">
        <f t="shared" si="103"/>
        <v>0</v>
      </c>
      <c r="AB222" s="377">
        <f t="shared" si="104"/>
        <v>0</v>
      </c>
      <c r="AC222" s="377">
        <f t="shared" si="105"/>
        <v>0</v>
      </c>
      <c r="AD222" s="376"/>
      <c r="AE222" s="332">
        <v>207</v>
      </c>
      <c r="AF222" s="350">
        <v>143437744.62961322</v>
      </c>
      <c r="AG222" s="350">
        <v>144614221.07889014</v>
      </c>
      <c r="AH222" s="350">
        <v>145741401.44681874</v>
      </c>
      <c r="AI222" s="350">
        <v>146871260.30494225</v>
      </c>
      <c r="AJ222" s="350">
        <v>148007307.3388826</v>
      </c>
      <c r="AK222" s="348">
        <v>728671934.79914689</v>
      </c>
      <c r="AL222" s="369"/>
      <c r="AM222" s="350">
        <v>179157382.79423857</v>
      </c>
      <c r="AN222" s="350">
        <v>216762464.70556349</v>
      </c>
      <c r="AO222" s="350">
        <v>254869285.35743135</v>
      </c>
      <c r="AP222" s="350">
        <v>293544770.18035775</v>
      </c>
      <c r="AQ222" s="350">
        <v>332798818.67831469</v>
      </c>
      <c r="AR222" s="348">
        <v>1277132721.7159059</v>
      </c>
      <c r="AS222" s="369"/>
      <c r="AT222" s="350">
        <f t="shared" si="123"/>
        <v>35719638.164625347</v>
      </c>
      <c r="AU222" s="350">
        <f t="shared" si="106"/>
        <v>72148243.626673341</v>
      </c>
      <c r="AV222" s="350">
        <f t="shared" si="107"/>
        <v>109127883.91061261</v>
      </c>
      <c r="AW222" s="350">
        <f t="shared" si="108"/>
        <v>146673509.8754155</v>
      </c>
      <c r="AX222" s="350">
        <f t="shared" si="109"/>
        <v>184791511.33943209</v>
      </c>
      <c r="AY222" s="350">
        <f t="shared" si="110"/>
        <v>548460786.91675901</v>
      </c>
      <c r="AZ222" s="365"/>
      <c r="BA222" s="377">
        <f t="shared" si="111"/>
        <v>0</v>
      </c>
      <c r="BB222" s="377">
        <f t="shared" si="112"/>
        <v>0</v>
      </c>
      <c r="BC222" s="377">
        <f t="shared" si="113"/>
        <v>0</v>
      </c>
      <c r="BD222" s="377">
        <f t="shared" si="114"/>
        <v>0</v>
      </c>
      <c r="BE222" s="377">
        <f t="shared" si="115"/>
        <v>0</v>
      </c>
      <c r="BF222" s="377">
        <f t="shared" si="116"/>
        <v>0</v>
      </c>
      <c r="BG222" s="328"/>
    </row>
    <row r="223" spans="2:59">
      <c r="B223" s="332">
        <v>208</v>
      </c>
      <c r="C223" s="350">
        <v>133258072.28327644</v>
      </c>
      <c r="D223" s="350">
        <v>134351055.05515522</v>
      </c>
      <c r="E223" s="350">
        <v>135398240.25270259</v>
      </c>
      <c r="F223" s="350">
        <v>136447913.84994519</v>
      </c>
      <c r="G223" s="350">
        <v>137503336.4526704</v>
      </c>
      <c r="H223" s="348">
        <v>676958617.89374971</v>
      </c>
      <c r="I223" s="369"/>
      <c r="J223" s="350">
        <v>164882077.98713914</v>
      </c>
      <c r="K223" s="350">
        <v>198250167.81385651</v>
      </c>
      <c r="L223" s="350">
        <v>232060678.10764599</v>
      </c>
      <c r="M223" s="350">
        <v>266375132.72975492</v>
      </c>
      <c r="N223" s="350">
        <v>301202453.0199765</v>
      </c>
      <c r="O223" s="348">
        <v>1162770509.6583729</v>
      </c>
      <c r="P223" s="369"/>
      <c r="Q223" s="350">
        <f t="shared" si="117"/>
        <v>31624005.703862697</v>
      </c>
      <c r="R223" s="350">
        <f t="shared" si="118"/>
        <v>63899112.758701295</v>
      </c>
      <c r="S223" s="350">
        <f t="shared" si="119"/>
        <v>96662437.854943395</v>
      </c>
      <c r="T223" s="350">
        <f t="shared" si="120"/>
        <v>129927218.87980974</v>
      </c>
      <c r="U223" s="350">
        <f t="shared" si="121"/>
        <v>163699116.5673061</v>
      </c>
      <c r="V223" s="350">
        <f t="shared" si="122"/>
        <v>485811891.76462317</v>
      </c>
      <c r="W223" s="365"/>
      <c r="X223" s="377">
        <f t="shared" si="100"/>
        <v>0</v>
      </c>
      <c r="Y223" s="377">
        <f t="shared" si="101"/>
        <v>0</v>
      </c>
      <c r="Z223" s="377">
        <f t="shared" si="102"/>
        <v>0</v>
      </c>
      <c r="AA223" s="377">
        <f t="shared" si="103"/>
        <v>0</v>
      </c>
      <c r="AB223" s="377">
        <f t="shared" si="104"/>
        <v>0</v>
      </c>
      <c r="AC223" s="377">
        <f t="shared" si="105"/>
        <v>0</v>
      </c>
      <c r="AD223" s="376"/>
      <c r="AE223" s="332">
        <v>208</v>
      </c>
      <c r="AF223" s="350">
        <v>137391510.30155525</v>
      </c>
      <c r="AG223" s="350">
        <v>138518395.53401443</v>
      </c>
      <c r="AH223" s="350">
        <v>139598062.62953284</v>
      </c>
      <c r="AI223" s="350">
        <v>140680295.31065893</v>
      </c>
      <c r="AJ223" s="350">
        <v>141768455.32160798</v>
      </c>
      <c r="AK223" s="348">
        <v>697956719.09736943</v>
      </c>
      <c r="AL223" s="369"/>
      <c r="AM223" s="350">
        <v>173450887.97371268</v>
      </c>
      <c r="AN223" s="350">
        <v>211351747.81540182</v>
      </c>
      <c r="AO223" s="350">
        <v>249761648.03008962</v>
      </c>
      <c r="AP223" s="350">
        <v>288745465.33923978</v>
      </c>
      <c r="AQ223" s="350">
        <v>328313011.91080004</v>
      </c>
      <c r="AR223" s="348">
        <v>1251622761.0692439</v>
      </c>
      <c r="AS223" s="369"/>
      <c r="AT223" s="350">
        <f t="shared" si="123"/>
        <v>36059377.672157437</v>
      </c>
      <c r="AU223" s="350">
        <f t="shared" si="106"/>
        <v>72833352.281387389</v>
      </c>
      <c r="AV223" s="350">
        <f t="shared" si="107"/>
        <v>110163585.40055677</v>
      </c>
      <c r="AW223" s="350">
        <f t="shared" si="108"/>
        <v>148065170.02858084</v>
      </c>
      <c r="AX223" s="350">
        <f t="shared" si="109"/>
        <v>186544556.58919206</v>
      </c>
      <c r="AY223" s="350">
        <f t="shared" si="110"/>
        <v>553666041.97187448</v>
      </c>
      <c r="AZ223" s="365"/>
      <c r="BA223" s="377">
        <f t="shared" si="111"/>
        <v>0</v>
      </c>
      <c r="BB223" s="377">
        <f t="shared" si="112"/>
        <v>0</v>
      </c>
      <c r="BC223" s="377">
        <f t="shared" si="113"/>
        <v>0</v>
      </c>
      <c r="BD223" s="377">
        <f t="shared" si="114"/>
        <v>0</v>
      </c>
      <c r="BE223" s="377">
        <f t="shared" si="115"/>
        <v>0</v>
      </c>
      <c r="BF223" s="377">
        <f t="shared" si="116"/>
        <v>0</v>
      </c>
      <c r="BG223" s="328"/>
    </row>
    <row r="224" spans="2:59">
      <c r="B224" s="332">
        <v>209</v>
      </c>
      <c r="C224" s="350">
        <v>122749043.13655756</v>
      </c>
      <c r="D224" s="350">
        <v>123755830.84640574</v>
      </c>
      <c r="E224" s="350">
        <v>124720432.68090069</v>
      </c>
      <c r="F224" s="350">
        <v>125687326.67433426</v>
      </c>
      <c r="G224" s="350">
        <v>126659516.29384056</v>
      </c>
      <c r="H224" s="348">
        <v>623572149.63203883</v>
      </c>
      <c r="I224" s="369"/>
      <c r="J224" s="350">
        <v>153860361.22707522</v>
      </c>
      <c r="K224" s="350">
        <v>186582534.42255148</v>
      </c>
      <c r="L224" s="350">
        <v>219742256.15221435</v>
      </c>
      <c r="M224" s="350">
        <v>253397025.69835681</v>
      </c>
      <c r="N224" s="350">
        <v>287555409.92231107</v>
      </c>
      <c r="O224" s="348">
        <v>1101137587.422509</v>
      </c>
      <c r="P224" s="369"/>
      <c r="Q224" s="350">
        <f t="shared" si="117"/>
        <v>31111318.090517655</v>
      </c>
      <c r="R224" s="350">
        <f t="shared" si="118"/>
        <v>62826703.576145738</v>
      </c>
      <c r="S224" s="350">
        <f t="shared" si="119"/>
        <v>95021823.471313655</v>
      </c>
      <c r="T224" s="350">
        <f t="shared" si="120"/>
        <v>127709699.02402255</v>
      </c>
      <c r="U224" s="350">
        <f t="shared" si="121"/>
        <v>160895893.62847051</v>
      </c>
      <c r="V224" s="350">
        <f t="shared" si="122"/>
        <v>477565437.79047012</v>
      </c>
      <c r="W224" s="365"/>
      <c r="X224" s="377">
        <f t="shared" si="100"/>
        <v>0</v>
      </c>
      <c r="Y224" s="377">
        <f t="shared" si="101"/>
        <v>0</v>
      </c>
      <c r="Z224" s="377">
        <f t="shared" si="102"/>
        <v>0</v>
      </c>
      <c r="AA224" s="377">
        <f t="shared" si="103"/>
        <v>0</v>
      </c>
      <c r="AB224" s="377">
        <f t="shared" si="104"/>
        <v>0</v>
      </c>
      <c r="AC224" s="377">
        <f t="shared" si="105"/>
        <v>0</v>
      </c>
      <c r="AD224" s="376"/>
      <c r="AE224" s="332">
        <v>209</v>
      </c>
      <c r="AF224" s="350">
        <v>110319226.67620242</v>
      </c>
      <c r="AG224" s="350">
        <v>111224065.02556528</v>
      </c>
      <c r="AH224" s="350">
        <v>112090989.32666594</v>
      </c>
      <c r="AI224" s="350">
        <v>112959973.67805339</v>
      </c>
      <c r="AJ224" s="350">
        <v>113833717.40970308</v>
      </c>
      <c r="AK224" s="348">
        <v>560427972.11619008</v>
      </c>
      <c r="AL224" s="369"/>
      <c r="AM224" s="350">
        <v>137947318.48653516</v>
      </c>
      <c r="AN224" s="350">
        <v>167024128.83141479</v>
      </c>
      <c r="AO224" s="350">
        <v>196489164.47180533</v>
      </c>
      <c r="AP224" s="350">
        <v>226393963.30766848</v>
      </c>
      <c r="AQ224" s="350">
        <v>256746166.32131141</v>
      </c>
      <c r="AR224" s="348">
        <v>984600741.41873527</v>
      </c>
      <c r="AS224" s="369"/>
      <c r="AT224" s="350">
        <f t="shared" si="123"/>
        <v>27628091.810332745</v>
      </c>
      <c r="AU224" s="350">
        <f t="shared" si="106"/>
        <v>55800063.805849507</v>
      </c>
      <c r="AV224" s="350">
        <f t="shared" si="107"/>
        <v>84398175.145139396</v>
      </c>
      <c r="AW224" s="350">
        <f t="shared" si="108"/>
        <v>113433989.62961508</v>
      </c>
      <c r="AX224" s="350">
        <f t="shared" si="109"/>
        <v>142912448.91160834</v>
      </c>
      <c r="AY224" s="350">
        <f t="shared" si="110"/>
        <v>424172769.30254519</v>
      </c>
      <c r="AZ224" s="365"/>
      <c r="BA224" s="377">
        <f t="shared" si="111"/>
        <v>0</v>
      </c>
      <c r="BB224" s="377">
        <f t="shared" si="112"/>
        <v>0</v>
      </c>
      <c r="BC224" s="377">
        <f t="shared" si="113"/>
        <v>0</v>
      </c>
      <c r="BD224" s="377">
        <f t="shared" si="114"/>
        <v>0</v>
      </c>
      <c r="BE224" s="377">
        <f t="shared" si="115"/>
        <v>0</v>
      </c>
      <c r="BF224" s="377">
        <f t="shared" si="116"/>
        <v>0</v>
      </c>
      <c r="BG224" s="328"/>
    </row>
    <row r="225" spans="2:59">
      <c r="B225" s="332">
        <v>210</v>
      </c>
      <c r="C225" s="350">
        <v>127560945.24990299</v>
      </c>
      <c r="D225" s="350">
        <v>128607200.18316016</v>
      </c>
      <c r="E225" s="350">
        <v>129609615.50676538</v>
      </c>
      <c r="F225" s="350">
        <v>130614412.84454685</v>
      </c>
      <c r="G225" s="350">
        <v>131624713.40296674</v>
      </c>
      <c r="H225" s="348">
        <v>648016887.18734217</v>
      </c>
      <c r="I225" s="369"/>
      <c r="J225" s="350">
        <v>164474821.73821115</v>
      </c>
      <c r="K225" s="350">
        <v>203170005.57177079</v>
      </c>
      <c r="L225" s="350">
        <v>242390844.85824427</v>
      </c>
      <c r="M225" s="350">
        <v>282199012.07474464</v>
      </c>
      <c r="N225" s="350">
        <v>322604232.24466777</v>
      </c>
      <c r="O225" s="348">
        <v>1214838916.4876387</v>
      </c>
      <c r="P225" s="369"/>
      <c r="Q225" s="350">
        <f t="shared" si="117"/>
        <v>36913876.488308161</v>
      </c>
      <c r="R225" s="350">
        <f t="shared" si="118"/>
        <v>74562805.388610631</v>
      </c>
      <c r="S225" s="350">
        <f t="shared" si="119"/>
        <v>112781229.35147889</v>
      </c>
      <c r="T225" s="350">
        <f t="shared" si="120"/>
        <v>151584599.23019779</v>
      </c>
      <c r="U225" s="350">
        <f t="shared" si="121"/>
        <v>190979518.84170103</v>
      </c>
      <c r="V225" s="350">
        <f t="shared" si="122"/>
        <v>566822029.30029655</v>
      </c>
      <c r="W225" s="365"/>
      <c r="X225" s="377">
        <f t="shared" si="100"/>
        <v>0</v>
      </c>
      <c r="Y225" s="377">
        <f t="shared" si="101"/>
        <v>0</v>
      </c>
      <c r="Z225" s="377">
        <f t="shared" si="102"/>
        <v>0</v>
      </c>
      <c r="AA225" s="377">
        <f t="shared" si="103"/>
        <v>0</v>
      </c>
      <c r="AB225" s="377">
        <f t="shared" si="104"/>
        <v>0</v>
      </c>
      <c r="AC225" s="377">
        <f t="shared" si="105"/>
        <v>0</v>
      </c>
      <c r="AD225" s="376"/>
      <c r="AE225" s="332">
        <v>210</v>
      </c>
      <c r="AF225" s="350">
        <v>125712968.4515363</v>
      </c>
      <c r="AG225" s="350">
        <v>126744066.27821946</v>
      </c>
      <c r="AH225" s="350">
        <v>127731959.60015154</v>
      </c>
      <c r="AI225" s="350">
        <v>128722200.42799462</v>
      </c>
      <c r="AJ225" s="350">
        <v>129717864.75125895</v>
      </c>
      <c r="AK225" s="348">
        <v>638629059.50916088</v>
      </c>
      <c r="AL225" s="369"/>
      <c r="AM225" s="350">
        <v>160749371.6939773</v>
      </c>
      <c r="AN225" s="350">
        <v>197496433.09336835</v>
      </c>
      <c r="AO225" s="350">
        <v>234740537.75430149</v>
      </c>
      <c r="AP225" s="350">
        <v>272541901.69021493</v>
      </c>
      <c r="AQ225" s="350">
        <v>310909866.06759638</v>
      </c>
      <c r="AR225" s="348">
        <v>1176438110.2994585</v>
      </c>
      <c r="AS225" s="369"/>
      <c r="AT225" s="350">
        <f t="shared" si="123"/>
        <v>35036403.242440999</v>
      </c>
      <c r="AU225" s="350">
        <f t="shared" si="106"/>
        <v>70752366.81514889</v>
      </c>
      <c r="AV225" s="350">
        <f t="shared" si="107"/>
        <v>107008578.15414995</v>
      </c>
      <c r="AW225" s="350">
        <f t="shared" si="108"/>
        <v>143819701.26222032</v>
      </c>
      <c r="AX225" s="350">
        <f t="shared" si="109"/>
        <v>181192001.31633741</v>
      </c>
      <c r="AY225" s="350">
        <f t="shared" si="110"/>
        <v>537809050.79029763</v>
      </c>
      <c r="AZ225" s="365"/>
      <c r="BA225" s="377">
        <f t="shared" si="111"/>
        <v>0</v>
      </c>
      <c r="BB225" s="377">
        <f t="shared" si="112"/>
        <v>0</v>
      </c>
      <c r="BC225" s="377">
        <f t="shared" si="113"/>
        <v>0</v>
      </c>
      <c r="BD225" s="377">
        <f t="shared" si="114"/>
        <v>0</v>
      </c>
      <c r="BE225" s="377">
        <f t="shared" si="115"/>
        <v>0</v>
      </c>
      <c r="BF225" s="377">
        <f t="shared" si="116"/>
        <v>0</v>
      </c>
      <c r="BG225" s="328"/>
    </row>
    <row r="226" spans="2:59">
      <c r="B226" s="332">
        <v>211</v>
      </c>
      <c r="C226" s="350">
        <v>119653567.47484736</v>
      </c>
      <c r="D226" s="350">
        <v>120634966.09185451</v>
      </c>
      <c r="E226" s="350">
        <v>121575242.67357661</v>
      </c>
      <c r="F226" s="350">
        <v>122517753.6107545</v>
      </c>
      <c r="G226" s="350">
        <v>123465426.62932566</v>
      </c>
      <c r="H226" s="348">
        <v>607846956.4803586</v>
      </c>
      <c r="I226" s="369"/>
      <c r="J226" s="350">
        <v>149076866.14835975</v>
      </c>
      <c r="K226" s="350">
        <v>180073990.28517669</v>
      </c>
      <c r="L226" s="350">
        <v>211484027.11416343</v>
      </c>
      <c r="M226" s="350">
        <v>243362648.94926274</v>
      </c>
      <c r="N226" s="350">
        <v>275718048.28129852</v>
      </c>
      <c r="O226" s="348">
        <v>1059715580.7782611</v>
      </c>
      <c r="P226" s="369"/>
      <c r="Q226" s="350">
        <f t="shared" si="117"/>
        <v>29423298.673512384</v>
      </c>
      <c r="R226" s="350">
        <f t="shared" si="118"/>
        <v>59439024.193322182</v>
      </c>
      <c r="S226" s="350">
        <f t="shared" si="119"/>
        <v>89908784.44058682</v>
      </c>
      <c r="T226" s="350">
        <f t="shared" si="120"/>
        <v>120844895.33850823</v>
      </c>
      <c r="U226" s="350">
        <f t="shared" si="121"/>
        <v>152252621.65197286</v>
      </c>
      <c r="V226" s="350">
        <f t="shared" si="122"/>
        <v>451868624.29790246</v>
      </c>
      <c r="W226" s="365"/>
      <c r="X226" s="377">
        <f t="shared" si="100"/>
        <v>0</v>
      </c>
      <c r="Y226" s="377">
        <f t="shared" si="101"/>
        <v>0</v>
      </c>
      <c r="Z226" s="377">
        <f t="shared" si="102"/>
        <v>0</v>
      </c>
      <c r="AA226" s="377">
        <f t="shared" si="103"/>
        <v>0</v>
      </c>
      <c r="AB226" s="377">
        <f t="shared" si="104"/>
        <v>0</v>
      </c>
      <c r="AC226" s="377">
        <f t="shared" si="105"/>
        <v>0</v>
      </c>
      <c r="AD226" s="376"/>
      <c r="AE226" s="332">
        <v>211</v>
      </c>
      <c r="AF226" s="350">
        <v>168576387.09285957</v>
      </c>
      <c r="AG226" s="350">
        <v>169959050.69950691</v>
      </c>
      <c r="AH226" s="350">
        <v>171283778.68179679</v>
      </c>
      <c r="AI226" s="350">
        <v>172611654.58168048</v>
      </c>
      <c r="AJ226" s="350">
        <v>173946803.18600175</v>
      </c>
      <c r="AK226" s="348">
        <v>856377674.24184561</v>
      </c>
      <c r="AL226" s="369"/>
      <c r="AM226" s="350">
        <v>206619077.26952055</v>
      </c>
      <c r="AN226" s="350">
        <v>246808941.00396281</v>
      </c>
      <c r="AO226" s="350">
        <v>287527887.94840938</v>
      </c>
      <c r="AP226" s="350">
        <v>328852925.36772954</v>
      </c>
      <c r="AQ226" s="350">
        <v>370794984.87358344</v>
      </c>
      <c r="AR226" s="348">
        <v>1440603816.4632058</v>
      </c>
      <c r="AS226" s="369"/>
      <c r="AT226" s="350">
        <f t="shared" si="123"/>
        <v>38042690.176660985</v>
      </c>
      <c r="AU226" s="350">
        <f t="shared" si="106"/>
        <v>76849890.304455906</v>
      </c>
      <c r="AV226" s="350">
        <f t="shared" si="107"/>
        <v>116244109.26661259</v>
      </c>
      <c r="AW226" s="350">
        <f t="shared" si="108"/>
        <v>156241270.78604907</v>
      </c>
      <c r="AX226" s="350">
        <f t="shared" si="109"/>
        <v>196848181.68758169</v>
      </c>
      <c r="AY226" s="350">
        <f t="shared" si="110"/>
        <v>584226142.22136021</v>
      </c>
      <c r="AZ226" s="365"/>
      <c r="BA226" s="377">
        <f t="shared" si="111"/>
        <v>0</v>
      </c>
      <c r="BB226" s="377">
        <f t="shared" si="112"/>
        <v>0</v>
      </c>
      <c r="BC226" s="377">
        <f t="shared" si="113"/>
        <v>0</v>
      </c>
      <c r="BD226" s="377">
        <f t="shared" si="114"/>
        <v>0</v>
      </c>
      <c r="BE226" s="377">
        <f t="shared" si="115"/>
        <v>0</v>
      </c>
      <c r="BF226" s="377">
        <f t="shared" si="116"/>
        <v>0</v>
      </c>
      <c r="BG226" s="328"/>
    </row>
    <row r="227" spans="2:59">
      <c r="B227" s="332">
        <v>212</v>
      </c>
      <c r="C227" s="350">
        <v>148054006.71295184</v>
      </c>
      <c r="D227" s="350">
        <v>149268345.7460191</v>
      </c>
      <c r="E227" s="350">
        <v>150431802.20018277</v>
      </c>
      <c r="F227" s="350">
        <v>151598023.34648746</v>
      </c>
      <c r="G227" s="350">
        <v>152770631.82289341</v>
      </c>
      <c r="H227" s="348">
        <v>752122809.8285346</v>
      </c>
      <c r="I227" s="369"/>
      <c r="J227" s="350">
        <v>180688832.83769205</v>
      </c>
      <c r="K227" s="350">
        <v>215201804.17458242</v>
      </c>
      <c r="L227" s="350">
        <v>250167589.8569575</v>
      </c>
      <c r="M227" s="350">
        <v>285653497.72456521</v>
      </c>
      <c r="N227" s="350">
        <v>321668990.84997308</v>
      </c>
      <c r="O227" s="348">
        <v>1253380715.4437704</v>
      </c>
      <c r="P227" s="369"/>
      <c r="Q227" s="350">
        <f t="shared" si="117"/>
        <v>32634826.124740213</v>
      </c>
      <c r="R227" s="350">
        <f t="shared" si="118"/>
        <v>65933458.428563327</v>
      </c>
      <c r="S227" s="350">
        <f t="shared" si="119"/>
        <v>99735787.656774729</v>
      </c>
      <c r="T227" s="350">
        <f t="shared" si="120"/>
        <v>134055474.37807775</v>
      </c>
      <c r="U227" s="350">
        <f t="shared" si="121"/>
        <v>168898359.02707967</v>
      </c>
      <c r="V227" s="350">
        <f t="shared" si="122"/>
        <v>501257905.61523581</v>
      </c>
      <c r="W227" s="365"/>
      <c r="X227" s="377">
        <f t="shared" si="100"/>
        <v>0</v>
      </c>
      <c r="Y227" s="377">
        <f t="shared" si="101"/>
        <v>0</v>
      </c>
      <c r="Z227" s="377">
        <f t="shared" si="102"/>
        <v>0</v>
      </c>
      <c r="AA227" s="377">
        <f t="shared" si="103"/>
        <v>0</v>
      </c>
      <c r="AB227" s="377">
        <f t="shared" si="104"/>
        <v>0</v>
      </c>
      <c r="AC227" s="377">
        <f t="shared" si="105"/>
        <v>0</v>
      </c>
      <c r="AD227" s="376"/>
      <c r="AE227" s="332">
        <v>212</v>
      </c>
      <c r="AF227" s="350">
        <v>126171289.46291667</v>
      </c>
      <c r="AG227" s="350">
        <v>127206146.43875191</v>
      </c>
      <c r="AH227" s="350">
        <v>128197641.39599669</v>
      </c>
      <c r="AI227" s="350">
        <v>129191492.41762741</v>
      </c>
      <c r="AJ227" s="350">
        <v>130190786.70751533</v>
      </c>
      <c r="AK227" s="348">
        <v>640957356.42280793</v>
      </c>
      <c r="AL227" s="369"/>
      <c r="AM227" s="350">
        <v>158572806.28343704</v>
      </c>
      <c r="AN227" s="350">
        <v>192657081.59041372</v>
      </c>
      <c r="AO227" s="350">
        <v>227197916.87239873</v>
      </c>
      <c r="AP227" s="350">
        <v>262254592.50038701</v>
      </c>
      <c r="AQ227" s="350">
        <v>297835992.65572375</v>
      </c>
      <c r="AR227" s="348">
        <v>1138518389.9023602</v>
      </c>
      <c r="AS227" s="369"/>
      <c r="AT227" s="350">
        <f t="shared" si="123"/>
        <v>32401516.820520371</v>
      </c>
      <c r="AU227" s="350">
        <f t="shared" si="106"/>
        <v>65450935.151661813</v>
      </c>
      <c r="AV227" s="350">
        <f t="shared" si="107"/>
        <v>99000275.476402044</v>
      </c>
      <c r="AW227" s="350">
        <f t="shared" si="108"/>
        <v>133063100.0827596</v>
      </c>
      <c r="AX227" s="350">
        <f t="shared" si="109"/>
        <v>167645205.94820842</v>
      </c>
      <c r="AY227" s="350">
        <f t="shared" si="110"/>
        <v>497561033.47955227</v>
      </c>
      <c r="AZ227" s="365"/>
      <c r="BA227" s="377">
        <f t="shared" si="111"/>
        <v>0</v>
      </c>
      <c r="BB227" s="377">
        <f t="shared" si="112"/>
        <v>0</v>
      </c>
      <c r="BC227" s="377">
        <f t="shared" si="113"/>
        <v>0</v>
      </c>
      <c r="BD227" s="377">
        <f t="shared" si="114"/>
        <v>0</v>
      </c>
      <c r="BE227" s="377">
        <f t="shared" si="115"/>
        <v>0</v>
      </c>
      <c r="BF227" s="377">
        <f t="shared" si="116"/>
        <v>0</v>
      </c>
      <c r="BG227" s="328"/>
    </row>
    <row r="228" spans="2:59">
      <c r="B228" s="332">
        <v>213</v>
      </c>
      <c r="C228" s="350">
        <v>106623671.82098159</v>
      </c>
      <c r="D228" s="350">
        <v>107498199.22767454</v>
      </c>
      <c r="E228" s="350">
        <v>108336082.65886909</v>
      </c>
      <c r="F228" s="350">
        <v>109175957.13126594</v>
      </c>
      <c r="G228" s="350">
        <v>110020431.55069327</v>
      </c>
      <c r="H228" s="348">
        <v>541654342.38948441</v>
      </c>
      <c r="I228" s="369"/>
      <c r="J228" s="350">
        <v>131672843.17017019</v>
      </c>
      <c r="K228" s="350">
        <v>158092673.3777675</v>
      </c>
      <c r="L228" s="350">
        <v>184862268.41035795</v>
      </c>
      <c r="M228" s="350">
        <v>212030747.84072721</v>
      </c>
      <c r="N228" s="350">
        <v>239605201.41362098</v>
      </c>
      <c r="O228" s="348">
        <v>926263734.21264386</v>
      </c>
      <c r="P228" s="369"/>
      <c r="Q228" s="350">
        <f t="shared" si="117"/>
        <v>25049171.349188596</v>
      </c>
      <c r="R228" s="350">
        <f t="shared" si="118"/>
        <v>50594474.150092959</v>
      </c>
      <c r="S228" s="350">
        <f t="shared" si="119"/>
        <v>76526185.751488864</v>
      </c>
      <c r="T228" s="350">
        <f t="shared" si="120"/>
        <v>102854790.70946127</v>
      </c>
      <c r="U228" s="350">
        <f t="shared" si="121"/>
        <v>129584769.86292771</v>
      </c>
      <c r="V228" s="350">
        <f t="shared" si="122"/>
        <v>384609391.82315946</v>
      </c>
      <c r="W228" s="365"/>
      <c r="X228" s="377">
        <f t="shared" si="100"/>
        <v>0</v>
      </c>
      <c r="Y228" s="377">
        <f t="shared" si="101"/>
        <v>0</v>
      </c>
      <c r="Z228" s="377">
        <f t="shared" si="102"/>
        <v>0</v>
      </c>
      <c r="AA228" s="377">
        <f t="shared" si="103"/>
        <v>0</v>
      </c>
      <c r="AB228" s="377">
        <f t="shared" si="104"/>
        <v>0</v>
      </c>
      <c r="AC228" s="377">
        <f t="shared" si="105"/>
        <v>0</v>
      </c>
      <c r="AD228" s="376"/>
      <c r="AE228" s="332">
        <v>213</v>
      </c>
      <c r="AF228" s="350">
        <v>111677352.47587928</v>
      </c>
      <c r="AG228" s="350">
        <v>112593330.17369334</v>
      </c>
      <c r="AH228" s="350">
        <v>113470927.06827711</v>
      </c>
      <c r="AI228" s="350">
        <v>114350609.37416166</v>
      </c>
      <c r="AJ228" s="350">
        <v>115235109.65242623</v>
      </c>
      <c r="AK228" s="348">
        <v>567327328.74443758</v>
      </c>
      <c r="AL228" s="369"/>
      <c r="AM228" s="350">
        <v>138832862.43222672</v>
      </c>
      <c r="AN228" s="350">
        <v>167421695.52140647</v>
      </c>
      <c r="AO228" s="350">
        <v>196390729.3660723</v>
      </c>
      <c r="AP228" s="350">
        <v>225791795.2244727</v>
      </c>
      <c r="AQ228" s="350">
        <v>255632480.15218842</v>
      </c>
      <c r="AR228" s="348">
        <v>984069562.69636667</v>
      </c>
      <c r="AS228" s="369"/>
      <c r="AT228" s="350">
        <f t="shared" si="123"/>
        <v>27155509.956347436</v>
      </c>
      <c r="AU228" s="350">
        <f t="shared" si="106"/>
        <v>54828365.347713128</v>
      </c>
      <c r="AV228" s="350">
        <f t="shared" si="107"/>
        <v>82919802.297795191</v>
      </c>
      <c r="AW228" s="350">
        <f t="shared" si="108"/>
        <v>111441185.85031104</v>
      </c>
      <c r="AX228" s="350">
        <f t="shared" si="109"/>
        <v>140397370.49976218</v>
      </c>
      <c r="AY228" s="350">
        <f t="shared" si="110"/>
        <v>416742233.95192909</v>
      </c>
      <c r="AZ228" s="365"/>
      <c r="BA228" s="377">
        <f t="shared" si="111"/>
        <v>0</v>
      </c>
      <c r="BB228" s="377">
        <f t="shared" si="112"/>
        <v>0</v>
      </c>
      <c r="BC228" s="377">
        <f t="shared" si="113"/>
        <v>0</v>
      </c>
      <c r="BD228" s="377">
        <f t="shared" si="114"/>
        <v>0</v>
      </c>
      <c r="BE228" s="377">
        <f t="shared" si="115"/>
        <v>0</v>
      </c>
      <c r="BF228" s="377">
        <f t="shared" si="116"/>
        <v>0</v>
      </c>
      <c r="BG228" s="328"/>
    </row>
    <row r="229" spans="2:59">
      <c r="B229" s="332">
        <v>214</v>
      </c>
      <c r="C229" s="350">
        <v>140027338.26979485</v>
      </c>
      <c r="D229" s="350">
        <v>141175842.56449592</v>
      </c>
      <c r="E229" s="350">
        <v>142276222.8519758</v>
      </c>
      <c r="F229" s="350">
        <v>143379217.94529748</v>
      </c>
      <c r="G229" s="350">
        <v>144488254.08305004</v>
      </c>
      <c r="H229" s="348">
        <v>711346875.71461403</v>
      </c>
      <c r="I229" s="369"/>
      <c r="J229" s="350">
        <v>171570577.58354777</v>
      </c>
      <c r="K229" s="350">
        <v>204875853.94701669</v>
      </c>
      <c r="L229" s="350">
        <v>238619417.72959495</v>
      </c>
      <c r="M229" s="350">
        <v>272865209.82745874</v>
      </c>
      <c r="N229" s="350">
        <v>307622297.27520329</v>
      </c>
      <c r="O229" s="348">
        <v>1195553356.3628213</v>
      </c>
      <c r="P229" s="369"/>
      <c r="Q229" s="350">
        <f t="shared" si="117"/>
        <v>31543239.313752919</v>
      </c>
      <c r="R229" s="350">
        <f t="shared" si="118"/>
        <v>63700011.382520765</v>
      </c>
      <c r="S229" s="350">
        <f t="shared" si="119"/>
        <v>96343194.877619147</v>
      </c>
      <c r="T229" s="350">
        <f t="shared" si="120"/>
        <v>129485991.88216126</v>
      </c>
      <c r="U229" s="350">
        <f t="shared" si="121"/>
        <v>163134043.19215325</v>
      </c>
      <c r="V229" s="350">
        <f t="shared" si="122"/>
        <v>484206480.64820731</v>
      </c>
      <c r="W229" s="365"/>
      <c r="X229" s="377">
        <f t="shared" si="100"/>
        <v>0</v>
      </c>
      <c r="Y229" s="377">
        <f t="shared" si="101"/>
        <v>0</v>
      </c>
      <c r="Z229" s="377">
        <f t="shared" si="102"/>
        <v>0</v>
      </c>
      <c r="AA229" s="377">
        <f t="shared" si="103"/>
        <v>0</v>
      </c>
      <c r="AB229" s="377">
        <f t="shared" si="104"/>
        <v>0</v>
      </c>
      <c r="AC229" s="377">
        <f t="shared" si="105"/>
        <v>0</v>
      </c>
      <c r="AD229" s="376"/>
      <c r="AE229" s="332">
        <v>214</v>
      </c>
      <c r="AF229" s="350">
        <v>126987578.86489457</v>
      </c>
      <c r="AG229" s="350">
        <v>128029131.04679076</v>
      </c>
      <c r="AH229" s="350">
        <v>129027040.67118497</v>
      </c>
      <c r="AI229" s="350">
        <v>130027321.60297635</v>
      </c>
      <c r="AJ229" s="350">
        <v>131033081.0192949</v>
      </c>
      <c r="AK229" s="348">
        <v>645104153.20514154</v>
      </c>
      <c r="AL229" s="369"/>
      <c r="AM229" s="350">
        <v>161309013.57928199</v>
      </c>
      <c r="AN229" s="350">
        <v>197343729.8712599</v>
      </c>
      <c r="AO229" s="350">
        <v>233864120.93566066</v>
      </c>
      <c r="AP229" s="350">
        <v>270930565.73537117</v>
      </c>
      <c r="AQ229" s="350">
        <v>308552309.69591337</v>
      </c>
      <c r="AR229" s="348">
        <v>1171999739.817487</v>
      </c>
      <c r="AS229" s="369"/>
      <c r="AT229" s="350">
        <f t="shared" si="123"/>
        <v>34321434.714387417</v>
      </c>
      <c r="AU229" s="350">
        <f t="shared" si="106"/>
        <v>69314598.824469134</v>
      </c>
      <c r="AV229" s="350">
        <f t="shared" si="107"/>
        <v>104837080.26447569</v>
      </c>
      <c r="AW229" s="350">
        <f t="shared" si="108"/>
        <v>140903244.13239482</v>
      </c>
      <c r="AX229" s="350">
        <f t="shared" si="109"/>
        <v>177519228.67661846</v>
      </c>
      <c r="AY229" s="350">
        <f t="shared" si="110"/>
        <v>526895586.61234546</v>
      </c>
      <c r="AZ229" s="365"/>
      <c r="BA229" s="377">
        <f t="shared" si="111"/>
        <v>0</v>
      </c>
      <c r="BB229" s="377">
        <f t="shared" si="112"/>
        <v>0</v>
      </c>
      <c r="BC229" s="377">
        <f t="shared" si="113"/>
        <v>0</v>
      </c>
      <c r="BD229" s="377">
        <f t="shared" si="114"/>
        <v>0</v>
      </c>
      <c r="BE229" s="377">
        <f t="shared" si="115"/>
        <v>0</v>
      </c>
      <c r="BF229" s="377">
        <f t="shared" si="116"/>
        <v>0</v>
      </c>
      <c r="BG229" s="328"/>
    </row>
    <row r="230" spans="2:59">
      <c r="B230" s="332">
        <v>215</v>
      </c>
      <c r="C230" s="350">
        <v>141723828.40446973</v>
      </c>
      <c r="D230" s="350">
        <v>142886247.31205758</v>
      </c>
      <c r="E230" s="350">
        <v>143999959.16982344</v>
      </c>
      <c r="F230" s="350">
        <v>145116317.51290435</v>
      </c>
      <c r="G230" s="350">
        <v>146238790.09021178</v>
      </c>
      <c r="H230" s="348">
        <v>719965142.48946679</v>
      </c>
      <c r="I230" s="369"/>
      <c r="J230" s="350">
        <v>182084671.65848419</v>
      </c>
      <c r="K230" s="350">
        <v>224397938.36681318</v>
      </c>
      <c r="L230" s="350">
        <v>267284958.40083694</v>
      </c>
      <c r="M230" s="350">
        <v>310813978.16783816</v>
      </c>
      <c r="N230" s="350">
        <v>354995683.79989415</v>
      </c>
      <c r="O230" s="348">
        <v>1339577230.3938665</v>
      </c>
      <c r="P230" s="369"/>
      <c r="Q230" s="350">
        <f t="shared" si="117"/>
        <v>40360843.254014462</v>
      </c>
      <c r="R230" s="350">
        <f t="shared" si="118"/>
        <v>81511691.054755598</v>
      </c>
      <c r="S230" s="350">
        <f t="shared" si="119"/>
        <v>123284999.23101351</v>
      </c>
      <c r="T230" s="350">
        <f t="shared" si="120"/>
        <v>165697660.65493381</v>
      </c>
      <c r="U230" s="350">
        <f t="shared" si="121"/>
        <v>208756893.70968238</v>
      </c>
      <c r="V230" s="350">
        <f t="shared" si="122"/>
        <v>619612087.90439975</v>
      </c>
      <c r="W230" s="365"/>
      <c r="X230" s="377">
        <f t="shared" si="100"/>
        <v>0</v>
      </c>
      <c r="Y230" s="377">
        <f t="shared" si="101"/>
        <v>0</v>
      </c>
      <c r="Z230" s="377">
        <f t="shared" si="102"/>
        <v>0</v>
      </c>
      <c r="AA230" s="377">
        <f t="shared" si="103"/>
        <v>0</v>
      </c>
      <c r="AB230" s="377">
        <f t="shared" si="104"/>
        <v>0</v>
      </c>
      <c r="AC230" s="377">
        <f t="shared" si="105"/>
        <v>0</v>
      </c>
      <c r="AD230" s="376"/>
      <c r="AE230" s="332">
        <v>215</v>
      </c>
      <c r="AF230" s="350">
        <v>111238885.9208585</v>
      </c>
      <c r="AG230" s="350">
        <v>112151267.31578092</v>
      </c>
      <c r="AH230" s="350">
        <v>113025418.5978163</v>
      </c>
      <c r="AI230" s="350">
        <v>113901647.10343046</v>
      </c>
      <c r="AJ230" s="350">
        <v>114782674.66514754</v>
      </c>
      <c r="AK230" s="348">
        <v>565099893.60303378</v>
      </c>
      <c r="AL230" s="369"/>
      <c r="AM230" s="350">
        <v>140498330.46117395</v>
      </c>
      <c r="AN230" s="350">
        <v>171242160.70232517</v>
      </c>
      <c r="AO230" s="350">
        <v>202399000.17063087</v>
      </c>
      <c r="AP230" s="350">
        <v>234021402.58868805</v>
      </c>
      <c r="AQ230" s="350">
        <v>266117322.62143517</v>
      </c>
      <c r="AR230" s="348">
        <v>1014278216.5442532</v>
      </c>
      <c r="AS230" s="369"/>
      <c r="AT230" s="350">
        <f t="shared" si="123"/>
        <v>29259444.540315449</v>
      </c>
      <c r="AU230" s="350">
        <f t="shared" si="106"/>
        <v>59090893.386544243</v>
      </c>
      <c r="AV230" s="350">
        <f t="shared" si="107"/>
        <v>89373581.572814569</v>
      </c>
      <c r="AW230" s="350">
        <f t="shared" si="108"/>
        <v>120119755.48525758</v>
      </c>
      <c r="AX230" s="350">
        <f t="shared" si="109"/>
        <v>151334647.95628762</v>
      </c>
      <c r="AY230" s="350">
        <f t="shared" si="110"/>
        <v>449178322.94121945</v>
      </c>
      <c r="AZ230" s="365"/>
      <c r="BA230" s="377">
        <f t="shared" si="111"/>
        <v>0</v>
      </c>
      <c r="BB230" s="377">
        <f t="shared" si="112"/>
        <v>0</v>
      </c>
      <c r="BC230" s="377">
        <f t="shared" si="113"/>
        <v>0</v>
      </c>
      <c r="BD230" s="377">
        <f t="shared" si="114"/>
        <v>0</v>
      </c>
      <c r="BE230" s="377">
        <f t="shared" si="115"/>
        <v>0</v>
      </c>
      <c r="BF230" s="377">
        <f t="shared" si="116"/>
        <v>0</v>
      </c>
      <c r="BG230" s="328"/>
    </row>
    <row r="231" spans="2:59">
      <c r="B231" s="332">
        <v>216</v>
      </c>
      <c r="C231" s="350">
        <v>136393552.04744756</v>
      </c>
      <c r="D231" s="350">
        <v>137512252.02583471</v>
      </c>
      <c r="E231" s="350">
        <v>138584076.84138042</v>
      </c>
      <c r="F231" s="350">
        <v>139658448.60712224</v>
      </c>
      <c r="G231" s="350">
        <v>140738704.64887893</v>
      </c>
      <c r="H231" s="348">
        <v>692887034.17066383</v>
      </c>
      <c r="I231" s="369"/>
      <c r="J231" s="350">
        <v>172503185.2248849</v>
      </c>
      <c r="K231" s="350">
        <v>210458787.45340905</v>
      </c>
      <c r="L231" s="350">
        <v>248924730.29758298</v>
      </c>
      <c r="M231" s="350">
        <v>287965550.55307138</v>
      </c>
      <c r="N231" s="350">
        <v>327591046.74158162</v>
      </c>
      <c r="O231" s="348">
        <v>1247443300.27053</v>
      </c>
      <c r="P231" s="369"/>
      <c r="Q231" s="350">
        <f t="shared" si="117"/>
        <v>36109633.177437335</v>
      </c>
      <c r="R231" s="350">
        <f t="shared" si="118"/>
        <v>72946535.427574337</v>
      </c>
      <c r="S231" s="350">
        <f t="shared" si="119"/>
        <v>110340653.45620257</v>
      </c>
      <c r="T231" s="350">
        <f t="shared" si="120"/>
        <v>148307101.94594914</v>
      </c>
      <c r="U231" s="350">
        <f t="shared" si="121"/>
        <v>186852342.09270269</v>
      </c>
      <c r="V231" s="350">
        <f t="shared" si="122"/>
        <v>554556266.09986615</v>
      </c>
      <c r="W231" s="365"/>
      <c r="X231" s="377">
        <f t="shared" si="100"/>
        <v>0</v>
      </c>
      <c r="Y231" s="377">
        <f t="shared" si="101"/>
        <v>0</v>
      </c>
      <c r="Z231" s="377">
        <f t="shared" si="102"/>
        <v>0</v>
      </c>
      <c r="AA231" s="377">
        <f t="shared" si="103"/>
        <v>0</v>
      </c>
      <c r="AB231" s="377">
        <f t="shared" si="104"/>
        <v>0</v>
      </c>
      <c r="AC231" s="377">
        <f t="shared" si="105"/>
        <v>0</v>
      </c>
      <c r="AD231" s="376"/>
      <c r="AE231" s="332">
        <v>216</v>
      </c>
      <c r="AF231" s="350">
        <v>110374832.42869875</v>
      </c>
      <c r="AG231" s="350">
        <v>111280126.8564699</v>
      </c>
      <c r="AH231" s="350">
        <v>112147488.1256274</v>
      </c>
      <c r="AI231" s="350">
        <v>113016910.48342794</v>
      </c>
      <c r="AJ231" s="350">
        <v>113891094.62042809</v>
      </c>
      <c r="AK231" s="348">
        <v>560710452.51465201</v>
      </c>
      <c r="AL231" s="369"/>
      <c r="AM231" s="350">
        <v>150731647.94353828</v>
      </c>
      <c r="AN231" s="350">
        <v>192769918.34936783</v>
      </c>
      <c r="AO231" s="350">
        <v>235392439.27122846</v>
      </c>
      <c r="AP231" s="350">
        <v>278656095.37786412</v>
      </c>
      <c r="AQ231" s="350">
        <v>322570802.9214955</v>
      </c>
      <c r="AR231" s="348">
        <v>1180120903.8634942</v>
      </c>
      <c r="AS231" s="369"/>
      <c r="AT231" s="350">
        <f t="shared" si="123"/>
        <v>40356815.51483953</v>
      </c>
      <c r="AU231" s="350">
        <f t="shared" si="106"/>
        <v>81489791.492897928</v>
      </c>
      <c r="AV231" s="350">
        <f t="shared" si="107"/>
        <v>123244951.14560106</v>
      </c>
      <c r="AW231" s="350">
        <f t="shared" si="108"/>
        <v>165639184.89443618</v>
      </c>
      <c r="AX231" s="350">
        <f t="shared" si="109"/>
        <v>208679708.30106741</v>
      </c>
      <c r="AY231" s="350">
        <f t="shared" si="110"/>
        <v>619410451.34884214</v>
      </c>
      <c r="AZ231" s="365"/>
      <c r="BA231" s="377">
        <f t="shared" si="111"/>
        <v>0</v>
      </c>
      <c r="BB231" s="377">
        <f t="shared" si="112"/>
        <v>0</v>
      </c>
      <c r="BC231" s="377">
        <f t="shared" si="113"/>
        <v>0</v>
      </c>
      <c r="BD231" s="377">
        <f t="shared" si="114"/>
        <v>0</v>
      </c>
      <c r="BE231" s="377">
        <f t="shared" si="115"/>
        <v>0</v>
      </c>
      <c r="BF231" s="377">
        <f t="shared" si="116"/>
        <v>0</v>
      </c>
      <c r="BG231" s="328"/>
    </row>
    <row r="232" spans="2:59">
      <c r="B232" s="332">
        <v>217</v>
      </c>
      <c r="C232" s="350">
        <v>127597873.64002229</v>
      </c>
      <c r="D232" s="350">
        <v>128644431.45995265</v>
      </c>
      <c r="E232" s="350">
        <v>129647136.97883719</v>
      </c>
      <c r="F232" s="350">
        <v>130652225.20148164</v>
      </c>
      <c r="G232" s="350">
        <v>131662818.23792511</v>
      </c>
      <c r="H232" s="348">
        <v>648204485.51821887</v>
      </c>
      <c r="I232" s="369"/>
      <c r="J232" s="350">
        <v>164899662.39597836</v>
      </c>
      <c r="K232" s="350">
        <v>203987619.85458529</v>
      </c>
      <c r="L232" s="350">
        <v>243607155.3044326</v>
      </c>
      <c r="M232" s="350">
        <v>283820116.79416126</v>
      </c>
      <c r="N232" s="350">
        <v>324636299.1642077</v>
      </c>
      <c r="O232" s="348">
        <v>1220950853.5133653</v>
      </c>
      <c r="P232" s="369"/>
      <c r="Q232" s="350">
        <f t="shared" si="117"/>
        <v>37301788.755956069</v>
      </c>
      <c r="R232" s="350">
        <f t="shared" si="118"/>
        <v>75343188.394632638</v>
      </c>
      <c r="S232" s="350">
        <f t="shared" si="119"/>
        <v>113960018.32559541</v>
      </c>
      <c r="T232" s="350">
        <f t="shared" si="120"/>
        <v>153167891.59267962</v>
      </c>
      <c r="U232" s="350">
        <f t="shared" si="121"/>
        <v>192973480.92628258</v>
      </c>
      <c r="V232" s="350">
        <f t="shared" si="122"/>
        <v>572746367.99514639</v>
      </c>
      <c r="W232" s="365"/>
      <c r="X232" s="377">
        <f t="shared" si="100"/>
        <v>0</v>
      </c>
      <c r="Y232" s="377">
        <f t="shared" si="101"/>
        <v>0</v>
      </c>
      <c r="Z232" s="377">
        <f t="shared" si="102"/>
        <v>0</v>
      </c>
      <c r="AA232" s="377">
        <f t="shared" si="103"/>
        <v>0</v>
      </c>
      <c r="AB232" s="377">
        <f t="shared" si="104"/>
        <v>0</v>
      </c>
      <c r="AC232" s="377">
        <f t="shared" si="105"/>
        <v>0</v>
      </c>
      <c r="AD232" s="376"/>
      <c r="AE232" s="332">
        <v>217</v>
      </c>
      <c r="AF232" s="350">
        <v>127075666.63769507</v>
      </c>
      <c r="AG232" s="350">
        <v>128117941.31554542</v>
      </c>
      <c r="AH232" s="350">
        <v>129116543.16225815</v>
      </c>
      <c r="AI232" s="350">
        <v>130117517.96127848</v>
      </c>
      <c r="AJ232" s="350">
        <v>131123975.04509923</v>
      </c>
      <c r="AK232" s="348">
        <v>645551644.12187636</v>
      </c>
      <c r="AL232" s="369"/>
      <c r="AM232" s="350">
        <v>158450723.64207119</v>
      </c>
      <c r="AN232" s="350">
        <v>191489052.3326295</v>
      </c>
      <c r="AO232" s="350">
        <v>224967693.52219748</v>
      </c>
      <c r="AP232" s="350">
        <v>258945825.28295514</v>
      </c>
      <c r="AQ232" s="350">
        <v>293432169.30648053</v>
      </c>
      <c r="AR232" s="348">
        <v>1127285464.0863338</v>
      </c>
      <c r="AS232" s="369"/>
      <c r="AT232" s="350">
        <f t="shared" si="123"/>
        <v>31375057.004376113</v>
      </c>
      <c r="AU232" s="350">
        <f t="shared" si="106"/>
        <v>63371111.017084077</v>
      </c>
      <c r="AV232" s="350">
        <f t="shared" si="107"/>
        <v>95851150.359939337</v>
      </c>
      <c r="AW232" s="350">
        <f t="shared" si="108"/>
        <v>128828307.32167666</v>
      </c>
      <c r="AX232" s="350">
        <f t="shared" si="109"/>
        <v>162308194.2613813</v>
      </c>
      <c r="AY232" s="350">
        <f t="shared" si="110"/>
        <v>481733819.96445739</v>
      </c>
      <c r="AZ232" s="365"/>
      <c r="BA232" s="377">
        <f t="shared" si="111"/>
        <v>0</v>
      </c>
      <c r="BB232" s="377">
        <f t="shared" si="112"/>
        <v>0</v>
      </c>
      <c r="BC232" s="377">
        <f t="shared" si="113"/>
        <v>0</v>
      </c>
      <c r="BD232" s="377">
        <f t="shared" si="114"/>
        <v>0</v>
      </c>
      <c r="BE232" s="377">
        <f t="shared" si="115"/>
        <v>0</v>
      </c>
      <c r="BF232" s="377">
        <f t="shared" si="116"/>
        <v>0</v>
      </c>
      <c r="BG232" s="328"/>
    </row>
    <row r="233" spans="2:59">
      <c r="B233" s="332">
        <v>218</v>
      </c>
      <c r="C233" s="350">
        <v>128025796.03883766</v>
      </c>
      <c r="D233" s="350">
        <v>129075863.6784855</v>
      </c>
      <c r="E233" s="350">
        <v>130081931.95051552</v>
      </c>
      <c r="F233" s="350">
        <v>131090390.91713072</v>
      </c>
      <c r="G233" s="350">
        <v>132104373.15892731</v>
      </c>
      <c r="H233" s="348">
        <v>650378355.74389672</v>
      </c>
      <c r="I233" s="369"/>
      <c r="J233" s="350">
        <v>160901088.82609418</v>
      </c>
      <c r="K233" s="350">
        <v>195492186.78437588</v>
      </c>
      <c r="L233" s="350">
        <v>230546647.60273552</v>
      </c>
      <c r="M233" s="350">
        <v>266124622.40423873</v>
      </c>
      <c r="N233" s="350">
        <v>302235126.7869882</v>
      </c>
      <c r="O233" s="348">
        <v>1155299672.4044325</v>
      </c>
      <c r="P233" s="369"/>
      <c r="Q233" s="350">
        <f t="shared" si="117"/>
        <v>32875292.787256524</v>
      </c>
      <c r="R233" s="350">
        <f t="shared" si="118"/>
        <v>66416323.105890378</v>
      </c>
      <c r="S233" s="350">
        <f t="shared" si="119"/>
        <v>100464715.65222</v>
      </c>
      <c r="T233" s="350">
        <f t="shared" si="120"/>
        <v>135034231.48710799</v>
      </c>
      <c r="U233" s="350">
        <f t="shared" si="121"/>
        <v>170130753.62806088</v>
      </c>
      <c r="V233" s="350">
        <f t="shared" si="122"/>
        <v>504921316.66053581</v>
      </c>
      <c r="W233" s="365"/>
      <c r="X233" s="377">
        <f t="shared" si="100"/>
        <v>0</v>
      </c>
      <c r="Y233" s="377">
        <f t="shared" si="101"/>
        <v>0</v>
      </c>
      <c r="Z233" s="377">
        <f t="shared" si="102"/>
        <v>0</v>
      </c>
      <c r="AA233" s="377">
        <f t="shared" si="103"/>
        <v>0</v>
      </c>
      <c r="AB233" s="377">
        <f t="shared" si="104"/>
        <v>0</v>
      </c>
      <c r="AC233" s="377">
        <f t="shared" si="105"/>
        <v>0</v>
      </c>
      <c r="AD233" s="376"/>
      <c r="AE233" s="332">
        <v>218</v>
      </c>
      <c r="AF233" s="350">
        <v>134437777.43476748</v>
      </c>
      <c r="AG233" s="350">
        <v>135540436.14885667</v>
      </c>
      <c r="AH233" s="350">
        <v>136596891.85250509</v>
      </c>
      <c r="AI233" s="350">
        <v>137655857.98511779</v>
      </c>
      <c r="AJ233" s="350">
        <v>138720624.01792651</v>
      </c>
      <c r="AK233" s="348">
        <v>682951587.43917346</v>
      </c>
      <c r="AL233" s="369"/>
      <c r="AM233" s="350">
        <v>165258234.85103485</v>
      </c>
      <c r="AN233" s="350">
        <v>197804296.01522255</v>
      </c>
      <c r="AO233" s="350">
        <v>230779785.84306741</v>
      </c>
      <c r="AP233" s="350">
        <v>264246318.64865884</v>
      </c>
      <c r="AQ233" s="350">
        <v>298212699.02864176</v>
      </c>
      <c r="AR233" s="348">
        <v>1156301334.3866255</v>
      </c>
      <c r="AS233" s="369"/>
      <c r="AT233" s="350">
        <f t="shared" si="123"/>
        <v>30820457.416267365</v>
      </c>
      <c r="AU233" s="350">
        <f t="shared" si="106"/>
        <v>62263859.86636588</v>
      </c>
      <c r="AV233" s="350">
        <f t="shared" si="107"/>
        <v>94182893.99056232</v>
      </c>
      <c r="AW233" s="350">
        <f t="shared" si="108"/>
        <v>126590460.66354105</v>
      </c>
      <c r="AX233" s="350">
        <f t="shared" si="109"/>
        <v>159492075.01071525</v>
      </c>
      <c r="AY233" s="350">
        <f t="shared" si="110"/>
        <v>473349746.94745207</v>
      </c>
      <c r="AZ233" s="365"/>
      <c r="BA233" s="377">
        <f t="shared" si="111"/>
        <v>0</v>
      </c>
      <c r="BB233" s="377">
        <f t="shared" si="112"/>
        <v>0</v>
      </c>
      <c r="BC233" s="377">
        <f t="shared" si="113"/>
        <v>0</v>
      </c>
      <c r="BD233" s="377">
        <f t="shared" si="114"/>
        <v>0</v>
      </c>
      <c r="BE233" s="377">
        <f t="shared" si="115"/>
        <v>0</v>
      </c>
      <c r="BF233" s="377">
        <f t="shared" si="116"/>
        <v>0</v>
      </c>
      <c r="BG233" s="328"/>
    </row>
    <row r="234" spans="2:59">
      <c r="B234" s="332">
        <v>219</v>
      </c>
      <c r="C234" s="350">
        <v>134917164.1232022</v>
      </c>
      <c r="D234" s="350">
        <v>136023754.76713654</v>
      </c>
      <c r="E234" s="350">
        <v>137083977.64702743</v>
      </c>
      <c r="F234" s="350">
        <v>138146719.90772831</v>
      </c>
      <c r="G234" s="350">
        <v>139215282.75027436</v>
      </c>
      <c r="H234" s="348">
        <v>685386899.19536901</v>
      </c>
      <c r="I234" s="369"/>
      <c r="J234" s="350">
        <v>168976920.86753267</v>
      </c>
      <c r="K234" s="350">
        <v>204825089.63736135</v>
      </c>
      <c r="L234" s="350">
        <v>241152409.4423131</v>
      </c>
      <c r="M234" s="350">
        <v>278022023.84630531</v>
      </c>
      <c r="N234" s="350">
        <v>315443327.82094514</v>
      </c>
      <c r="O234" s="348">
        <v>1208419771.6144576</v>
      </c>
      <c r="P234" s="369"/>
      <c r="Q234" s="350">
        <f t="shared" si="117"/>
        <v>34059756.744330466</v>
      </c>
      <c r="R234" s="350">
        <f t="shared" si="118"/>
        <v>68801334.870224804</v>
      </c>
      <c r="S234" s="350">
        <f t="shared" si="119"/>
        <v>104068431.79528567</v>
      </c>
      <c r="T234" s="350">
        <f t="shared" si="120"/>
        <v>139875303.938577</v>
      </c>
      <c r="U234" s="350">
        <f t="shared" si="121"/>
        <v>176228045.07067078</v>
      </c>
      <c r="V234" s="350">
        <f t="shared" si="122"/>
        <v>523032872.4190886</v>
      </c>
      <c r="W234" s="365"/>
      <c r="X234" s="377">
        <f t="shared" si="100"/>
        <v>0</v>
      </c>
      <c r="Y234" s="377">
        <f t="shared" si="101"/>
        <v>0</v>
      </c>
      <c r="Z234" s="377">
        <f t="shared" si="102"/>
        <v>0</v>
      </c>
      <c r="AA234" s="377">
        <f t="shared" si="103"/>
        <v>0</v>
      </c>
      <c r="AB234" s="377">
        <f t="shared" si="104"/>
        <v>0</v>
      </c>
      <c r="AC234" s="377">
        <f t="shared" si="105"/>
        <v>0</v>
      </c>
      <c r="AD234" s="376"/>
      <c r="AE234" s="332">
        <v>219</v>
      </c>
      <c r="AF234" s="350">
        <v>117681272.01378888</v>
      </c>
      <c r="AG234" s="350">
        <v>118646493.86249182</v>
      </c>
      <c r="AH234" s="350">
        <v>119571271.50612615</v>
      </c>
      <c r="AI234" s="350">
        <v>120498246.67548183</v>
      </c>
      <c r="AJ234" s="350">
        <v>121430298.83767116</v>
      </c>
      <c r="AK234" s="348">
        <v>597827582.89555979</v>
      </c>
      <c r="AL234" s="369"/>
      <c r="AM234" s="350">
        <v>147948665.2698524</v>
      </c>
      <c r="AN234" s="350">
        <v>179782149.7978957</v>
      </c>
      <c r="AO234" s="350">
        <v>212042116.85095471</v>
      </c>
      <c r="AP234" s="350">
        <v>244783876.9265601</v>
      </c>
      <c r="AQ234" s="350">
        <v>278015723.98656636</v>
      </c>
      <c r="AR234" s="348">
        <v>1062572532.8318293</v>
      </c>
      <c r="AS234" s="369"/>
      <c r="AT234" s="350">
        <f t="shared" si="123"/>
        <v>30267393.256063521</v>
      </c>
      <c r="AU234" s="350">
        <f t="shared" si="106"/>
        <v>61135655.935403883</v>
      </c>
      <c r="AV234" s="350">
        <f t="shared" si="107"/>
        <v>92470845.344828561</v>
      </c>
      <c r="AW234" s="350">
        <f t="shared" si="108"/>
        <v>124285630.25107828</v>
      </c>
      <c r="AX234" s="350">
        <f t="shared" si="109"/>
        <v>156585425.1488952</v>
      </c>
      <c r="AY234" s="350">
        <f t="shared" si="110"/>
        <v>464744949.93626952</v>
      </c>
      <c r="AZ234" s="365"/>
      <c r="BA234" s="377">
        <f t="shared" si="111"/>
        <v>0</v>
      </c>
      <c r="BB234" s="377">
        <f t="shared" si="112"/>
        <v>0</v>
      </c>
      <c r="BC234" s="377">
        <f t="shared" si="113"/>
        <v>0</v>
      </c>
      <c r="BD234" s="377">
        <f t="shared" si="114"/>
        <v>0</v>
      </c>
      <c r="BE234" s="377">
        <f t="shared" si="115"/>
        <v>0</v>
      </c>
      <c r="BF234" s="377">
        <f t="shared" si="116"/>
        <v>0</v>
      </c>
      <c r="BG234" s="328"/>
    </row>
    <row r="235" spans="2:59">
      <c r="B235" s="332">
        <v>220</v>
      </c>
      <c r="C235" s="350">
        <v>131638301.43696265</v>
      </c>
      <c r="D235" s="350">
        <v>132717998.84759408</v>
      </c>
      <c r="E235" s="350">
        <v>133752455.35993223</v>
      </c>
      <c r="F235" s="350">
        <v>134789370.02511293</v>
      </c>
      <c r="G235" s="350">
        <v>135831963.81579596</v>
      </c>
      <c r="H235" s="348">
        <v>668730089.48539782</v>
      </c>
      <c r="I235" s="369"/>
      <c r="J235" s="350">
        <v>167155968.43924311</v>
      </c>
      <c r="K235" s="350">
        <v>204471785.06330132</v>
      </c>
      <c r="L235" s="350">
        <v>242290490.21971771</v>
      </c>
      <c r="M235" s="350">
        <v>280674650.03105736</v>
      </c>
      <c r="N235" s="350">
        <v>319633841.21779162</v>
      </c>
      <c r="O235" s="348">
        <v>1214226734.9711111</v>
      </c>
      <c r="P235" s="369"/>
      <c r="Q235" s="350">
        <f t="shared" si="117"/>
        <v>35517667.002280459</v>
      </c>
      <c r="R235" s="350">
        <f t="shared" si="118"/>
        <v>71753786.215707242</v>
      </c>
      <c r="S235" s="350">
        <f t="shared" si="119"/>
        <v>108538034.85978548</v>
      </c>
      <c r="T235" s="350">
        <f t="shared" si="120"/>
        <v>145885280.00594443</v>
      </c>
      <c r="U235" s="350">
        <f t="shared" si="121"/>
        <v>183801877.40199566</v>
      </c>
      <c r="V235" s="350">
        <f t="shared" si="122"/>
        <v>545496645.48571324</v>
      </c>
      <c r="W235" s="365"/>
      <c r="X235" s="377">
        <f t="shared" si="100"/>
        <v>0</v>
      </c>
      <c r="Y235" s="377">
        <f t="shared" si="101"/>
        <v>0</v>
      </c>
      <c r="Z235" s="377">
        <f t="shared" si="102"/>
        <v>0</v>
      </c>
      <c r="AA235" s="377">
        <f t="shared" si="103"/>
        <v>0</v>
      </c>
      <c r="AB235" s="377">
        <f t="shared" si="104"/>
        <v>0</v>
      </c>
      <c r="AC235" s="377">
        <f t="shared" si="105"/>
        <v>0</v>
      </c>
      <c r="AD235" s="376"/>
      <c r="AE235" s="332">
        <v>220</v>
      </c>
      <c r="AF235" s="350">
        <v>111311193.00182763</v>
      </c>
      <c r="AG235" s="350">
        <v>112224167.45946239</v>
      </c>
      <c r="AH235" s="350">
        <v>113098886.95401627</v>
      </c>
      <c r="AI235" s="350">
        <v>113975685.02237803</v>
      </c>
      <c r="AJ235" s="350">
        <v>114857285.26630703</v>
      </c>
      <c r="AK235" s="348">
        <v>565467217.70399129</v>
      </c>
      <c r="AL235" s="369"/>
      <c r="AM235" s="350">
        <v>140903643.0627892</v>
      </c>
      <c r="AN235" s="350">
        <v>171990599.91062391</v>
      </c>
      <c r="AO235" s="350">
        <v>203495723.79515487</v>
      </c>
      <c r="AP235" s="350">
        <v>235471734.18479875</v>
      </c>
      <c r="AQ235" s="350">
        <v>267926647.52994028</v>
      </c>
      <c r="AR235" s="348">
        <v>1019788348.483307</v>
      </c>
      <c r="AS235" s="369"/>
      <c r="AT235" s="350">
        <f t="shared" si="123"/>
        <v>29592450.060961574</v>
      </c>
      <c r="AU235" s="350">
        <f t="shared" si="106"/>
        <v>59766432.451161519</v>
      </c>
      <c r="AV235" s="350">
        <f t="shared" si="107"/>
        <v>90396836.841138601</v>
      </c>
      <c r="AW235" s="350">
        <f t="shared" si="108"/>
        <v>121496049.16242072</v>
      </c>
      <c r="AX235" s="350">
        <f t="shared" si="109"/>
        <v>153069362.26363325</v>
      </c>
      <c r="AY235" s="350">
        <f t="shared" si="110"/>
        <v>454321130.77931571</v>
      </c>
      <c r="AZ235" s="365"/>
      <c r="BA235" s="377">
        <f t="shared" si="111"/>
        <v>0</v>
      </c>
      <c r="BB235" s="377">
        <f t="shared" si="112"/>
        <v>0</v>
      </c>
      <c r="BC235" s="377">
        <f t="shared" si="113"/>
        <v>0</v>
      </c>
      <c r="BD235" s="377">
        <f t="shared" si="114"/>
        <v>0</v>
      </c>
      <c r="BE235" s="377">
        <f t="shared" si="115"/>
        <v>0</v>
      </c>
      <c r="BF235" s="377">
        <f t="shared" si="116"/>
        <v>0</v>
      </c>
      <c r="BG235" s="328"/>
    </row>
    <row r="236" spans="2:59">
      <c r="B236" s="332">
        <v>221</v>
      </c>
      <c r="C236" s="350">
        <v>110502349.83629176</v>
      </c>
      <c r="D236" s="350">
        <v>111408690.16190033</v>
      </c>
      <c r="E236" s="350">
        <v>112277053.50424835</v>
      </c>
      <c r="F236" s="350">
        <v>113147480.31644064</v>
      </c>
      <c r="G236" s="350">
        <v>114022674.40917486</v>
      </c>
      <c r="H236" s="348">
        <v>561358248.22805595</v>
      </c>
      <c r="I236" s="369"/>
      <c r="J236" s="350">
        <v>141516196.26177707</v>
      </c>
      <c r="K236" s="350">
        <v>174050420.64067543</v>
      </c>
      <c r="L236" s="350">
        <v>207025084.36569968</v>
      </c>
      <c r="M236" s="350">
        <v>240493209.00157881</v>
      </c>
      <c r="N236" s="350">
        <v>274463046.13387001</v>
      </c>
      <c r="O236" s="348">
        <v>1037547956.4036009</v>
      </c>
      <c r="P236" s="369"/>
      <c r="Q236" s="350">
        <f t="shared" si="117"/>
        <v>31013846.425485313</v>
      </c>
      <c r="R236" s="350">
        <f t="shared" si="118"/>
        <v>62641730.478775099</v>
      </c>
      <c r="S236" s="350">
        <f t="shared" si="119"/>
        <v>94748030.861451328</v>
      </c>
      <c r="T236" s="350">
        <f t="shared" si="120"/>
        <v>127345728.68513817</v>
      </c>
      <c r="U236" s="350">
        <f t="shared" si="121"/>
        <v>160440371.72469515</v>
      </c>
      <c r="V236" s="350">
        <f t="shared" si="122"/>
        <v>476189708.17554498</v>
      </c>
      <c r="W236" s="365"/>
      <c r="X236" s="377">
        <f t="shared" si="100"/>
        <v>0</v>
      </c>
      <c r="Y236" s="377">
        <f t="shared" si="101"/>
        <v>0</v>
      </c>
      <c r="Z236" s="377">
        <f t="shared" si="102"/>
        <v>0</v>
      </c>
      <c r="AA236" s="377">
        <f t="shared" si="103"/>
        <v>0</v>
      </c>
      <c r="AB236" s="377">
        <f t="shared" si="104"/>
        <v>0</v>
      </c>
      <c r="AC236" s="377">
        <f t="shared" si="105"/>
        <v>0</v>
      </c>
      <c r="AD236" s="376"/>
      <c r="AE236" s="332">
        <v>221</v>
      </c>
      <c r="AF236" s="350">
        <v>142692394.60461256</v>
      </c>
      <c r="AG236" s="350">
        <v>143862757.69263199</v>
      </c>
      <c r="AH236" s="350">
        <v>144984080.85806769</v>
      </c>
      <c r="AI236" s="350">
        <v>146108068.59537622</v>
      </c>
      <c r="AJ236" s="350">
        <v>147238212.3526907</v>
      </c>
      <c r="AK236" s="348">
        <v>724885514.10337913</v>
      </c>
      <c r="AL236" s="369"/>
      <c r="AM236" s="350">
        <v>183571523.28643188</v>
      </c>
      <c r="AN236" s="350">
        <v>226415750.35771048</v>
      </c>
      <c r="AO236" s="350">
        <v>269841306.68165189</v>
      </c>
      <c r="AP236" s="350">
        <v>313917006.25036108</v>
      </c>
      <c r="AQ236" s="350">
        <v>358653650.76211941</v>
      </c>
      <c r="AR236" s="348">
        <v>1352399237.3382747</v>
      </c>
      <c r="AS236" s="369"/>
      <c r="AT236" s="350">
        <f t="shared" si="123"/>
        <v>40879128.68181932</v>
      </c>
      <c r="AU236" s="350">
        <f t="shared" si="106"/>
        <v>82552992.665078491</v>
      </c>
      <c r="AV236" s="350">
        <f t="shared" si="107"/>
        <v>124857225.8235842</v>
      </c>
      <c r="AW236" s="350">
        <f t="shared" si="108"/>
        <v>167808937.65498486</v>
      </c>
      <c r="AX236" s="350">
        <f t="shared" si="109"/>
        <v>211415438.40942872</v>
      </c>
      <c r="AY236" s="350">
        <f t="shared" si="110"/>
        <v>627513723.23489559</v>
      </c>
      <c r="AZ236" s="365"/>
      <c r="BA236" s="377">
        <f t="shared" si="111"/>
        <v>0</v>
      </c>
      <c r="BB236" s="377">
        <f t="shared" si="112"/>
        <v>0</v>
      </c>
      <c r="BC236" s="377">
        <f t="shared" si="113"/>
        <v>0</v>
      </c>
      <c r="BD236" s="377">
        <f t="shared" si="114"/>
        <v>0</v>
      </c>
      <c r="BE236" s="377">
        <f t="shared" si="115"/>
        <v>0</v>
      </c>
      <c r="BF236" s="377">
        <f t="shared" si="116"/>
        <v>0</v>
      </c>
      <c r="BG236" s="328"/>
    </row>
    <row r="237" spans="2:59">
      <c r="B237" s="332">
        <v>222</v>
      </c>
      <c r="C237" s="350">
        <v>174982402.77411744</v>
      </c>
      <c r="D237" s="350">
        <v>176417608.52441156</v>
      </c>
      <c r="E237" s="350">
        <v>177792677.05779701</v>
      </c>
      <c r="F237" s="350">
        <v>179171013.13175437</v>
      </c>
      <c r="G237" s="350">
        <v>180556898.2777918</v>
      </c>
      <c r="H237" s="348">
        <v>888920599.76587224</v>
      </c>
      <c r="I237" s="369"/>
      <c r="J237" s="350">
        <v>211869101.3803426</v>
      </c>
      <c r="K237" s="350">
        <v>250933147.68331909</v>
      </c>
      <c r="L237" s="350">
        <v>290506251.49424279</v>
      </c>
      <c r="M237" s="350">
        <v>330667257.47217137</v>
      </c>
      <c r="N237" s="350">
        <v>371427047.26824749</v>
      </c>
      <c r="O237" s="348">
        <v>1455402805.2983232</v>
      </c>
      <c r="P237" s="369"/>
      <c r="Q237" s="350">
        <f t="shared" si="117"/>
        <v>36886698.606225163</v>
      </c>
      <c r="R237" s="350">
        <f t="shared" si="118"/>
        <v>74515539.158907533</v>
      </c>
      <c r="S237" s="350">
        <f t="shared" si="119"/>
        <v>112713574.43644577</v>
      </c>
      <c r="T237" s="350">
        <f t="shared" si="120"/>
        <v>151496244.340417</v>
      </c>
      <c r="U237" s="350">
        <f t="shared" si="121"/>
        <v>190870148.99045569</v>
      </c>
      <c r="V237" s="350">
        <f t="shared" si="122"/>
        <v>566482205.53245091</v>
      </c>
      <c r="W237" s="365"/>
      <c r="X237" s="377">
        <f t="shared" si="100"/>
        <v>0</v>
      </c>
      <c r="Y237" s="377">
        <f t="shared" si="101"/>
        <v>0</v>
      </c>
      <c r="Z237" s="377">
        <f t="shared" si="102"/>
        <v>0</v>
      </c>
      <c r="AA237" s="377">
        <f t="shared" si="103"/>
        <v>0</v>
      </c>
      <c r="AB237" s="377">
        <f t="shared" si="104"/>
        <v>0</v>
      </c>
      <c r="AC237" s="377">
        <f t="shared" si="105"/>
        <v>0</v>
      </c>
      <c r="AD237" s="376"/>
      <c r="AE237" s="332">
        <v>222</v>
      </c>
      <c r="AF237" s="350">
        <v>112063931.92071919</v>
      </c>
      <c r="AG237" s="350">
        <v>112983080.3433226</v>
      </c>
      <c r="AH237" s="350">
        <v>113863715.10469654</v>
      </c>
      <c r="AI237" s="350">
        <v>114746442.49617727</v>
      </c>
      <c r="AJ237" s="350">
        <v>115634004.53780708</v>
      </c>
      <c r="AK237" s="348">
        <v>569291174.4027226</v>
      </c>
      <c r="AL237" s="369"/>
      <c r="AM237" s="350">
        <v>139609322.01989296</v>
      </c>
      <c r="AN237" s="350">
        <v>168609105.11670855</v>
      </c>
      <c r="AO237" s="350">
        <v>197995129.05449539</v>
      </c>
      <c r="AP237" s="350">
        <v>227819528.9216367</v>
      </c>
      <c r="AQ237" s="350">
        <v>258089972.5285542</v>
      </c>
      <c r="AR237" s="348">
        <v>992123057.6412878</v>
      </c>
      <c r="AS237" s="369"/>
      <c r="AT237" s="350">
        <f t="shared" si="123"/>
        <v>27545390.099173769</v>
      </c>
      <c r="AU237" s="350">
        <f t="shared" si="106"/>
        <v>55626024.773385942</v>
      </c>
      <c r="AV237" s="350">
        <f t="shared" si="107"/>
        <v>84131413.949798852</v>
      </c>
      <c r="AW237" s="350">
        <f t="shared" si="108"/>
        <v>113073086.42545943</v>
      </c>
      <c r="AX237" s="350">
        <f t="shared" si="109"/>
        <v>142455967.99074712</v>
      </c>
      <c r="AY237" s="350">
        <f t="shared" si="110"/>
        <v>422831883.23856521</v>
      </c>
      <c r="AZ237" s="365"/>
      <c r="BA237" s="377">
        <f t="shared" si="111"/>
        <v>0</v>
      </c>
      <c r="BB237" s="377">
        <f t="shared" si="112"/>
        <v>0</v>
      </c>
      <c r="BC237" s="377">
        <f t="shared" si="113"/>
        <v>0</v>
      </c>
      <c r="BD237" s="377">
        <f t="shared" si="114"/>
        <v>0</v>
      </c>
      <c r="BE237" s="377">
        <f t="shared" si="115"/>
        <v>0</v>
      </c>
      <c r="BF237" s="377">
        <f t="shared" si="116"/>
        <v>0</v>
      </c>
      <c r="BG237" s="328"/>
    </row>
    <row r="238" spans="2:59">
      <c r="B238" s="332">
        <v>223</v>
      </c>
      <c r="C238" s="350">
        <v>146489406.18713754</v>
      </c>
      <c r="D238" s="350">
        <v>147690912.36595228</v>
      </c>
      <c r="E238" s="350">
        <v>148842073.68119767</v>
      </c>
      <c r="F238" s="350">
        <v>149995970.47195643</v>
      </c>
      <c r="G238" s="350">
        <v>151156187.09298825</v>
      </c>
      <c r="H238" s="348">
        <v>744174549.79923224</v>
      </c>
      <c r="I238" s="369"/>
      <c r="J238" s="350">
        <v>179188296.29544115</v>
      </c>
      <c r="K238" s="350">
        <v>213762758.7274586</v>
      </c>
      <c r="L238" s="350">
        <v>248791701.63232565</v>
      </c>
      <c r="M238" s="350">
        <v>284341893.23197448</v>
      </c>
      <c r="N238" s="350">
        <v>320422771.14806688</v>
      </c>
      <c r="O238" s="348">
        <v>1246507421.0352669</v>
      </c>
      <c r="P238" s="369"/>
      <c r="Q238" s="350">
        <f t="shared" si="117"/>
        <v>32698890.108303607</v>
      </c>
      <c r="R238" s="350">
        <f t="shared" si="118"/>
        <v>66071846.361506313</v>
      </c>
      <c r="S238" s="350">
        <f t="shared" si="119"/>
        <v>99949627.951127976</v>
      </c>
      <c r="T238" s="350">
        <f t="shared" si="120"/>
        <v>134345922.76001805</v>
      </c>
      <c r="U238" s="350">
        <f t="shared" si="121"/>
        <v>169266584.05507863</v>
      </c>
      <c r="V238" s="350">
        <f t="shared" si="122"/>
        <v>502332871.23603463</v>
      </c>
      <c r="W238" s="365"/>
      <c r="X238" s="377">
        <f t="shared" si="100"/>
        <v>0</v>
      </c>
      <c r="Y238" s="377">
        <f t="shared" si="101"/>
        <v>0</v>
      </c>
      <c r="Z238" s="377">
        <f t="shared" si="102"/>
        <v>0</v>
      </c>
      <c r="AA238" s="377">
        <f t="shared" si="103"/>
        <v>0</v>
      </c>
      <c r="AB238" s="377">
        <f t="shared" si="104"/>
        <v>0</v>
      </c>
      <c r="AC238" s="377">
        <f t="shared" si="105"/>
        <v>0</v>
      </c>
      <c r="AD238" s="376"/>
      <c r="AE238" s="332">
        <v>223</v>
      </c>
      <c r="AF238" s="350">
        <v>142257096.17152846</v>
      </c>
      <c r="AG238" s="350">
        <v>143423888.94159392</v>
      </c>
      <c r="AH238" s="350">
        <v>144541791.39061192</v>
      </c>
      <c r="AI238" s="350">
        <v>145662350.28294098</v>
      </c>
      <c r="AJ238" s="350">
        <v>146789046.41567752</v>
      </c>
      <c r="AK238" s="348">
        <v>722674173.20235276</v>
      </c>
      <c r="AL238" s="369"/>
      <c r="AM238" s="350">
        <v>177085062.51189572</v>
      </c>
      <c r="AN238" s="350">
        <v>213792757.52570295</v>
      </c>
      <c r="AO238" s="350">
        <v>250989179.27575386</v>
      </c>
      <c r="AP238" s="350">
        <v>288740453.36994356</v>
      </c>
      <c r="AQ238" s="350">
        <v>327056294.2214722</v>
      </c>
      <c r="AR238" s="348">
        <v>1257663746.9047685</v>
      </c>
      <c r="AS238" s="369"/>
      <c r="AT238" s="350">
        <f t="shared" si="123"/>
        <v>34827966.340367258</v>
      </c>
      <c r="AU238" s="350">
        <f t="shared" si="106"/>
        <v>70368868.584109038</v>
      </c>
      <c r="AV238" s="350">
        <f t="shared" si="107"/>
        <v>106447387.88514194</v>
      </c>
      <c r="AW238" s="350">
        <f t="shared" si="108"/>
        <v>143078103.08700258</v>
      </c>
      <c r="AX238" s="350">
        <f t="shared" si="109"/>
        <v>180267247.80579469</v>
      </c>
      <c r="AY238" s="350">
        <f t="shared" si="110"/>
        <v>534989573.7024157</v>
      </c>
      <c r="AZ238" s="365"/>
      <c r="BA238" s="377">
        <f t="shared" si="111"/>
        <v>0</v>
      </c>
      <c r="BB238" s="377">
        <f t="shared" si="112"/>
        <v>0</v>
      </c>
      <c r="BC238" s="377">
        <f t="shared" si="113"/>
        <v>0</v>
      </c>
      <c r="BD238" s="377">
        <f t="shared" si="114"/>
        <v>0</v>
      </c>
      <c r="BE238" s="377">
        <f t="shared" si="115"/>
        <v>0</v>
      </c>
      <c r="BF238" s="377">
        <f t="shared" si="116"/>
        <v>0</v>
      </c>
      <c r="BG238" s="328"/>
    </row>
    <row r="239" spans="2:59">
      <c r="B239" s="332">
        <v>224</v>
      </c>
      <c r="C239" s="350">
        <v>138064024.45673916</v>
      </c>
      <c r="D239" s="350">
        <v>139196425.65061721</v>
      </c>
      <c r="E239" s="350">
        <v>140281377.58071554</v>
      </c>
      <c r="F239" s="350">
        <v>141368907.6546402</v>
      </c>
      <c r="G239" s="350">
        <v>142462394.07192153</v>
      </c>
      <c r="H239" s="348">
        <v>701373129.41463375</v>
      </c>
      <c r="I239" s="369"/>
      <c r="J239" s="350">
        <v>167126075.79939452</v>
      </c>
      <c r="K239" s="350">
        <v>197913868.64019537</v>
      </c>
      <c r="L239" s="350">
        <v>229102800.11634845</v>
      </c>
      <c r="M239" s="350">
        <v>260755062.80366188</v>
      </c>
      <c r="N239" s="350">
        <v>292879236.27758968</v>
      </c>
      <c r="O239" s="348">
        <v>1147777043.6371899</v>
      </c>
      <c r="P239" s="369"/>
      <c r="Q239" s="350">
        <f t="shared" si="117"/>
        <v>29062051.342655361</v>
      </c>
      <c r="R239" s="350">
        <f t="shared" si="118"/>
        <v>58717442.989578158</v>
      </c>
      <c r="S239" s="350">
        <f t="shared" si="119"/>
        <v>88821422.535632908</v>
      </c>
      <c r="T239" s="350">
        <f t="shared" si="120"/>
        <v>119386155.14902169</v>
      </c>
      <c r="U239" s="350">
        <f t="shared" si="121"/>
        <v>150416842.20566815</v>
      </c>
      <c r="V239" s="350">
        <f t="shared" si="122"/>
        <v>446403914.22255611</v>
      </c>
      <c r="W239" s="365"/>
      <c r="X239" s="377">
        <f t="shared" si="100"/>
        <v>0</v>
      </c>
      <c r="Y239" s="377">
        <f t="shared" si="101"/>
        <v>0</v>
      </c>
      <c r="Z239" s="377">
        <f t="shared" si="102"/>
        <v>0</v>
      </c>
      <c r="AA239" s="377">
        <f t="shared" si="103"/>
        <v>0</v>
      </c>
      <c r="AB239" s="377">
        <f t="shared" si="104"/>
        <v>0</v>
      </c>
      <c r="AC239" s="377">
        <f t="shared" si="105"/>
        <v>0</v>
      </c>
      <c r="AD239" s="376"/>
      <c r="AE239" s="332">
        <v>224</v>
      </c>
      <c r="AF239" s="350">
        <v>117977547.58569628</v>
      </c>
      <c r="AG239" s="350">
        <v>118945199.48678011</v>
      </c>
      <c r="AH239" s="350">
        <v>119872305.36005175</v>
      </c>
      <c r="AI239" s="350">
        <v>120801614.29155782</v>
      </c>
      <c r="AJ239" s="350">
        <v>121736012.99778661</v>
      </c>
      <c r="AK239" s="348">
        <v>599332679.72187257</v>
      </c>
      <c r="AL239" s="369"/>
      <c r="AM239" s="350">
        <v>153805540.87422866</v>
      </c>
      <c r="AN239" s="350">
        <v>191291689.06409478</v>
      </c>
      <c r="AO239" s="350">
        <v>229289676.24402872</v>
      </c>
      <c r="AP239" s="350">
        <v>267857246.56684637</v>
      </c>
      <c r="AQ239" s="350">
        <v>307003692.80412209</v>
      </c>
      <c r="AR239" s="348">
        <v>1149247845.5533206</v>
      </c>
      <c r="AS239" s="369"/>
      <c r="AT239" s="350">
        <f t="shared" si="123"/>
        <v>35827993.288532376</v>
      </c>
      <c r="AU239" s="350">
        <f t="shared" si="106"/>
        <v>72346489.577314675</v>
      </c>
      <c r="AV239" s="350">
        <f t="shared" si="107"/>
        <v>109417370.88397697</v>
      </c>
      <c r="AW239" s="350">
        <f t="shared" si="108"/>
        <v>147055632.27528855</v>
      </c>
      <c r="AX239" s="350">
        <f t="shared" si="109"/>
        <v>185267679.80633548</v>
      </c>
      <c r="AY239" s="350">
        <f t="shared" si="110"/>
        <v>549915165.83144808</v>
      </c>
      <c r="AZ239" s="365"/>
      <c r="BA239" s="377">
        <f t="shared" si="111"/>
        <v>0</v>
      </c>
      <c r="BB239" s="377">
        <f t="shared" si="112"/>
        <v>0</v>
      </c>
      <c r="BC239" s="377">
        <f t="shared" si="113"/>
        <v>0</v>
      </c>
      <c r="BD239" s="377">
        <f t="shared" si="114"/>
        <v>0</v>
      </c>
      <c r="BE239" s="377">
        <f t="shared" si="115"/>
        <v>0</v>
      </c>
      <c r="BF239" s="377">
        <f t="shared" si="116"/>
        <v>0</v>
      </c>
      <c r="BG239" s="328"/>
    </row>
    <row r="240" spans="2:59">
      <c r="B240" s="332">
        <v>225</v>
      </c>
      <c r="C240" s="350">
        <v>117496280.83758131</v>
      </c>
      <c r="D240" s="350">
        <v>118459985.38856949</v>
      </c>
      <c r="E240" s="350">
        <v>119383309.31147924</v>
      </c>
      <c r="F240" s="350">
        <v>120308827.30567044</v>
      </c>
      <c r="G240" s="350">
        <v>121239414.3118259</v>
      </c>
      <c r="H240" s="348">
        <v>596887817.15512645</v>
      </c>
      <c r="I240" s="369"/>
      <c r="J240" s="350">
        <v>148654623.51149103</v>
      </c>
      <c r="K240" s="350">
        <v>181387230.35807735</v>
      </c>
      <c r="L240" s="350">
        <v>214560003.07470191</v>
      </c>
      <c r="M240" s="350">
        <v>248228557.60027587</v>
      </c>
      <c r="N240" s="350">
        <v>282401341.53033721</v>
      </c>
      <c r="O240" s="348">
        <v>1075231756.0748835</v>
      </c>
      <c r="P240" s="369"/>
      <c r="Q240" s="350">
        <f t="shared" si="117"/>
        <v>31158342.673909724</v>
      </c>
      <c r="R240" s="350">
        <f t="shared" si="118"/>
        <v>62927244.969507858</v>
      </c>
      <c r="S240" s="350">
        <f t="shared" si="119"/>
        <v>95176693.763222665</v>
      </c>
      <c r="T240" s="350">
        <f t="shared" si="120"/>
        <v>127919730.29460543</v>
      </c>
      <c r="U240" s="350">
        <f t="shared" si="121"/>
        <v>161161927.21851131</v>
      </c>
      <c r="V240" s="350">
        <f t="shared" si="122"/>
        <v>478343938.91975701</v>
      </c>
      <c r="W240" s="365"/>
      <c r="X240" s="377">
        <f t="shared" si="100"/>
        <v>0</v>
      </c>
      <c r="Y240" s="377">
        <f t="shared" si="101"/>
        <v>0</v>
      </c>
      <c r="Z240" s="377">
        <f t="shared" si="102"/>
        <v>0</v>
      </c>
      <c r="AA240" s="377">
        <f t="shared" si="103"/>
        <v>0</v>
      </c>
      <c r="AB240" s="377">
        <f t="shared" si="104"/>
        <v>0</v>
      </c>
      <c r="AC240" s="377">
        <f t="shared" si="105"/>
        <v>0</v>
      </c>
      <c r="AD240" s="376"/>
      <c r="AE240" s="332">
        <v>225</v>
      </c>
      <c r="AF240" s="350">
        <v>138040446.70668834</v>
      </c>
      <c r="AG240" s="350">
        <v>139172654.51584929</v>
      </c>
      <c r="AH240" s="350">
        <v>140257421.16433257</v>
      </c>
      <c r="AI240" s="350">
        <v>141344765.51636225</v>
      </c>
      <c r="AJ240" s="350">
        <v>142438065.19455975</v>
      </c>
      <c r="AK240" s="348">
        <v>701253353.09779215</v>
      </c>
      <c r="AL240" s="369"/>
      <c r="AM240" s="350">
        <v>167517372.71630716</v>
      </c>
      <c r="AN240" s="350">
        <v>198733352.21592814</v>
      </c>
      <c r="AO240" s="350">
        <v>230356960.7526274</v>
      </c>
      <c r="AP240" s="350">
        <v>262450556.30219707</v>
      </c>
      <c r="AQ240" s="350">
        <v>295022792.88388592</v>
      </c>
      <c r="AR240" s="348">
        <v>1154081034.8709457</v>
      </c>
      <c r="AS240" s="369"/>
      <c r="AT240" s="350">
        <f t="shared" si="123"/>
        <v>29476926.009618819</v>
      </c>
      <c r="AU240" s="350">
        <f t="shared" si="106"/>
        <v>59560697.700078845</v>
      </c>
      <c r="AV240" s="350">
        <f t="shared" si="107"/>
        <v>90099539.588294834</v>
      </c>
      <c r="AW240" s="350">
        <f t="shared" si="108"/>
        <v>121105790.78583482</v>
      </c>
      <c r="AX240" s="350">
        <f t="shared" si="109"/>
        <v>152584727.68932617</v>
      </c>
      <c r="AY240" s="350">
        <f t="shared" si="110"/>
        <v>452827681.77315354</v>
      </c>
      <c r="AZ240" s="365"/>
      <c r="BA240" s="377">
        <f t="shared" si="111"/>
        <v>0</v>
      </c>
      <c r="BB240" s="377">
        <f t="shared" si="112"/>
        <v>0</v>
      </c>
      <c r="BC240" s="377">
        <f t="shared" si="113"/>
        <v>0</v>
      </c>
      <c r="BD240" s="377">
        <f t="shared" si="114"/>
        <v>0</v>
      </c>
      <c r="BE240" s="377">
        <f t="shared" si="115"/>
        <v>0</v>
      </c>
      <c r="BF240" s="377">
        <f t="shared" si="116"/>
        <v>0</v>
      </c>
      <c r="BG240" s="328"/>
    </row>
    <row r="241" spans="2:59">
      <c r="B241" s="332">
        <v>226</v>
      </c>
      <c r="C241" s="350">
        <v>136389716.6258868</v>
      </c>
      <c r="D241" s="350">
        <v>137508385.14614448</v>
      </c>
      <c r="E241" s="350">
        <v>138580179.8217023</v>
      </c>
      <c r="F241" s="350">
        <v>139654521.37583536</v>
      </c>
      <c r="G241" s="350">
        <v>140734747.0405159</v>
      </c>
      <c r="H241" s="348">
        <v>692867550.01008487</v>
      </c>
      <c r="I241" s="369"/>
      <c r="J241" s="350">
        <v>169601630.17353806</v>
      </c>
      <c r="K241" s="350">
        <v>204621521.17414775</v>
      </c>
      <c r="L241" s="350">
        <v>240107356.78926206</v>
      </c>
      <c r="M241" s="350">
        <v>276122460.63794601</v>
      </c>
      <c r="N241" s="350">
        <v>312676115.76527065</v>
      </c>
      <c r="O241" s="348">
        <v>1203129084.5401645</v>
      </c>
      <c r="P241" s="369"/>
      <c r="Q241" s="350">
        <f t="shared" si="117"/>
        <v>33211913.547651261</v>
      </c>
      <c r="R241" s="350">
        <f t="shared" si="118"/>
        <v>67113136.028003275</v>
      </c>
      <c r="S241" s="350">
        <f t="shared" si="119"/>
        <v>101527176.96755975</v>
      </c>
      <c r="T241" s="350">
        <f t="shared" si="120"/>
        <v>136467939.26211065</v>
      </c>
      <c r="U241" s="350">
        <f t="shared" si="121"/>
        <v>171941368.72475475</v>
      </c>
      <c r="V241" s="350">
        <f t="shared" si="122"/>
        <v>510261534.5300796</v>
      </c>
      <c r="W241" s="365"/>
      <c r="X241" s="377">
        <f t="shared" si="100"/>
        <v>0</v>
      </c>
      <c r="Y241" s="377">
        <f t="shared" si="101"/>
        <v>0</v>
      </c>
      <c r="Z241" s="377">
        <f t="shared" si="102"/>
        <v>0</v>
      </c>
      <c r="AA241" s="377">
        <f t="shared" si="103"/>
        <v>0</v>
      </c>
      <c r="AB241" s="377">
        <f t="shared" si="104"/>
        <v>0</v>
      </c>
      <c r="AC241" s="377">
        <f t="shared" si="105"/>
        <v>0</v>
      </c>
      <c r="AD241" s="376"/>
      <c r="AE241" s="332">
        <v>226</v>
      </c>
      <c r="AF241" s="350">
        <v>133798450.96343519</v>
      </c>
      <c r="AG241" s="350">
        <v>134895865.92150417</v>
      </c>
      <c r="AH241" s="350">
        <v>135947297.59016761</v>
      </c>
      <c r="AI241" s="350">
        <v>137001227.74930814</v>
      </c>
      <c r="AJ241" s="350">
        <v>138060930.22689047</v>
      </c>
      <c r="AK241" s="348">
        <v>679703772.45130551</v>
      </c>
      <c r="AL241" s="369"/>
      <c r="AM241" s="350">
        <v>165834731.65757829</v>
      </c>
      <c r="AN241" s="350">
        <v>199620978.79600686</v>
      </c>
      <c r="AO241" s="350">
        <v>233855715.75845549</v>
      </c>
      <c r="AP241" s="350">
        <v>268600834.40028846</v>
      </c>
      <c r="AQ241" s="350">
        <v>303865342.00686783</v>
      </c>
      <c r="AR241" s="348">
        <v>1171777602.6191969</v>
      </c>
      <c r="AS241" s="369"/>
      <c r="AT241" s="350">
        <f t="shared" si="123"/>
        <v>32036280.694143102</v>
      </c>
      <c r="AU241" s="350">
        <f t="shared" si="106"/>
        <v>64725112.874502689</v>
      </c>
      <c r="AV241" s="350">
        <f t="shared" si="107"/>
        <v>97908418.168287873</v>
      </c>
      <c r="AW241" s="350">
        <f t="shared" si="108"/>
        <v>131599606.65098032</v>
      </c>
      <c r="AX241" s="350">
        <f t="shared" si="109"/>
        <v>165804411.77997735</v>
      </c>
      <c r="AY241" s="350">
        <f t="shared" si="110"/>
        <v>492073830.16789138</v>
      </c>
      <c r="AZ241" s="365"/>
      <c r="BA241" s="377">
        <f t="shared" si="111"/>
        <v>0</v>
      </c>
      <c r="BB241" s="377">
        <f t="shared" si="112"/>
        <v>0</v>
      </c>
      <c r="BC241" s="377">
        <f t="shared" si="113"/>
        <v>0</v>
      </c>
      <c r="BD241" s="377">
        <f t="shared" si="114"/>
        <v>0</v>
      </c>
      <c r="BE241" s="377">
        <f t="shared" si="115"/>
        <v>0</v>
      </c>
      <c r="BF241" s="377">
        <f t="shared" si="116"/>
        <v>0</v>
      </c>
      <c r="BG241" s="328"/>
    </row>
    <row r="242" spans="2:59">
      <c r="B242" s="332">
        <v>227</v>
      </c>
      <c r="C242" s="350">
        <v>129737832.65232062</v>
      </c>
      <c r="D242" s="350">
        <v>130801942.41708176</v>
      </c>
      <c r="E242" s="350">
        <v>131821464.4286758</v>
      </c>
      <c r="F242" s="350">
        <v>132843409.10463603</v>
      </c>
      <c r="G242" s="350">
        <v>133870950.91627775</v>
      </c>
      <c r="H242" s="348">
        <v>659075599.51899195</v>
      </c>
      <c r="I242" s="369"/>
      <c r="J242" s="350">
        <v>163881463.79490021</v>
      </c>
      <c r="K242" s="350">
        <v>199751995.17524874</v>
      </c>
      <c r="L242" s="350">
        <v>236104428.88342646</v>
      </c>
      <c r="M242" s="350">
        <v>273000065.71265811</v>
      </c>
      <c r="N242" s="350">
        <v>310448185.74993509</v>
      </c>
      <c r="O242" s="348">
        <v>1183186139.3161685</v>
      </c>
      <c r="P242" s="369"/>
      <c r="Q242" s="350">
        <f t="shared" si="117"/>
        <v>34143631.142579585</v>
      </c>
      <c r="R242" s="350">
        <f t="shared" si="118"/>
        <v>68950052.758166984</v>
      </c>
      <c r="S242" s="350">
        <f t="shared" si="119"/>
        <v>104282964.45475066</v>
      </c>
      <c r="T242" s="350">
        <f t="shared" si="120"/>
        <v>140156656.60802209</v>
      </c>
      <c r="U242" s="350">
        <f t="shared" si="121"/>
        <v>176577234.83365732</v>
      </c>
      <c r="V242" s="350">
        <f t="shared" si="122"/>
        <v>524110539.7971766</v>
      </c>
      <c r="W242" s="365"/>
      <c r="X242" s="377">
        <f t="shared" si="100"/>
        <v>0</v>
      </c>
      <c r="Y242" s="377">
        <f t="shared" si="101"/>
        <v>0</v>
      </c>
      <c r="Z242" s="377">
        <f t="shared" si="102"/>
        <v>0</v>
      </c>
      <c r="AA242" s="377">
        <f t="shared" si="103"/>
        <v>0</v>
      </c>
      <c r="AB242" s="377">
        <f t="shared" si="104"/>
        <v>0</v>
      </c>
      <c r="AC242" s="377">
        <f t="shared" si="105"/>
        <v>0</v>
      </c>
      <c r="AD242" s="376"/>
      <c r="AE242" s="332">
        <v>227</v>
      </c>
      <c r="AF242" s="350">
        <v>132702021.77048597</v>
      </c>
      <c r="AG242" s="350">
        <v>133790443.81579591</v>
      </c>
      <c r="AH242" s="350">
        <v>134833259.38787818</v>
      </c>
      <c r="AI242" s="350">
        <v>135878552.97622517</v>
      </c>
      <c r="AJ242" s="350">
        <v>136929571.58098316</v>
      </c>
      <c r="AK242" s="348">
        <v>674133849.53136837</v>
      </c>
      <c r="AL242" s="369"/>
      <c r="AM242" s="350">
        <v>169269312.42410561</v>
      </c>
      <c r="AN242" s="350">
        <v>207664050.09182179</v>
      </c>
      <c r="AO242" s="350">
        <v>246577498.84977913</v>
      </c>
      <c r="AP242" s="350">
        <v>286073049.57629925</v>
      </c>
      <c r="AQ242" s="350">
        <v>326160492.74479449</v>
      </c>
      <c r="AR242" s="348">
        <v>1235744403.6868005</v>
      </c>
      <c r="AS242" s="369"/>
      <c r="AT242" s="350">
        <f t="shared" si="123"/>
        <v>36567290.653619647</v>
      </c>
      <c r="AU242" s="350">
        <f t="shared" si="106"/>
        <v>73873606.276025876</v>
      </c>
      <c r="AV242" s="350">
        <f t="shared" si="107"/>
        <v>111744239.46190095</v>
      </c>
      <c r="AW242" s="350">
        <f t="shared" si="108"/>
        <v>150194496.60007408</v>
      </c>
      <c r="AX242" s="350">
        <f t="shared" si="109"/>
        <v>189230921.16381133</v>
      </c>
      <c r="AY242" s="350">
        <f t="shared" si="110"/>
        <v>561610554.15543211</v>
      </c>
      <c r="AZ242" s="365"/>
      <c r="BA242" s="377">
        <f t="shared" si="111"/>
        <v>0</v>
      </c>
      <c r="BB242" s="377">
        <f t="shared" si="112"/>
        <v>0</v>
      </c>
      <c r="BC242" s="377">
        <f t="shared" si="113"/>
        <v>0</v>
      </c>
      <c r="BD242" s="377">
        <f t="shared" si="114"/>
        <v>0</v>
      </c>
      <c r="BE242" s="377">
        <f t="shared" si="115"/>
        <v>0</v>
      </c>
      <c r="BF242" s="377">
        <f t="shared" si="116"/>
        <v>0</v>
      </c>
      <c r="BG242" s="328"/>
    </row>
    <row r="243" spans="2:59">
      <c r="B243" s="332">
        <v>228</v>
      </c>
      <c r="C243" s="350">
        <v>135335662.11529136</v>
      </c>
      <c r="D243" s="350">
        <v>136445685.27995473</v>
      </c>
      <c r="E243" s="350">
        <v>137509196.8529433</v>
      </c>
      <c r="F243" s="350">
        <v>138575235.62157997</v>
      </c>
      <c r="G243" s="350">
        <v>139647113.02685735</v>
      </c>
      <c r="H243" s="348">
        <v>687512892.89662671</v>
      </c>
      <c r="I243" s="369"/>
      <c r="J243" s="350">
        <v>169070774.17009136</v>
      </c>
      <c r="K243" s="350">
        <v>204569940.64019811</v>
      </c>
      <c r="L243" s="350">
        <v>240542773.36671516</v>
      </c>
      <c r="M243" s="350">
        <v>277052430.48620087</v>
      </c>
      <c r="N243" s="350">
        <v>314108255.87676579</v>
      </c>
      <c r="O243" s="348">
        <v>1205344174.5399714</v>
      </c>
      <c r="P243" s="369"/>
      <c r="Q243" s="350">
        <f t="shared" si="117"/>
        <v>33735112.054800004</v>
      </c>
      <c r="R243" s="350">
        <f t="shared" si="118"/>
        <v>68124255.36024338</v>
      </c>
      <c r="S243" s="350">
        <f t="shared" si="119"/>
        <v>103033576.51377186</v>
      </c>
      <c r="T243" s="350">
        <f t="shared" si="120"/>
        <v>138477194.86462089</v>
      </c>
      <c r="U243" s="350">
        <f t="shared" si="121"/>
        <v>174461142.84990844</v>
      </c>
      <c r="V243" s="350">
        <f t="shared" si="122"/>
        <v>517831281.64334464</v>
      </c>
      <c r="W243" s="365"/>
      <c r="X243" s="377">
        <f t="shared" si="100"/>
        <v>0</v>
      </c>
      <c r="Y243" s="377">
        <f t="shared" si="101"/>
        <v>0</v>
      </c>
      <c r="Z243" s="377">
        <f t="shared" si="102"/>
        <v>0</v>
      </c>
      <c r="AA243" s="377">
        <f t="shared" si="103"/>
        <v>0</v>
      </c>
      <c r="AB243" s="377">
        <f t="shared" si="104"/>
        <v>0</v>
      </c>
      <c r="AC243" s="377">
        <f t="shared" si="105"/>
        <v>0</v>
      </c>
      <c r="AD243" s="376"/>
      <c r="AE243" s="332">
        <v>228</v>
      </c>
      <c r="AF243" s="350">
        <v>143317236.79923534</v>
      </c>
      <c r="AG243" s="350">
        <v>144492724.84323058</v>
      </c>
      <c r="AH243" s="350">
        <v>145618958.22150216</v>
      </c>
      <c r="AI243" s="350">
        <v>146747867.83966118</v>
      </c>
      <c r="AJ243" s="350">
        <v>147882960.43470103</v>
      </c>
      <c r="AK243" s="348">
        <v>728059748.13833022</v>
      </c>
      <c r="AL243" s="369"/>
      <c r="AM243" s="350">
        <v>178649095.83636677</v>
      </c>
      <c r="AN243" s="350">
        <v>215859498.09388554</v>
      </c>
      <c r="AO243" s="350">
        <v>253565726.18879491</v>
      </c>
      <c r="AP243" s="350">
        <v>291834499.67549258</v>
      </c>
      <c r="AQ243" s="350">
        <v>330675646.01264882</v>
      </c>
      <c r="AR243" s="348">
        <v>1270584465.8071885</v>
      </c>
      <c r="AS243" s="369"/>
      <c r="AT243" s="350">
        <f t="shared" si="123"/>
        <v>35331859.037131429</v>
      </c>
      <c r="AU243" s="350">
        <f t="shared" si="106"/>
        <v>71366773.250654966</v>
      </c>
      <c r="AV243" s="350">
        <f t="shared" si="107"/>
        <v>107946767.96729276</v>
      </c>
      <c r="AW243" s="350">
        <f t="shared" si="108"/>
        <v>145086631.8358314</v>
      </c>
      <c r="AX243" s="350">
        <f t="shared" si="109"/>
        <v>182792685.5779478</v>
      </c>
      <c r="AY243" s="350">
        <f t="shared" si="110"/>
        <v>542524717.66885829</v>
      </c>
      <c r="AZ243" s="365"/>
      <c r="BA243" s="377">
        <f t="shared" si="111"/>
        <v>0</v>
      </c>
      <c r="BB243" s="377">
        <f t="shared" si="112"/>
        <v>0</v>
      </c>
      <c r="BC243" s="377">
        <f t="shared" si="113"/>
        <v>0</v>
      </c>
      <c r="BD243" s="377">
        <f t="shared" si="114"/>
        <v>0</v>
      </c>
      <c r="BE243" s="377">
        <f t="shared" si="115"/>
        <v>0</v>
      </c>
      <c r="BF243" s="377">
        <f t="shared" si="116"/>
        <v>0</v>
      </c>
      <c r="BG243" s="328"/>
    </row>
    <row r="244" spans="2:59">
      <c r="B244" s="332">
        <v>229</v>
      </c>
      <c r="C244" s="350">
        <v>129040983.38064867</v>
      </c>
      <c r="D244" s="350">
        <v>130099377.58735406</v>
      </c>
      <c r="E244" s="350">
        <v>131113423.53112185</v>
      </c>
      <c r="F244" s="350">
        <v>132129879.12661438</v>
      </c>
      <c r="G244" s="350">
        <v>133151901.7943918</v>
      </c>
      <c r="H244" s="348">
        <v>655535565.42013073</v>
      </c>
      <c r="I244" s="369"/>
      <c r="J244" s="350">
        <v>156094613.15163642</v>
      </c>
      <c r="K244" s="350">
        <v>184767019.24521863</v>
      </c>
      <c r="L244" s="350">
        <v>213812789.37561959</v>
      </c>
      <c r="M244" s="350">
        <v>243290006.36180109</v>
      </c>
      <c r="N244" s="350">
        <v>273206670.77154136</v>
      </c>
      <c r="O244" s="348">
        <v>1071171098.905817</v>
      </c>
      <c r="P244" s="369"/>
      <c r="Q244" s="350">
        <f t="shared" si="117"/>
        <v>27053629.770987749</v>
      </c>
      <c r="R244" s="350">
        <f t="shared" si="118"/>
        <v>54667641.657864571</v>
      </c>
      <c r="S244" s="350">
        <f t="shared" si="119"/>
        <v>82699365.84449774</v>
      </c>
      <c r="T244" s="350">
        <f t="shared" si="120"/>
        <v>111160127.23518671</v>
      </c>
      <c r="U244" s="350">
        <f t="shared" si="121"/>
        <v>140054768.97714955</v>
      </c>
      <c r="V244" s="350">
        <f t="shared" si="122"/>
        <v>415635533.4856863</v>
      </c>
      <c r="W244" s="365"/>
      <c r="X244" s="377">
        <f t="shared" si="100"/>
        <v>0</v>
      </c>
      <c r="Y244" s="377">
        <f t="shared" si="101"/>
        <v>0</v>
      </c>
      <c r="Z244" s="377">
        <f t="shared" si="102"/>
        <v>0</v>
      </c>
      <c r="AA244" s="377">
        <f t="shared" si="103"/>
        <v>0</v>
      </c>
      <c r="AB244" s="377">
        <f t="shared" si="104"/>
        <v>0</v>
      </c>
      <c r="AC244" s="377">
        <f t="shared" si="105"/>
        <v>0</v>
      </c>
      <c r="AD244" s="376"/>
      <c r="AE244" s="332">
        <v>229</v>
      </c>
      <c r="AF244" s="350">
        <v>133548672.2860579</v>
      </c>
      <c r="AG244" s="350">
        <v>134644038.55929694</v>
      </c>
      <c r="AH244" s="350">
        <v>135693507.3860167</v>
      </c>
      <c r="AI244" s="350">
        <v>136745470.03896183</v>
      </c>
      <c r="AJ244" s="350">
        <v>137803194.23442391</v>
      </c>
      <c r="AK244" s="348">
        <v>678434882.50475717</v>
      </c>
      <c r="AL244" s="369"/>
      <c r="AM244" s="350">
        <v>171899698.78878075</v>
      </c>
      <c r="AN244" s="350">
        <v>212092538.59108055</v>
      </c>
      <c r="AO244" s="350">
        <v>252830879.40095416</v>
      </c>
      <c r="AP244" s="350">
        <v>294179163.92800945</v>
      </c>
      <c r="AQ244" s="350">
        <v>336147518.17973977</v>
      </c>
      <c r="AR244" s="348">
        <v>1267149798.8885646</v>
      </c>
      <c r="AS244" s="369"/>
      <c r="AT244" s="350">
        <f t="shared" si="123"/>
        <v>38351026.502722844</v>
      </c>
      <c r="AU244" s="350">
        <f t="shared" si="106"/>
        <v>77448500.031783611</v>
      </c>
      <c r="AV244" s="350">
        <f t="shared" si="107"/>
        <v>117137372.01493746</v>
      </c>
      <c r="AW244" s="350">
        <f t="shared" si="108"/>
        <v>157433693.88904762</v>
      </c>
      <c r="AX244" s="350">
        <f t="shared" si="109"/>
        <v>198344323.94531587</v>
      </c>
      <c r="AY244" s="350">
        <f t="shared" si="110"/>
        <v>588714916.38380742</v>
      </c>
      <c r="AZ244" s="365"/>
      <c r="BA244" s="377">
        <f t="shared" si="111"/>
        <v>0</v>
      </c>
      <c r="BB244" s="377">
        <f t="shared" si="112"/>
        <v>0</v>
      </c>
      <c r="BC244" s="377">
        <f t="shared" si="113"/>
        <v>0</v>
      </c>
      <c r="BD244" s="377">
        <f t="shared" si="114"/>
        <v>0</v>
      </c>
      <c r="BE244" s="377">
        <f t="shared" si="115"/>
        <v>0</v>
      </c>
      <c r="BF244" s="377">
        <f t="shared" si="116"/>
        <v>0</v>
      </c>
      <c r="BG244" s="328"/>
    </row>
    <row r="245" spans="2:59">
      <c r="B245" s="332">
        <v>230</v>
      </c>
      <c r="C245" s="350">
        <v>125861371.89299865</v>
      </c>
      <c r="D245" s="350">
        <v>126893686.92477885</v>
      </c>
      <c r="E245" s="350">
        <v>127882746.44913679</v>
      </c>
      <c r="F245" s="350">
        <v>128874156.25062309</v>
      </c>
      <c r="G245" s="350">
        <v>129870995.94993597</v>
      </c>
      <c r="H245" s="348">
        <v>639382957.46747339</v>
      </c>
      <c r="I245" s="369"/>
      <c r="J245" s="350">
        <v>152115582.72711474</v>
      </c>
      <c r="K245" s="350">
        <v>179939217.65334725</v>
      </c>
      <c r="L245" s="350">
        <v>208124861.55319616</v>
      </c>
      <c r="M245" s="350">
        <v>236729110.09814537</v>
      </c>
      <c r="N245" s="350">
        <v>265759741.91909075</v>
      </c>
      <c r="O245" s="348">
        <v>1042668513.9508942</v>
      </c>
      <c r="P245" s="369"/>
      <c r="Q245" s="350">
        <f t="shared" si="117"/>
        <v>26254210.834116086</v>
      </c>
      <c r="R245" s="350">
        <f t="shared" si="118"/>
        <v>53045530.728568405</v>
      </c>
      <c r="S245" s="350">
        <f t="shared" si="119"/>
        <v>80242115.104059368</v>
      </c>
      <c r="T245" s="350">
        <f t="shared" si="120"/>
        <v>107854953.84752227</v>
      </c>
      <c r="U245" s="350">
        <f t="shared" si="121"/>
        <v>135888745.96915478</v>
      </c>
      <c r="V245" s="350">
        <f t="shared" si="122"/>
        <v>403285556.48342085</v>
      </c>
      <c r="W245" s="365"/>
      <c r="X245" s="377">
        <f t="shared" si="100"/>
        <v>0</v>
      </c>
      <c r="Y245" s="377">
        <f t="shared" si="101"/>
        <v>0</v>
      </c>
      <c r="Z245" s="377">
        <f t="shared" si="102"/>
        <v>0</v>
      </c>
      <c r="AA245" s="377">
        <f t="shared" si="103"/>
        <v>0</v>
      </c>
      <c r="AB245" s="377">
        <f t="shared" si="104"/>
        <v>0</v>
      </c>
      <c r="AC245" s="377">
        <f t="shared" si="105"/>
        <v>0</v>
      </c>
      <c r="AD245" s="376"/>
      <c r="AE245" s="332">
        <v>230</v>
      </c>
      <c r="AF245" s="350">
        <v>177923135.94013137</v>
      </c>
      <c r="AG245" s="350">
        <v>179382461.5852437</v>
      </c>
      <c r="AH245" s="350">
        <v>180780639.35462973</v>
      </c>
      <c r="AI245" s="350">
        <v>182182139.57848063</v>
      </c>
      <c r="AJ245" s="350">
        <v>183591315.74320695</v>
      </c>
      <c r="AK245" s="348">
        <v>903859692.20169234</v>
      </c>
      <c r="AL245" s="369"/>
      <c r="AM245" s="350">
        <v>213832364.07888076</v>
      </c>
      <c r="AN245" s="350">
        <v>251913844.78611818</v>
      </c>
      <c r="AO245" s="350">
        <v>290488140.24528748</v>
      </c>
      <c r="AP245" s="350">
        <v>329634751.01150733</v>
      </c>
      <c r="AQ245" s="350">
        <v>369364454.33494258</v>
      </c>
      <c r="AR245" s="348">
        <v>1455233554.4567363</v>
      </c>
      <c r="AS245" s="369"/>
      <c r="AT245" s="350">
        <f t="shared" si="123"/>
        <v>35909228.138749391</v>
      </c>
      <c r="AU245" s="350">
        <f t="shared" si="106"/>
        <v>72531383.200874478</v>
      </c>
      <c r="AV245" s="350">
        <f t="shared" si="107"/>
        <v>109707500.89065775</v>
      </c>
      <c r="AW245" s="350">
        <f t="shared" si="108"/>
        <v>147452611.4330267</v>
      </c>
      <c r="AX245" s="350">
        <f t="shared" si="109"/>
        <v>185773138.59173563</v>
      </c>
      <c r="AY245" s="350">
        <f t="shared" si="110"/>
        <v>551373862.25504398</v>
      </c>
      <c r="AZ245" s="365"/>
      <c r="BA245" s="377">
        <f t="shared" si="111"/>
        <v>0</v>
      </c>
      <c r="BB245" s="377">
        <f t="shared" si="112"/>
        <v>0</v>
      </c>
      <c r="BC245" s="377">
        <f t="shared" si="113"/>
        <v>0</v>
      </c>
      <c r="BD245" s="377">
        <f t="shared" si="114"/>
        <v>0</v>
      </c>
      <c r="BE245" s="377">
        <f t="shared" si="115"/>
        <v>0</v>
      </c>
      <c r="BF245" s="377">
        <f t="shared" si="116"/>
        <v>0</v>
      </c>
      <c r="BG245" s="328"/>
    </row>
    <row r="246" spans="2:59">
      <c r="B246" s="332">
        <v>231</v>
      </c>
      <c r="C246" s="350">
        <v>130513169.7752427</v>
      </c>
      <c r="D246" s="350">
        <v>131583638.8554527</v>
      </c>
      <c r="E246" s="350">
        <v>132609253.7178911</v>
      </c>
      <c r="F246" s="350">
        <v>133637305.72298302</v>
      </c>
      <c r="G246" s="350">
        <v>134670988.31326762</v>
      </c>
      <c r="H246" s="348">
        <v>663014356.38483715</v>
      </c>
      <c r="I246" s="369"/>
      <c r="J246" s="350">
        <v>167635199.06304285</v>
      </c>
      <c r="K246" s="350">
        <v>206560818.25757289</v>
      </c>
      <c r="L246" s="350">
        <v>246014194.88477063</v>
      </c>
      <c r="M246" s="350">
        <v>286058157.94616586</v>
      </c>
      <c r="N246" s="350">
        <v>326702541.01181823</v>
      </c>
      <c r="O246" s="348">
        <v>1232970911.1633704</v>
      </c>
      <c r="P246" s="369"/>
      <c r="Q246" s="350">
        <f t="shared" si="117"/>
        <v>37122029.287800148</v>
      </c>
      <c r="R246" s="350">
        <f t="shared" si="118"/>
        <v>74977179.402120188</v>
      </c>
      <c r="S246" s="350">
        <f t="shared" si="119"/>
        <v>113404941.16687953</v>
      </c>
      <c r="T246" s="350">
        <f t="shared" si="120"/>
        <v>152420852.22318286</v>
      </c>
      <c r="U246" s="350">
        <f t="shared" si="121"/>
        <v>192031552.69855061</v>
      </c>
      <c r="V246" s="350">
        <f t="shared" si="122"/>
        <v>569956554.77853322</v>
      </c>
      <c r="W246" s="365"/>
      <c r="X246" s="377">
        <f t="shared" si="100"/>
        <v>0</v>
      </c>
      <c r="Y246" s="377">
        <f t="shared" si="101"/>
        <v>0</v>
      </c>
      <c r="Z246" s="377">
        <f t="shared" si="102"/>
        <v>0</v>
      </c>
      <c r="AA246" s="377">
        <f t="shared" si="103"/>
        <v>0</v>
      </c>
      <c r="AB246" s="377">
        <f t="shared" si="104"/>
        <v>0</v>
      </c>
      <c r="AC246" s="377">
        <f t="shared" si="105"/>
        <v>0</v>
      </c>
      <c r="AD246" s="376"/>
      <c r="AE246" s="332">
        <v>231</v>
      </c>
      <c r="AF246" s="350">
        <v>127021465.96638322</v>
      </c>
      <c r="AG246" s="350">
        <v>128063296.09030187</v>
      </c>
      <c r="AH246" s="350">
        <v>129061472.01054186</v>
      </c>
      <c r="AI246" s="350">
        <v>130062019.87097111</v>
      </c>
      <c r="AJ246" s="350">
        <v>131068047.67788121</v>
      </c>
      <c r="AK246" s="348">
        <v>645276301.61607933</v>
      </c>
      <c r="AL246" s="369"/>
      <c r="AM246" s="350">
        <v>160426515.21932647</v>
      </c>
      <c r="AN246" s="350">
        <v>195532969.07292613</v>
      </c>
      <c r="AO246" s="350">
        <v>231111043.33957046</v>
      </c>
      <c r="AP246" s="350">
        <v>267220746.03286129</v>
      </c>
      <c r="AQ246" s="350">
        <v>303871160.39800519</v>
      </c>
      <c r="AR246" s="348">
        <v>1158162434.0626895</v>
      </c>
      <c r="AS246" s="369"/>
      <c r="AT246" s="350">
        <f t="shared" si="123"/>
        <v>33405049.252943248</v>
      </c>
      <c r="AU246" s="350">
        <f t="shared" si="106"/>
        <v>67469672.982624263</v>
      </c>
      <c r="AV246" s="350">
        <f t="shared" si="107"/>
        <v>102049571.32902861</v>
      </c>
      <c r="AW246" s="350">
        <f t="shared" si="108"/>
        <v>137158726.16189018</v>
      </c>
      <c r="AX246" s="350">
        <f t="shared" si="109"/>
        <v>172803112.72012398</v>
      </c>
      <c r="AY246" s="350">
        <f t="shared" si="110"/>
        <v>512886132.44661021</v>
      </c>
      <c r="AZ246" s="365"/>
      <c r="BA246" s="377">
        <f t="shared" si="111"/>
        <v>0</v>
      </c>
      <c r="BB246" s="377">
        <f t="shared" si="112"/>
        <v>0</v>
      </c>
      <c r="BC246" s="377">
        <f t="shared" si="113"/>
        <v>0</v>
      </c>
      <c r="BD246" s="377">
        <f t="shared" si="114"/>
        <v>0</v>
      </c>
      <c r="BE246" s="377">
        <f t="shared" si="115"/>
        <v>0</v>
      </c>
      <c r="BF246" s="377">
        <f t="shared" si="116"/>
        <v>0</v>
      </c>
      <c r="BG246" s="328"/>
    </row>
    <row r="247" spans="2:59">
      <c r="B247" s="332">
        <v>232</v>
      </c>
      <c r="C247" s="350">
        <v>136530967.96727082</v>
      </c>
      <c r="D247" s="350">
        <v>137650795.03109732</v>
      </c>
      <c r="E247" s="350">
        <v>138723699.70555645</v>
      </c>
      <c r="F247" s="350">
        <v>139799153.89625314</v>
      </c>
      <c r="G247" s="350">
        <v>140880498.29134762</v>
      </c>
      <c r="H247" s="348">
        <v>693585114.89152539</v>
      </c>
      <c r="I247" s="369"/>
      <c r="J247" s="350">
        <v>166318807.95619583</v>
      </c>
      <c r="K247" s="350">
        <v>197805310.72927734</v>
      </c>
      <c r="L247" s="350">
        <v>229704224.83526868</v>
      </c>
      <c r="M247" s="350">
        <v>262077489.52864519</v>
      </c>
      <c r="N247" s="350">
        <v>294933772.29554594</v>
      </c>
      <c r="O247" s="348">
        <v>1150839605.344933</v>
      </c>
      <c r="P247" s="369"/>
      <c r="Q247" s="350">
        <f t="shared" si="117"/>
        <v>29787839.98892501</v>
      </c>
      <c r="R247" s="350">
        <f t="shared" si="118"/>
        <v>60154515.69818002</v>
      </c>
      <c r="S247" s="350">
        <f t="shared" si="119"/>
        <v>90980525.129712224</v>
      </c>
      <c r="T247" s="350">
        <f t="shared" si="120"/>
        <v>122278335.63239205</v>
      </c>
      <c r="U247" s="350">
        <f t="shared" si="121"/>
        <v>154053274.00419831</v>
      </c>
      <c r="V247" s="350">
        <f t="shared" si="122"/>
        <v>457254490.45340765</v>
      </c>
      <c r="W247" s="365"/>
      <c r="X247" s="377">
        <f t="shared" si="100"/>
        <v>0</v>
      </c>
      <c r="Y247" s="377">
        <f t="shared" si="101"/>
        <v>0</v>
      </c>
      <c r="Z247" s="377">
        <f t="shared" si="102"/>
        <v>0</v>
      </c>
      <c r="AA247" s="377">
        <f t="shared" si="103"/>
        <v>0</v>
      </c>
      <c r="AB247" s="377">
        <f t="shared" si="104"/>
        <v>0</v>
      </c>
      <c r="AC247" s="377">
        <f t="shared" si="105"/>
        <v>0</v>
      </c>
      <c r="AD247" s="376"/>
      <c r="AE247" s="332">
        <v>232</v>
      </c>
      <c r="AF247" s="350">
        <v>115289303.29520695</v>
      </c>
      <c r="AG247" s="350">
        <v>116234906.21534903</v>
      </c>
      <c r="AH247" s="350">
        <v>117140886.99218071</v>
      </c>
      <c r="AI247" s="350">
        <v>118049020.62821454</v>
      </c>
      <c r="AJ247" s="350">
        <v>118962128.06302378</v>
      </c>
      <c r="AK247" s="348">
        <v>585676245.19397497</v>
      </c>
      <c r="AL247" s="369"/>
      <c r="AM247" s="350">
        <v>145055654.97847566</v>
      </c>
      <c r="AN247" s="350">
        <v>176358734.46125144</v>
      </c>
      <c r="AO247" s="350">
        <v>208081392.25191787</v>
      </c>
      <c r="AP247" s="350">
        <v>240277862.41422838</v>
      </c>
      <c r="AQ247" s="350">
        <v>272956290.78267759</v>
      </c>
      <c r="AR247" s="348">
        <v>1042729934.888551</v>
      </c>
      <c r="AS247" s="369"/>
      <c r="AT247" s="350">
        <f t="shared" si="123"/>
        <v>29766351.683268711</v>
      </c>
      <c r="AU247" s="350">
        <f t="shared" si="106"/>
        <v>60123828.245902404</v>
      </c>
      <c r="AV247" s="350">
        <f t="shared" si="107"/>
        <v>90940505.259737164</v>
      </c>
      <c r="AW247" s="350">
        <f t="shared" si="108"/>
        <v>122228841.78601384</v>
      </c>
      <c r="AX247" s="350">
        <f t="shared" si="109"/>
        <v>153994162.71965382</v>
      </c>
      <c r="AY247" s="350">
        <f t="shared" si="110"/>
        <v>457053689.69457603</v>
      </c>
      <c r="AZ247" s="365"/>
      <c r="BA247" s="377">
        <f t="shared" si="111"/>
        <v>0</v>
      </c>
      <c r="BB247" s="377">
        <f t="shared" si="112"/>
        <v>0</v>
      </c>
      <c r="BC247" s="377">
        <f t="shared" si="113"/>
        <v>0</v>
      </c>
      <c r="BD247" s="377">
        <f t="shared" si="114"/>
        <v>0</v>
      </c>
      <c r="BE247" s="377">
        <f t="shared" si="115"/>
        <v>0</v>
      </c>
      <c r="BF247" s="377">
        <f t="shared" si="116"/>
        <v>0</v>
      </c>
      <c r="BG247" s="328"/>
    </row>
    <row r="248" spans="2:59">
      <c r="B248" s="332">
        <v>233</v>
      </c>
      <c r="C248" s="350">
        <v>118695355.40709758</v>
      </c>
      <c r="D248" s="350">
        <v>119668894.76827191</v>
      </c>
      <c r="E248" s="350">
        <v>120601641.40845829</v>
      </c>
      <c r="F248" s="350">
        <v>121536604.51089084</v>
      </c>
      <c r="G248" s="350">
        <v>122476688.35563427</v>
      </c>
      <c r="H248" s="348">
        <v>602979184.45035291</v>
      </c>
      <c r="I248" s="369"/>
      <c r="J248" s="350">
        <v>147678008.88406143</v>
      </c>
      <c r="K248" s="350">
        <v>178217009.46807578</v>
      </c>
      <c r="L248" s="350">
        <v>209162440.76260823</v>
      </c>
      <c r="M248" s="350">
        <v>240569443.38854384</v>
      </c>
      <c r="N248" s="350">
        <v>272446107.43137395</v>
      </c>
      <c r="O248" s="348">
        <v>1048073009.9346632</v>
      </c>
      <c r="P248" s="369"/>
      <c r="Q248" s="350">
        <f t="shared" si="117"/>
        <v>28982653.476963848</v>
      </c>
      <c r="R248" s="350">
        <f t="shared" si="118"/>
        <v>58548114.699803874</v>
      </c>
      <c r="S248" s="350">
        <f t="shared" si="119"/>
        <v>88560799.354149938</v>
      </c>
      <c r="T248" s="350">
        <f t="shared" si="120"/>
        <v>119032838.877653</v>
      </c>
      <c r="U248" s="350">
        <f t="shared" si="121"/>
        <v>149969419.07573968</v>
      </c>
      <c r="V248" s="350">
        <f t="shared" si="122"/>
        <v>445093825.48431027</v>
      </c>
      <c r="W248" s="365"/>
      <c r="X248" s="377">
        <f t="shared" si="100"/>
        <v>0</v>
      </c>
      <c r="Y248" s="377">
        <f t="shared" si="101"/>
        <v>0</v>
      </c>
      <c r="Z248" s="377">
        <f t="shared" si="102"/>
        <v>0</v>
      </c>
      <c r="AA248" s="377">
        <f t="shared" si="103"/>
        <v>0</v>
      </c>
      <c r="AB248" s="377">
        <f t="shared" si="104"/>
        <v>0</v>
      </c>
      <c r="AC248" s="377">
        <f t="shared" si="105"/>
        <v>0</v>
      </c>
      <c r="AD248" s="376"/>
      <c r="AE248" s="332">
        <v>233</v>
      </c>
      <c r="AF248" s="350">
        <v>136577327.4659898</v>
      </c>
      <c r="AG248" s="350">
        <v>137697534.77044678</v>
      </c>
      <c r="AH248" s="350">
        <v>138770803.75289857</v>
      </c>
      <c r="AI248" s="350">
        <v>139846623.11728388</v>
      </c>
      <c r="AJ248" s="350">
        <v>140928334.68610346</v>
      </c>
      <c r="AK248" s="348">
        <v>693820623.79272258</v>
      </c>
      <c r="AL248" s="369"/>
      <c r="AM248" s="350">
        <v>169009442.49765894</v>
      </c>
      <c r="AN248" s="350">
        <v>203210131.18657571</v>
      </c>
      <c r="AO248" s="350">
        <v>237864273.35437429</v>
      </c>
      <c r="AP248" s="350">
        <v>273034932.79232317</v>
      </c>
      <c r="AQ248" s="350">
        <v>308731253.75230527</v>
      </c>
      <c r="AR248" s="348">
        <v>1191850033.5832374</v>
      </c>
      <c r="AS248" s="369"/>
      <c r="AT248" s="350">
        <f t="shared" si="123"/>
        <v>32432115.03166914</v>
      </c>
      <c r="AU248" s="350">
        <f t="shared" si="106"/>
        <v>65512596.416128933</v>
      </c>
      <c r="AV248" s="350">
        <f t="shared" si="107"/>
        <v>99093469.601475716</v>
      </c>
      <c r="AW248" s="350">
        <f t="shared" si="108"/>
        <v>133188309.67503929</v>
      </c>
      <c r="AX248" s="350">
        <f t="shared" si="109"/>
        <v>167802919.06620181</v>
      </c>
      <c r="AY248" s="350">
        <f t="shared" si="110"/>
        <v>498029409.79051483</v>
      </c>
      <c r="AZ248" s="365"/>
      <c r="BA248" s="377">
        <f t="shared" si="111"/>
        <v>0</v>
      </c>
      <c r="BB248" s="377">
        <f t="shared" si="112"/>
        <v>0</v>
      </c>
      <c r="BC248" s="377">
        <f t="shared" si="113"/>
        <v>0</v>
      </c>
      <c r="BD248" s="377">
        <f t="shared" si="114"/>
        <v>0</v>
      </c>
      <c r="BE248" s="377">
        <f t="shared" si="115"/>
        <v>0</v>
      </c>
      <c r="BF248" s="377">
        <f t="shared" si="116"/>
        <v>0</v>
      </c>
      <c r="BG248" s="328"/>
    </row>
    <row r="249" spans="2:59">
      <c r="B249" s="332">
        <v>234</v>
      </c>
      <c r="C249" s="350">
        <v>121811330.52829325</v>
      </c>
      <c r="D249" s="350">
        <v>122810427.11888507</v>
      </c>
      <c r="E249" s="350">
        <v>123767660.10325257</v>
      </c>
      <c r="F249" s="350">
        <v>124727167.73614654</v>
      </c>
      <c r="G249" s="350">
        <v>125691930.54041627</v>
      </c>
      <c r="H249" s="348">
        <v>618808516.02699363</v>
      </c>
      <c r="I249" s="369"/>
      <c r="J249" s="350">
        <v>151134595.935828</v>
      </c>
      <c r="K249" s="350">
        <v>182034067.20066968</v>
      </c>
      <c r="L249" s="350">
        <v>213343958.57581642</v>
      </c>
      <c r="M249" s="350">
        <v>245120681.62836805</v>
      </c>
      <c r="N249" s="350">
        <v>277372461.71625853</v>
      </c>
      <c r="O249" s="348">
        <v>1069005765.0569407</v>
      </c>
      <c r="P249" s="369"/>
      <c r="Q249" s="350">
        <f t="shared" si="117"/>
        <v>29323265.407534748</v>
      </c>
      <c r="R249" s="350">
        <f t="shared" si="118"/>
        <v>59223640.081784606</v>
      </c>
      <c r="S249" s="350">
        <f t="shared" si="119"/>
        <v>89576298.472563848</v>
      </c>
      <c r="T249" s="350">
        <f t="shared" si="120"/>
        <v>120393513.89222151</v>
      </c>
      <c r="U249" s="350">
        <f t="shared" si="121"/>
        <v>151680531.17584226</v>
      </c>
      <c r="V249" s="350">
        <f t="shared" si="122"/>
        <v>450197249.02994704</v>
      </c>
      <c r="W249" s="365"/>
      <c r="X249" s="377">
        <f t="shared" si="100"/>
        <v>0</v>
      </c>
      <c r="Y249" s="377">
        <f t="shared" si="101"/>
        <v>0</v>
      </c>
      <c r="Z249" s="377">
        <f t="shared" si="102"/>
        <v>0</v>
      </c>
      <c r="AA249" s="377">
        <f t="shared" si="103"/>
        <v>0</v>
      </c>
      <c r="AB249" s="377">
        <f t="shared" si="104"/>
        <v>0</v>
      </c>
      <c r="AC249" s="377">
        <f t="shared" si="105"/>
        <v>0</v>
      </c>
      <c r="AD249" s="376"/>
      <c r="AE249" s="332">
        <v>234</v>
      </c>
      <c r="AF249" s="350">
        <v>126181335.02933633</v>
      </c>
      <c r="AG249" s="350">
        <v>127216274.39891207</v>
      </c>
      <c r="AH249" s="350">
        <v>128207848.29747933</v>
      </c>
      <c r="AI249" s="350">
        <v>129201778.44801877</v>
      </c>
      <c r="AJ249" s="350">
        <v>130201152.30020024</v>
      </c>
      <c r="AK249" s="348">
        <v>641008388.47394681</v>
      </c>
      <c r="AL249" s="369"/>
      <c r="AM249" s="350">
        <v>158684570.65546641</v>
      </c>
      <c r="AN249" s="350">
        <v>192867321.33260947</v>
      </c>
      <c r="AO249" s="350">
        <v>227508114.39581499</v>
      </c>
      <c r="AP249" s="350">
        <v>262666276.13465941</v>
      </c>
      <c r="AQ249" s="350">
        <v>298350708.35673606</v>
      </c>
      <c r="AR249" s="348">
        <v>1140076990.8752863</v>
      </c>
      <c r="AS249" s="369"/>
      <c r="AT249" s="350">
        <f t="shared" si="123"/>
        <v>32503235.626130074</v>
      </c>
      <c r="AU249" s="350">
        <f t="shared" si="106"/>
        <v>65651046.933697402</v>
      </c>
      <c r="AV249" s="350">
        <f t="shared" si="107"/>
        <v>99300266.098335654</v>
      </c>
      <c r="AW249" s="350">
        <f t="shared" si="108"/>
        <v>133464497.68664064</v>
      </c>
      <c r="AX249" s="350">
        <f t="shared" si="109"/>
        <v>168149556.05653584</v>
      </c>
      <c r="AY249" s="350">
        <f t="shared" si="110"/>
        <v>499068602.40133953</v>
      </c>
      <c r="AZ249" s="365"/>
      <c r="BA249" s="377">
        <f t="shared" si="111"/>
        <v>0</v>
      </c>
      <c r="BB249" s="377">
        <f t="shared" si="112"/>
        <v>0</v>
      </c>
      <c r="BC249" s="377">
        <f t="shared" si="113"/>
        <v>0</v>
      </c>
      <c r="BD249" s="377">
        <f t="shared" si="114"/>
        <v>0</v>
      </c>
      <c r="BE249" s="377">
        <f t="shared" si="115"/>
        <v>0</v>
      </c>
      <c r="BF249" s="377">
        <f t="shared" si="116"/>
        <v>0</v>
      </c>
      <c r="BG249" s="328"/>
    </row>
    <row r="250" spans="2:59">
      <c r="B250" s="332">
        <v>235</v>
      </c>
      <c r="C250" s="350">
        <v>133060687.95965484</v>
      </c>
      <c r="D250" s="350">
        <v>134152051.78521794</v>
      </c>
      <c r="E250" s="350">
        <v>135197685.87266457</v>
      </c>
      <c r="F250" s="350">
        <v>136245804.67394271</v>
      </c>
      <c r="G250" s="350">
        <v>137299663.96517017</v>
      </c>
      <c r="H250" s="348">
        <v>675955894.25665021</v>
      </c>
      <c r="I250" s="369"/>
      <c r="J250" s="350">
        <v>174049247.88946244</v>
      </c>
      <c r="K250" s="350">
        <v>216914545.03646633</v>
      </c>
      <c r="L250" s="350">
        <v>260365989.979837</v>
      </c>
      <c r="M250" s="350">
        <v>304468951.83197808</v>
      </c>
      <c r="N250" s="350">
        <v>349234014.43454421</v>
      </c>
      <c r="O250" s="348">
        <v>1305032749.1722879</v>
      </c>
      <c r="P250" s="369"/>
      <c r="Q250" s="350">
        <f t="shared" si="117"/>
        <v>40988559.929807603</v>
      </c>
      <c r="R250" s="350">
        <f t="shared" si="118"/>
        <v>82762493.251248389</v>
      </c>
      <c r="S250" s="350">
        <f t="shared" si="119"/>
        <v>125168304.10717243</v>
      </c>
      <c r="T250" s="350">
        <f t="shared" si="120"/>
        <v>168223147.15803537</v>
      </c>
      <c r="U250" s="350">
        <f t="shared" si="121"/>
        <v>211934350.46937403</v>
      </c>
      <c r="V250" s="350">
        <f t="shared" si="122"/>
        <v>629076854.91563773</v>
      </c>
      <c r="W250" s="365"/>
      <c r="X250" s="377">
        <f t="shared" si="100"/>
        <v>0</v>
      </c>
      <c r="Y250" s="377">
        <f t="shared" si="101"/>
        <v>0</v>
      </c>
      <c r="Z250" s="377">
        <f t="shared" si="102"/>
        <v>0</v>
      </c>
      <c r="AA250" s="377">
        <f t="shared" si="103"/>
        <v>0</v>
      </c>
      <c r="AB250" s="377">
        <f t="shared" si="104"/>
        <v>0</v>
      </c>
      <c r="AC250" s="377">
        <f t="shared" si="105"/>
        <v>0</v>
      </c>
      <c r="AD250" s="376"/>
      <c r="AE250" s="332">
        <v>235</v>
      </c>
      <c r="AF250" s="350">
        <v>116298961.2182527</v>
      </c>
      <c r="AG250" s="350">
        <v>117252845.35315701</v>
      </c>
      <c r="AH250" s="350">
        <v>118166760.34975854</v>
      </c>
      <c r="AI250" s="350">
        <v>119082847.05944794</v>
      </c>
      <c r="AJ250" s="350">
        <v>120003951.12646671</v>
      </c>
      <c r="AK250" s="348">
        <v>590805365.10708284</v>
      </c>
      <c r="AL250" s="369"/>
      <c r="AM250" s="350">
        <v>147189783.6611408</v>
      </c>
      <c r="AN250" s="350">
        <v>179631306.56215072</v>
      </c>
      <c r="AO250" s="350">
        <v>212509148.41002297</v>
      </c>
      <c r="AP250" s="350">
        <v>245878378.85347021</v>
      </c>
      <c r="AQ250" s="350">
        <v>279747367.04809099</v>
      </c>
      <c r="AR250" s="348">
        <v>1064955984.5348756</v>
      </c>
      <c r="AS250" s="369"/>
      <c r="AT250" s="350">
        <f t="shared" si="123"/>
        <v>30890822.442888096</v>
      </c>
      <c r="AU250" s="350">
        <f t="shared" si="106"/>
        <v>62378461.208993703</v>
      </c>
      <c r="AV250" s="350">
        <f t="shared" si="107"/>
        <v>94342388.060264438</v>
      </c>
      <c r="AW250" s="350">
        <f t="shared" si="108"/>
        <v>126795531.79402226</v>
      </c>
      <c r="AX250" s="350">
        <f t="shared" si="109"/>
        <v>159743415.9216243</v>
      </c>
      <c r="AY250" s="350">
        <f t="shared" si="110"/>
        <v>474150619.42779279</v>
      </c>
      <c r="AZ250" s="365"/>
      <c r="BA250" s="377">
        <f t="shared" si="111"/>
        <v>0</v>
      </c>
      <c r="BB250" s="377">
        <f t="shared" si="112"/>
        <v>0</v>
      </c>
      <c r="BC250" s="377">
        <f t="shared" si="113"/>
        <v>0</v>
      </c>
      <c r="BD250" s="377">
        <f t="shared" si="114"/>
        <v>0</v>
      </c>
      <c r="BE250" s="377">
        <f t="shared" si="115"/>
        <v>0</v>
      </c>
      <c r="BF250" s="377">
        <f t="shared" si="116"/>
        <v>0</v>
      </c>
      <c r="BG250" s="328"/>
    </row>
    <row r="251" spans="2:59">
      <c r="B251" s="332">
        <v>236</v>
      </c>
      <c r="C251" s="350">
        <v>147218226.38647872</v>
      </c>
      <c r="D251" s="350">
        <v>148425710.34891307</v>
      </c>
      <c r="E251" s="350">
        <v>149582598.96991441</v>
      </c>
      <c r="F251" s="350">
        <v>150742236.67608106</v>
      </c>
      <c r="G251" s="350">
        <v>151908225.65520361</v>
      </c>
      <c r="H251" s="348">
        <v>747876998.03659081</v>
      </c>
      <c r="I251" s="369"/>
      <c r="J251" s="350">
        <v>183521032.31905729</v>
      </c>
      <c r="K251" s="350">
        <v>221760724.02492887</v>
      </c>
      <c r="L251" s="350">
        <v>260509989.65646952</v>
      </c>
      <c r="M251" s="350">
        <v>299837369.08301139</v>
      </c>
      <c r="N251" s="350">
        <v>339752959.98484027</v>
      </c>
      <c r="O251" s="348">
        <v>1305382075.0683074</v>
      </c>
      <c r="P251" s="369"/>
      <c r="Q251" s="350">
        <f t="shared" si="117"/>
        <v>36302805.932578564</v>
      </c>
      <c r="R251" s="350">
        <f t="shared" si="118"/>
        <v>73335013.676015794</v>
      </c>
      <c r="S251" s="350">
        <f t="shared" si="119"/>
        <v>110927390.68655512</v>
      </c>
      <c r="T251" s="350">
        <f t="shared" si="120"/>
        <v>149095132.40693033</v>
      </c>
      <c r="U251" s="350">
        <f t="shared" si="121"/>
        <v>187844734.32963666</v>
      </c>
      <c r="V251" s="350">
        <f t="shared" si="122"/>
        <v>557505077.03171659</v>
      </c>
      <c r="W251" s="365"/>
      <c r="X251" s="377">
        <f t="shared" si="100"/>
        <v>0</v>
      </c>
      <c r="Y251" s="377">
        <f t="shared" si="101"/>
        <v>0</v>
      </c>
      <c r="Z251" s="377">
        <f t="shared" si="102"/>
        <v>0</v>
      </c>
      <c r="AA251" s="377">
        <f t="shared" si="103"/>
        <v>0</v>
      </c>
      <c r="AB251" s="377">
        <f t="shared" si="104"/>
        <v>0</v>
      </c>
      <c r="AC251" s="377">
        <f t="shared" si="105"/>
        <v>0</v>
      </c>
      <c r="AD251" s="376"/>
      <c r="AE251" s="332">
        <v>236</v>
      </c>
      <c r="AF251" s="350">
        <v>121354661.50066304</v>
      </c>
      <c r="AG251" s="350">
        <v>122350012.49167426</v>
      </c>
      <c r="AH251" s="350">
        <v>123303656.82255369</v>
      </c>
      <c r="AI251" s="350">
        <v>124259567.27433309</v>
      </c>
      <c r="AJ251" s="350">
        <v>125220713.19592199</v>
      </c>
      <c r="AK251" s="348">
        <v>616488611.28514612</v>
      </c>
      <c r="AL251" s="369"/>
      <c r="AM251" s="350">
        <v>152339042.24685642</v>
      </c>
      <c r="AN251" s="350">
        <v>184930698.48751375</v>
      </c>
      <c r="AO251" s="350">
        <v>217958586.0161854</v>
      </c>
      <c r="AP251" s="350">
        <v>251479646.30741483</v>
      </c>
      <c r="AQ251" s="350">
        <v>285502390.98063052</v>
      </c>
      <c r="AR251" s="348">
        <v>1092210364.0386009</v>
      </c>
      <c r="AS251" s="369"/>
      <c r="AT251" s="350">
        <f t="shared" si="123"/>
        <v>30984380.746193379</v>
      </c>
      <c r="AU251" s="350">
        <f t="shared" si="106"/>
        <v>62580685.995839491</v>
      </c>
      <c r="AV251" s="350">
        <f t="shared" si="107"/>
        <v>94654929.193631709</v>
      </c>
      <c r="AW251" s="350">
        <f t="shared" si="108"/>
        <v>127220079.03308174</v>
      </c>
      <c r="AX251" s="350">
        <f t="shared" si="109"/>
        <v>160281677.78470853</v>
      </c>
      <c r="AY251" s="350">
        <f t="shared" si="110"/>
        <v>475721752.7534548</v>
      </c>
      <c r="AZ251" s="365"/>
      <c r="BA251" s="377">
        <f t="shared" si="111"/>
        <v>0</v>
      </c>
      <c r="BB251" s="377">
        <f t="shared" si="112"/>
        <v>0</v>
      </c>
      <c r="BC251" s="377">
        <f t="shared" si="113"/>
        <v>0</v>
      </c>
      <c r="BD251" s="377">
        <f t="shared" si="114"/>
        <v>0</v>
      </c>
      <c r="BE251" s="377">
        <f t="shared" si="115"/>
        <v>0</v>
      </c>
      <c r="BF251" s="377">
        <f t="shared" si="116"/>
        <v>0</v>
      </c>
      <c r="BG251" s="328"/>
    </row>
    <row r="252" spans="2:59">
      <c r="B252" s="332">
        <v>237</v>
      </c>
      <c r="C252" s="350">
        <v>183613783.37009996</v>
      </c>
      <c r="D252" s="350">
        <v>185119783.70812371</v>
      </c>
      <c r="E252" s="350">
        <v>186562680.43262458</v>
      </c>
      <c r="F252" s="350">
        <v>188009005.87611216</v>
      </c>
      <c r="G252" s="350">
        <v>189463252.76577711</v>
      </c>
      <c r="H252" s="348">
        <v>932768506.15273762</v>
      </c>
      <c r="I252" s="369"/>
      <c r="J252" s="350">
        <v>229465280.81787938</v>
      </c>
      <c r="K252" s="350">
        <v>277720254.6609394</v>
      </c>
      <c r="L252" s="350">
        <v>326619264.23650908</v>
      </c>
      <c r="M252" s="350">
        <v>376248032.84095263</v>
      </c>
      <c r="N252" s="350">
        <v>426619253.56722265</v>
      </c>
      <c r="O252" s="348">
        <v>1636672086.1235032</v>
      </c>
      <c r="P252" s="369"/>
      <c r="Q252" s="350">
        <f t="shared" si="117"/>
        <v>45851497.447779417</v>
      </c>
      <c r="R252" s="350">
        <f t="shared" si="118"/>
        <v>92600470.952815682</v>
      </c>
      <c r="S252" s="350">
        <f t="shared" si="119"/>
        <v>140056583.80388451</v>
      </c>
      <c r="T252" s="350">
        <f t="shared" si="120"/>
        <v>188239026.96484047</v>
      </c>
      <c r="U252" s="350">
        <f t="shared" si="121"/>
        <v>237156000.80144554</v>
      </c>
      <c r="V252" s="350">
        <f t="shared" si="122"/>
        <v>703903579.97076559</v>
      </c>
      <c r="W252" s="365"/>
      <c r="X252" s="377">
        <f t="shared" si="100"/>
        <v>0</v>
      </c>
      <c r="Y252" s="377">
        <f t="shared" si="101"/>
        <v>0</v>
      </c>
      <c r="Z252" s="377">
        <f t="shared" si="102"/>
        <v>0</v>
      </c>
      <c r="AA252" s="377">
        <f t="shared" si="103"/>
        <v>0</v>
      </c>
      <c r="AB252" s="377">
        <f t="shared" si="104"/>
        <v>0</v>
      </c>
      <c r="AC252" s="377">
        <f t="shared" si="105"/>
        <v>0</v>
      </c>
      <c r="AD252" s="376"/>
      <c r="AE252" s="332">
        <v>237</v>
      </c>
      <c r="AF252" s="350">
        <v>127359543.60473022</v>
      </c>
      <c r="AG252" s="350">
        <v>128404146.64159846</v>
      </c>
      <c r="AH252" s="350">
        <v>129404979.28568587</v>
      </c>
      <c r="AI252" s="350">
        <v>130408190.18306822</v>
      </c>
      <c r="AJ252" s="350">
        <v>131416895.61224073</v>
      </c>
      <c r="AK252" s="348">
        <v>646993755.32732344</v>
      </c>
      <c r="AL252" s="369"/>
      <c r="AM252" s="350">
        <v>164934817.08053029</v>
      </c>
      <c r="AN252" s="350">
        <v>204282891.30028191</v>
      </c>
      <c r="AO252" s="350">
        <v>244166581.84019485</v>
      </c>
      <c r="AP252" s="350">
        <v>284647763.9245196</v>
      </c>
      <c r="AQ252" s="350">
        <v>325736272.91461641</v>
      </c>
      <c r="AR252" s="348">
        <v>1223768327.060143</v>
      </c>
      <c r="AS252" s="369"/>
      <c r="AT252" s="350">
        <f t="shared" si="123"/>
        <v>37575273.475800067</v>
      </c>
      <c r="AU252" s="350">
        <f t="shared" si="106"/>
        <v>75878744.658683449</v>
      </c>
      <c r="AV252" s="350">
        <f t="shared" si="107"/>
        <v>114761602.55450898</v>
      </c>
      <c r="AW252" s="350">
        <f t="shared" si="108"/>
        <v>154239573.74145138</v>
      </c>
      <c r="AX252" s="350">
        <f t="shared" si="109"/>
        <v>194319377.30237567</v>
      </c>
      <c r="AY252" s="350">
        <f t="shared" si="110"/>
        <v>576774571.73281956</v>
      </c>
      <c r="AZ252" s="365"/>
      <c r="BA252" s="377">
        <f t="shared" si="111"/>
        <v>0</v>
      </c>
      <c r="BB252" s="377">
        <f t="shared" si="112"/>
        <v>0</v>
      </c>
      <c r="BC252" s="377">
        <f t="shared" si="113"/>
        <v>0</v>
      </c>
      <c r="BD252" s="377">
        <f t="shared" si="114"/>
        <v>0</v>
      </c>
      <c r="BE252" s="377">
        <f t="shared" si="115"/>
        <v>0</v>
      </c>
      <c r="BF252" s="377">
        <f t="shared" si="116"/>
        <v>0</v>
      </c>
      <c r="BG252" s="328"/>
    </row>
    <row r="253" spans="2:59">
      <c r="B253" s="332">
        <v>238</v>
      </c>
      <c r="C253" s="350">
        <v>128799165.40439938</v>
      </c>
      <c r="D253" s="350">
        <v>129855576.21994925</v>
      </c>
      <c r="E253" s="350">
        <v>130867721.87954748</v>
      </c>
      <c r="F253" s="350">
        <v>131882272.67527318</v>
      </c>
      <c r="G253" s="350">
        <v>132902380.1107986</v>
      </c>
      <c r="H253" s="348">
        <v>654307116.28996789</v>
      </c>
      <c r="I253" s="369"/>
      <c r="J253" s="350">
        <v>159019119.31580663</v>
      </c>
      <c r="K253" s="350">
        <v>190892754.05972067</v>
      </c>
      <c r="L253" s="350">
        <v>223188277.11470634</v>
      </c>
      <c r="M253" s="350">
        <v>255965007.53562734</v>
      </c>
      <c r="N253" s="350">
        <v>289231502.42886734</v>
      </c>
      <c r="O253" s="348">
        <v>1118296660.4547284</v>
      </c>
      <c r="P253" s="369"/>
      <c r="Q253" s="350">
        <f t="shared" si="117"/>
        <v>30219953.911407247</v>
      </c>
      <c r="R253" s="350">
        <f t="shared" si="118"/>
        <v>61037177.83977142</v>
      </c>
      <c r="S253" s="350">
        <f t="shared" si="119"/>
        <v>92320555.235158861</v>
      </c>
      <c r="T253" s="350">
        <f t="shared" si="120"/>
        <v>124082734.86035416</v>
      </c>
      <c r="U253" s="350">
        <f t="shared" si="121"/>
        <v>156329122.31806874</v>
      </c>
      <c r="V253" s="350">
        <f t="shared" si="122"/>
        <v>463989544.16476047</v>
      </c>
      <c r="W253" s="365"/>
      <c r="X253" s="377">
        <f t="shared" si="100"/>
        <v>0</v>
      </c>
      <c r="Y253" s="377">
        <f t="shared" si="101"/>
        <v>0</v>
      </c>
      <c r="Z253" s="377">
        <f t="shared" si="102"/>
        <v>0</v>
      </c>
      <c r="AA253" s="377">
        <f t="shared" si="103"/>
        <v>0</v>
      </c>
      <c r="AB253" s="377">
        <f t="shared" si="104"/>
        <v>0</v>
      </c>
      <c r="AC253" s="377">
        <f t="shared" si="105"/>
        <v>0</v>
      </c>
      <c r="AD253" s="376"/>
      <c r="AE253" s="332">
        <v>238</v>
      </c>
      <c r="AF253" s="350">
        <v>114488448.92671849</v>
      </c>
      <c r="AG253" s="350">
        <v>115427483.23895153</v>
      </c>
      <c r="AH253" s="350">
        <v>116327170.64213835</v>
      </c>
      <c r="AI253" s="350">
        <v>117228995.94974273</v>
      </c>
      <c r="AJ253" s="350">
        <v>118135760.50574914</v>
      </c>
      <c r="AK253" s="348">
        <v>581607859.2633003</v>
      </c>
      <c r="AL253" s="369"/>
      <c r="AM253" s="350">
        <v>140375160.31744057</v>
      </c>
      <c r="AN253" s="350">
        <v>167723392.26200163</v>
      </c>
      <c r="AO253" s="350">
        <v>195431758.24369633</v>
      </c>
      <c r="AP253" s="350">
        <v>223552578.7346535</v>
      </c>
      <c r="AQ253" s="350">
        <v>252093287.22911635</v>
      </c>
      <c r="AR253" s="348">
        <v>979176176.78690839</v>
      </c>
      <c r="AS253" s="369"/>
      <c r="AT253" s="350">
        <f t="shared" si="123"/>
        <v>25886711.390722081</v>
      </c>
      <c r="AU253" s="350">
        <f t="shared" si="106"/>
        <v>52295909.0230501</v>
      </c>
      <c r="AV253" s="350">
        <f t="shared" si="107"/>
        <v>79104587.601557985</v>
      </c>
      <c r="AW253" s="350">
        <f t="shared" si="108"/>
        <v>106323582.78491077</v>
      </c>
      <c r="AX253" s="350">
        <f t="shared" si="109"/>
        <v>133957526.72336721</v>
      </c>
      <c r="AY253" s="350">
        <f t="shared" si="110"/>
        <v>397568317.52360809</v>
      </c>
      <c r="AZ253" s="365"/>
      <c r="BA253" s="377">
        <f t="shared" si="111"/>
        <v>0</v>
      </c>
      <c r="BB253" s="377">
        <f t="shared" si="112"/>
        <v>0</v>
      </c>
      <c r="BC253" s="377">
        <f t="shared" si="113"/>
        <v>0</v>
      </c>
      <c r="BD253" s="377">
        <f t="shared" si="114"/>
        <v>0</v>
      </c>
      <c r="BE253" s="377">
        <f t="shared" si="115"/>
        <v>0</v>
      </c>
      <c r="BF253" s="377">
        <f t="shared" si="116"/>
        <v>0</v>
      </c>
      <c r="BG253" s="328"/>
    </row>
    <row r="254" spans="2:59">
      <c r="B254" s="332">
        <v>239</v>
      </c>
      <c r="C254" s="350">
        <v>122353037.16605726</v>
      </c>
      <c r="D254" s="350">
        <v>123356576.83474815</v>
      </c>
      <c r="E254" s="350">
        <v>124318066.72575374</v>
      </c>
      <c r="F254" s="350">
        <v>125281841.38086532</v>
      </c>
      <c r="G254" s="350">
        <v>126250894.57760245</v>
      </c>
      <c r="H254" s="348">
        <v>621560416.68502688</v>
      </c>
      <c r="I254" s="369"/>
      <c r="J254" s="350">
        <v>160865485.22174579</v>
      </c>
      <c r="K254" s="350">
        <v>201123321.3024956</v>
      </c>
      <c r="L254" s="350">
        <v>241932874.62273505</v>
      </c>
      <c r="M254" s="350">
        <v>283354598.29238784</v>
      </c>
      <c r="N254" s="350">
        <v>325398372.06556845</v>
      </c>
      <c r="O254" s="348">
        <v>1212674651.5049329</v>
      </c>
      <c r="P254" s="369"/>
      <c r="Q254" s="350">
        <f t="shared" si="117"/>
        <v>38512448.05568853</v>
      </c>
      <c r="R254" s="350">
        <f t="shared" si="118"/>
        <v>77766744.46774745</v>
      </c>
      <c r="S254" s="350">
        <f t="shared" si="119"/>
        <v>117614807.89698131</v>
      </c>
      <c r="T254" s="350">
        <f t="shared" si="120"/>
        <v>158072756.91152251</v>
      </c>
      <c r="U254" s="350">
        <f t="shared" si="121"/>
        <v>199147477.487966</v>
      </c>
      <c r="V254" s="350">
        <f t="shared" si="122"/>
        <v>591114234.819906</v>
      </c>
      <c r="W254" s="365"/>
      <c r="X254" s="377">
        <f t="shared" si="100"/>
        <v>0</v>
      </c>
      <c r="Y254" s="377">
        <f t="shared" si="101"/>
        <v>0</v>
      </c>
      <c r="Z254" s="377">
        <f t="shared" si="102"/>
        <v>0</v>
      </c>
      <c r="AA254" s="377">
        <f t="shared" si="103"/>
        <v>0</v>
      </c>
      <c r="AB254" s="377">
        <f t="shared" si="104"/>
        <v>0</v>
      </c>
      <c r="AC254" s="377">
        <f t="shared" si="105"/>
        <v>0</v>
      </c>
      <c r="AD254" s="376"/>
      <c r="AE254" s="332">
        <v>239</v>
      </c>
      <c r="AF254" s="350">
        <v>135805404.21310329</v>
      </c>
      <c r="AG254" s="350">
        <v>136919280.2026751</v>
      </c>
      <c r="AH254" s="350">
        <v>137986483.16158164</v>
      </c>
      <c r="AI254" s="350">
        <v>139056222.08788335</v>
      </c>
      <c r="AJ254" s="350">
        <v>140131819.91638905</v>
      </c>
      <c r="AK254" s="348">
        <v>689899209.58163238</v>
      </c>
      <c r="AL254" s="369"/>
      <c r="AM254" s="350">
        <v>171561333.06616563</v>
      </c>
      <c r="AN254" s="350">
        <v>209149406.98934034</v>
      </c>
      <c r="AO254" s="350">
        <v>247242536.32287776</v>
      </c>
      <c r="AP254" s="350">
        <v>285904896.59051782</v>
      </c>
      <c r="AQ254" s="350">
        <v>325146208.34728718</v>
      </c>
      <c r="AR254" s="348">
        <v>1239004381.3161888</v>
      </c>
      <c r="AS254" s="369"/>
      <c r="AT254" s="350">
        <f t="shared" si="123"/>
        <v>35755928.853062332</v>
      </c>
      <c r="AU254" s="350">
        <f t="shared" si="106"/>
        <v>72230126.786665231</v>
      </c>
      <c r="AV254" s="350">
        <f t="shared" si="107"/>
        <v>109256053.16129613</v>
      </c>
      <c r="AW254" s="350">
        <f t="shared" si="108"/>
        <v>146848674.50263447</v>
      </c>
      <c r="AX254" s="350">
        <f t="shared" si="109"/>
        <v>185014388.43089813</v>
      </c>
      <c r="AY254" s="350">
        <f t="shared" si="110"/>
        <v>549105171.73455644</v>
      </c>
      <c r="AZ254" s="365"/>
      <c r="BA254" s="377">
        <f t="shared" si="111"/>
        <v>0</v>
      </c>
      <c r="BB254" s="377">
        <f t="shared" si="112"/>
        <v>0</v>
      </c>
      <c r="BC254" s="377">
        <f t="shared" si="113"/>
        <v>0</v>
      </c>
      <c r="BD254" s="377">
        <f t="shared" si="114"/>
        <v>0</v>
      </c>
      <c r="BE254" s="377">
        <f t="shared" si="115"/>
        <v>0</v>
      </c>
      <c r="BF254" s="377">
        <f t="shared" si="116"/>
        <v>0</v>
      </c>
      <c r="BG254" s="328"/>
    </row>
    <row r="255" spans="2:59">
      <c r="B255" s="332">
        <v>240</v>
      </c>
      <c r="C255" s="350">
        <v>110803304.69238013</v>
      </c>
      <c r="D255" s="350">
        <v>111712113.44986063</v>
      </c>
      <c r="E255" s="350">
        <v>112582841.7931803</v>
      </c>
      <c r="F255" s="350">
        <v>113455639.22623615</v>
      </c>
      <c r="G255" s="350">
        <v>114333216.92359614</v>
      </c>
      <c r="H255" s="348">
        <v>562887116.08525336</v>
      </c>
      <c r="I255" s="369"/>
      <c r="J255" s="350">
        <v>143160087.16630977</v>
      </c>
      <c r="K255" s="350">
        <v>177049794.66100988</v>
      </c>
      <c r="L255" s="350">
        <v>211400296.69139418</v>
      </c>
      <c r="M255" s="350">
        <v>246265285.0530228</v>
      </c>
      <c r="N255" s="350">
        <v>281653256.40039539</v>
      </c>
      <c r="O255" s="348">
        <v>1059528719.972132</v>
      </c>
      <c r="P255" s="369"/>
      <c r="Q255" s="350">
        <f t="shared" si="117"/>
        <v>32356782.473929644</v>
      </c>
      <c r="R255" s="350">
        <f t="shared" si="118"/>
        <v>65337681.211149246</v>
      </c>
      <c r="S255" s="350">
        <f t="shared" si="119"/>
        <v>98817454.898213878</v>
      </c>
      <c r="T255" s="350">
        <f t="shared" si="120"/>
        <v>132809645.82678665</v>
      </c>
      <c r="U255" s="350">
        <f t="shared" si="121"/>
        <v>167320039.47679925</v>
      </c>
      <c r="V255" s="350">
        <f t="shared" si="122"/>
        <v>496641603.88687861</v>
      </c>
      <c r="W255" s="365"/>
      <c r="X255" s="377">
        <f t="shared" si="100"/>
        <v>0</v>
      </c>
      <c r="Y255" s="377">
        <f t="shared" si="101"/>
        <v>0</v>
      </c>
      <c r="Z255" s="377">
        <f t="shared" si="102"/>
        <v>0</v>
      </c>
      <c r="AA255" s="377">
        <f t="shared" si="103"/>
        <v>0</v>
      </c>
      <c r="AB255" s="377">
        <f t="shared" si="104"/>
        <v>0</v>
      </c>
      <c r="AC255" s="377">
        <f t="shared" si="105"/>
        <v>0</v>
      </c>
      <c r="AD255" s="376"/>
      <c r="AE255" s="332">
        <v>240</v>
      </c>
      <c r="AF255" s="350">
        <v>134943386.39870507</v>
      </c>
      <c r="AG255" s="350">
        <v>136050192.11775556</v>
      </c>
      <c r="AH255" s="350">
        <v>137110621.06080106</v>
      </c>
      <c r="AI255" s="350">
        <v>138173569.8743192</v>
      </c>
      <c r="AJ255" s="350">
        <v>139242340.40096107</v>
      </c>
      <c r="AK255" s="348">
        <v>685520109.85254192</v>
      </c>
      <c r="AL255" s="369"/>
      <c r="AM255" s="350">
        <v>171861444.97910318</v>
      </c>
      <c r="AN255" s="350">
        <v>210623376.99405563</v>
      </c>
      <c r="AO255" s="350">
        <v>249908521.93346503</v>
      </c>
      <c r="AP255" s="350">
        <v>289781229.15492344</v>
      </c>
      <c r="AQ255" s="350">
        <v>330251405.36109215</v>
      </c>
      <c r="AR255" s="348">
        <v>1252425978.4226394</v>
      </c>
      <c r="AS255" s="369"/>
      <c r="AT255" s="350">
        <f t="shared" si="123"/>
        <v>36918058.580398113</v>
      </c>
      <c r="AU255" s="350">
        <f t="shared" si="106"/>
        <v>74573184.876300067</v>
      </c>
      <c r="AV255" s="350">
        <f t="shared" si="107"/>
        <v>112797900.87266397</v>
      </c>
      <c r="AW255" s="350">
        <f t="shared" si="108"/>
        <v>151607659.28060424</v>
      </c>
      <c r="AX255" s="350">
        <f t="shared" si="109"/>
        <v>191009064.96013108</v>
      </c>
      <c r="AY255" s="350">
        <f t="shared" si="110"/>
        <v>566905868.57009745</v>
      </c>
      <c r="AZ255" s="365"/>
      <c r="BA255" s="377">
        <f t="shared" si="111"/>
        <v>0</v>
      </c>
      <c r="BB255" s="377">
        <f t="shared" si="112"/>
        <v>0</v>
      </c>
      <c r="BC255" s="377">
        <f t="shared" si="113"/>
        <v>0</v>
      </c>
      <c r="BD255" s="377">
        <f t="shared" si="114"/>
        <v>0</v>
      </c>
      <c r="BE255" s="377">
        <f t="shared" si="115"/>
        <v>0</v>
      </c>
      <c r="BF255" s="377">
        <f t="shared" si="116"/>
        <v>0</v>
      </c>
      <c r="BG255" s="328"/>
    </row>
    <row r="256" spans="2:59">
      <c r="B256" s="332">
        <v>241</v>
      </c>
      <c r="C256" s="350">
        <v>127626435.06417775</v>
      </c>
      <c r="D256" s="350">
        <v>128673227.14492258</v>
      </c>
      <c r="E256" s="350">
        <v>129676157.10875125</v>
      </c>
      <c r="F256" s="350">
        <v>130681470.30968276</v>
      </c>
      <c r="G256" s="350">
        <v>131692289.55660719</v>
      </c>
      <c r="H256" s="348">
        <v>648349579.18414164</v>
      </c>
      <c r="I256" s="369"/>
      <c r="J256" s="350">
        <v>159533267.76475355</v>
      </c>
      <c r="K256" s="350">
        <v>193146380.69820434</v>
      </c>
      <c r="L256" s="350">
        <v>227208255.86406237</v>
      </c>
      <c r="M256" s="350">
        <v>261778495.0381023</v>
      </c>
      <c r="N256" s="350">
        <v>296865932.78091568</v>
      </c>
      <c r="O256" s="348">
        <v>1138532332.1460381</v>
      </c>
      <c r="P256" s="369"/>
      <c r="Q256" s="350">
        <f t="shared" si="117"/>
        <v>31906832.700575799</v>
      </c>
      <c r="R256" s="350">
        <f t="shared" si="118"/>
        <v>64473153.553281754</v>
      </c>
      <c r="S256" s="350">
        <f t="shared" si="119"/>
        <v>97532098.755311117</v>
      </c>
      <c r="T256" s="350">
        <f t="shared" si="120"/>
        <v>131097024.72841954</v>
      </c>
      <c r="U256" s="350">
        <f t="shared" si="121"/>
        <v>165173643.22430849</v>
      </c>
      <c r="V256" s="350">
        <f t="shared" si="122"/>
        <v>490182752.96189642</v>
      </c>
      <c r="W256" s="365"/>
      <c r="X256" s="377">
        <f t="shared" si="100"/>
        <v>0</v>
      </c>
      <c r="Y256" s="377">
        <f t="shared" si="101"/>
        <v>0</v>
      </c>
      <c r="Z256" s="377">
        <f t="shared" si="102"/>
        <v>0</v>
      </c>
      <c r="AA256" s="377">
        <f t="shared" si="103"/>
        <v>0</v>
      </c>
      <c r="AB256" s="377">
        <f t="shared" si="104"/>
        <v>0</v>
      </c>
      <c r="AC256" s="377">
        <f t="shared" si="105"/>
        <v>0</v>
      </c>
      <c r="AD256" s="376"/>
      <c r="AE256" s="332">
        <v>241</v>
      </c>
      <c r="AF256" s="350">
        <v>153756365.7865347</v>
      </c>
      <c r="AG256" s="350">
        <v>155017475.57141992</v>
      </c>
      <c r="AH256" s="350">
        <v>156225743.01459637</v>
      </c>
      <c r="AI256" s="350">
        <v>157436881.63313353</v>
      </c>
      <c r="AJ256" s="350">
        <v>158654653.59233639</v>
      </c>
      <c r="AK256" s="348">
        <v>781091119.59802091</v>
      </c>
      <c r="AL256" s="369"/>
      <c r="AM256" s="350">
        <v>201836767.56683981</v>
      </c>
      <c r="AN256" s="350">
        <v>252124523.7988674</v>
      </c>
      <c r="AO256" s="350">
        <v>303101032.19405615</v>
      </c>
      <c r="AP256" s="350">
        <v>354842130.41813123</v>
      </c>
      <c r="AQ256" s="350">
        <v>407360180.41795677</v>
      </c>
      <c r="AR256" s="348">
        <v>1519264634.3958516</v>
      </c>
      <c r="AS256" s="369"/>
      <c r="AT256" s="350">
        <f t="shared" si="123"/>
        <v>48080401.780305117</v>
      </c>
      <c r="AU256" s="350">
        <f t="shared" si="106"/>
        <v>97107048.22744748</v>
      </c>
      <c r="AV256" s="350">
        <f t="shared" si="107"/>
        <v>146875289.17945978</v>
      </c>
      <c r="AW256" s="350">
        <f t="shared" si="108"/>
        <v>197405248.7849977</v>
      </c>
      <c r="AX256" s="350">
        <f t="shared" si="109"/>
        <v>248705526.82562038</v>
      </c>
      <c r="AY256" s="350">
        <f t="shared" si="110"/>
        <v>738173514.7978307</v>
      </c>
      <c r="AZ256" s="365"/>
      <c r="BA256" s="377">
        <f t="shared" si="111"/>
        <v>0</v>
      </c>
      <c r="BB256" s="377">
        <f t="shared" si="112"/>
        <v>0</v>
      </c>
      <c r="BC256" s="377">
        <f t="shared" si="113"/>
        <v>0</v>
      </c>
      <c r="BD256" s="377">
        <f t="shared" si="114"/>
        <v>0</v>
      </c>
      <c r="BE256" s="377">
        <f t="shared" si="115"/>
        <v>0</v>
      </c>
      <c r="BF256" s="377">
        <f t="shared" si="116"/>
        <v>0</v>
      </c>
      <c r="BG256" s="328"/>
    </row>
    <row r="257" spans="2:59">
      <c r="B257" s="332">
        <v>242</v>
      </c>
      <c r="C257" s="350">
        <v>114989981.95099534</v>
      </c>
      <c r="D257" s="350">
        <v>115933129.83733067</v>
      </c>
      <c r="E257" s="350">
        <v>116836758.44985741</v>
      </c>
      <c r="F257" s="350">
        <v>117742534.33219776</v>
      </c>
      <c r="G257" s="350">
        <v>118653271.10002416</v>
      </c>
      <c r="H257" s="348">
        <v>584155675.67040539</v>
      </c>
      <c r="I257" s="369"/>
      <c r="J257" s="350">
        <v>148551221.58741045</v>
      </c>
      <c r="K257" s="350">
        <v>183733267.13664949</v>
      </c>
      <c r="L257" s="350">
        <v>219393711.0993239</v>
      </c>
      <c r="M257" s="350">
        <v>255588268.0965969</v>
      </c>
      <c r="N257" s="350">
        <v>292325757.2107653</v>
      </c>
      <c r="O257" s="348">
        <v>1099592225.1307461</v>
      </c>
      <c r="P257" s="369"/>
      <c r="Q257" s="350">
        <f t="shared" si="117"/>
        <v>33561239.636415109</v>
      </c>
      <c r="R257" s="350">
        <f t="shared" si="118"/>
        <v>67800137.29931882</v>
      </c>
      <c r="S257" s="350">
        <f t="shared" si="119"/>
        <v>102556952.64946648</v>
      </c>
      <c r="T257" s="350">
        <f t="shared" si="120"/>
        <v>137845733.76439914</v>
      </c>
      <c r="U257" s="350">
        <f t="shared" si="121"/>
        <v>173672486.11074114</v>
      </c>
      <c r="V257" s="350">
        <f t="shared" si="122"/>
        <v>515436549.46034074</v>
      </c>
      <c r="W257" s="365"/>
      <c r="X257" s="377">
        <f t="shared" si="100"/>
        <v>0</v>
      </c>
      <c r="Y257" s="377">
        <f t="shared" si="101"/>
        <v>0</v>
      </c>
      <c r="Z257" s="377">
        <f t="shared" si="102"/>
        <v>0</v>
      </c>
      <c r="AA257" s="377">
        <f t="shared" si="103"/>
        <v>0</v>
      </c>
      <c r="AB257" s="377">
        <f t="shared" si="104"/>
        <v>0</v>
      </c>
      <c r="AC257" s="377">
        <f t="shared" si="105"/>
        <v>0</v>
      </c>
      <c r="AD257" s="376"/>
      <c r="AE257" s="332">
        <v>242</v>
      </c>
      <c r="AF257" s="350">
        <v>139727096.06178269</v>
      </c>
      <c r="AG257" s="350">
        <v>140873137.7697517</v>
      </c>
      <c r="AH257" s="350">
        <v>141971158.65647992</v>
      </c>
      <c r="AI257" s="350">
        <v>143071788.74246556</v>
      </c>
      <c r="AJ257" s="350">
        <v>144178446.91986501</v>
      </c>
      <c r="AK257" s="348">
        <v>709821628.15034497</v>
      </c>
      <c r="AL257" s="369"/>
      <c r="AM257" s="350">
        <v>175043169.09932193</v>
      </c>
      <c r="AN257" s="350">
        <v>212193844.48473725</v>
      </c>
      <c r="AO257" s="350">
        <v>249841114.95875764</v>
      </c>
      <c r="AP257" s="350">
        <v>288050391.79528189</v>
      </c>
      <c r="AQ257" s="350">
        <v>326831409.61956561</v>
      </c>
      <c r="AR257" s="348">
        <v>1251959929.9576645</v>
      </c>
      <c r="AS257" s="369"/>
      <c r="AT257" s="350">
        <f t="shared" si="123"/>
        <v>35316073.037539244</v>
      </c>
      <c r="AU257" s="350">
        <f t="shared" si="106"/>
        <v>71320706.714985549</v>
      </c>
      <c r="AV257" s="350">
        <f t="shared" si="107"/>
        <v>107869956.30227771</v>
      </c>
      <c r="AW257" s="350">
        <f t="shared" si="108"/>
        <v>144978603.05281633</v>
      </c>
      <c r="AX257" s="350">
        <f t="shared" si="109"/>
        <v>182652962.69970059</v>
      </c>
      <c r="AY257" s="350">
        <f t="shared" si="110"/>
        <v>542138301.80731952</v>
      </c>
      <c r="AZ257" s="365"/>
      <c r="BA257" s="377">
        <f t="shared" si="111"/>
        <v>0</v>
      </c>
      <c r="BB257" s="377">
        <f t="shared" si="112"/>
        <v>0</v>
      </c>
      <c r="BC257" s="377">
        <f t="shared" si="113"/>
        <v>0</v>
      </c>
      <c r="BD257" s="377">
        <f t="shared" si="114"/>
        <v>0</v>
      </c>
      <c r="BE257" s="377">
        <f t="shared" si="115"/>
        <v>0</v>
      </c>
      <c r="BF257" s="377">
        <f t="shared" si="116"/>
        <v>0</v>
      </c>
      <c r="BG257" s="328"/>
    </row>
    <row r="258" spans="2:59">
      <c r="B258" s="332">
        <v>243</v>
      </c>
      <c r="C258" s="350">
        <v>131201454.46227406</v>
      </c>
      <c r="D258" s="350">
        <v>132277568.85381249</v>
      </c>
      <c r="E258" s="350">
        <v>133308592.48079036</v>
      </c>
      <c r="F258" s="350">
        <v>134342066.10313207</v>
      </c>
      <c r="G258" s="350">
        <v>135381200.00457072</v>
      </c>
      <c r="H258" s="348">
        <v>666510881.90457964</v>
      </c>
      <c r="I258" s="369"/>
      <c r="J258" s="350">
        <v>166914927.74235702</v>
      </c>
      <c r="K258" s="350">
        <v>204417735.75054836</v>
      </c>
      <c r="L258" s="350">
        <v>242426460.91967312</v>
      </c>
      <c r="M258" s="350">
        <v>281003592.53136426</v>
      </c>
      <c r="N258" s="350">
        <v>320158730.25275069</v>
      </c>
      <c r="O258" s="348">
        <v>1214921447.1966934</v>
      </c>
      <c r="P258" s="369"/>
      <c r="Q258" s="350">
        <f t="shared" si="117"/>
        <v>35713473.280082956</v>
      </c>
      <c r="R258" s="350">
        <f t="shared" si="118"/>
        <v>72140166.896735877</v>
      </c>
      <c r="S258" s="350">
        <f t="shared" si="119"/>
        <v>109117868.43888275</v>
      </c>
      <c r="T258" s="350">
        <f t="shared" si="120"/>
        <v>146661526.42823219</v>
      </c>
      <c r="U258" s="350">
        <f t="shared" si="121"/>
        <v>184777530.24817997</v>
      </c>
      <c r="V258" s="350">
        <f t="shared" si="122"/>
        <v>548410565.29211378</v>
      </c>
      <c r="W258" s="365"/>
      <c r="X258" s="377">
        <f t="shared" si="100"/>
        <v>0</v>
      </c>
      <c r="Y258" s="377">
        <f t="shared" si="101"/>
        <v>0</v>
      </c>
      <c r="Z258" s="377">
        <f t="shared" si="102"/>
        <v>0</v>
      </c>
      <c r="AA258" s="377">
        <f t="shared" si="103"/>
        <v>0</v>
      </c>
      <c r="AB258" s="377">
        <f t="shared" si="104"/>
        <v>0</v>
      </c>
      <c r="AC258" s="377">
        <f t="shared" si="105"/>
        <v>0</v>
      </c>
      <c r="AD258" s="376"/>
      <c r="AE258" s="332">
        <v>243</v>
      </c>
      <c r="AF258" s="350">
        <v>117332533.11540873</v>
      </c>
      <c r="AG258" s="350">
        <v>118294894.60750228</v>
      </c>
      <c r="AH258" s="350">
        <v>119216931.74764642</v>
      </c>
      <c r="AI258" s="350">
        <v>120141159.90132272</v>
      </c>
      <c r="AJ258" s="350">
        <v>121070450.00257652</v>
      </c>
      <c r="AK258" s="348">
        <v>596055969.37445664</v>
      </c>
      <c r="AL258" s="369"/>
      <c r="AM258" s="350">
        <v>151945301.88173112</v>
      </c>
      <c r="AN258" s="350">
        <v>188195771.24383485</v>
      </c>
      <c r="AO258" s="350">
        <v>224939694.02605444</v>
      </c>
      <c r="AP258" s="350">
        <v>262234072.51229832</v>
      </c>
      <c r="AQ258" s="350">
        <v>300087967.6695509</v>
      </c>
      <c r="AR258" s="348">
        <v>1127402807.3334696</v>
      </c>
      <c r="AS258" s="369"/>
      <c r="AT258" s="350">
        <f t="shared" si="123"/>
        <v>34612768.766322389</v>
      </c>
      <c r="AU258" s="350">
        <f t="shared" si="106"/>
        <v>69900876.636332572</v>
      </c>
      <c r="AV258" s="350">
        <f t="shared" si="107"/>
        <v>105722762.27840802</v>
      </c>
      <c r="AW258" s="350">
        <f t="shared" si="108"/>
        <v>142092912.61097559</v>
      </c>
      <c r="AX258" s="350">
        <f t="shared" si="109"/>
        <v>179017517.66697437</v>
      </c>
      <c r="AY258" s="350">
        <f t="shared" si="110"/>
        <v>531346837.95901299</v>
      </c>
      <c r="AZ258" s="365"/>
      <c r="BA258" s="377">
        <f t="shared" si="111"/>
        <v>0</v>
      </c>
      <c r="BB258" s="377">
        <f t="shared" si="112"/>
        <v>0</v>
      </c>
      <c r="BC258" s="377">
        <f t="shared" si="113"/>
        <v>0</v>
      </c>
      <c r="BD258" s="377">
        <f t="shared" si="114"/>
        <v>0</v>
      </c>
      <c r="BE258" s="377">
        <f t="shared" si="115"/>
        <v>0</v>
      </c>
      <c r="BF258" s="377">
        <f t="shared" si="116"/>
        <v>0</v>
      </c>
      <c r="BG258" s="328"/>
    </row>
    <row r="259" spans="2:59">
      <c r="B259" s="332">
        <v>244</v>
      </c>
      <c r="C259" s="350">
        <v>126501155.42055953</v>
      </c>
      <c r="D259" s="350">
        <v>127538717.95713528</v>
      </c>
      <c r="E259" s="350">
        <v>128532805.10817443</v>
      </c>
      <c r="F259" s="350">
        <v>129529254.48336405</v>
      </c>
      <c r="G259" s="350">
        <v>130531161.35785267</v>
      </c>
      <c r="H259" s="348">
        <v>642633094.32708597</v>
      </c>
      <c r="I259" s="369"/>
      <c r="J259" s="350">
        <v>161383401.0974015</v>
      </c>
      <c r="K259" s="350">
        <v>197998036.24049675</v>
      </c>
      <c r="L259" s="350">
        <v>235107351.31292894</v>
      </c>
      <c r="M259" s="350">
        <v>272771784.42106742</v>
      </c>
      <c r="N259" s="350">
        <v>311000671.23745328</v>
      </c>
      <c r="O259" s="348">
        <v>1178261244.3093479</v>
      </c>
      <c r="P259" s="369"/>
      <c r="Q259" s="350">
        <f t="shared" si="117"/>
        <v>34882245.676841974</v>
      </c>
      <c r="R259" s="350">
        <f t="shared" si="118"/>
        <v>70459318.28336148</v>
      </c>
      <c r="S259" s="350">
        <f t="shared" si="119"/>
        <v>106574546.20475452</v>
      </c>
      <c r="T259" s="350">
        <f t="shared" si="120"/>
        <v>143242529.93770337</v>
      </c>
      <c r="U259" s="350">
        <f t="shared" si="121"/>
        <v>180469509.87960061</v>
      </c>
      <c r="V259" s="350">
        <f t="shared" si="122"/>
        <v>535628149.9822619</v>
      </c>
      <c r="W259" s="365"/>
      <c r="X259" s="377">
        <f t="shared" si="100"/>
        <v>0</v>
      </c>
      <c r="Y259" s="377">
        <f t="shared" si="101"/>
        <v>0</v>
      </c>
      <c r="Z259" s="377">
        <f t="shared" si="102"/>
        <v>0</v>
      </c>
      <c r="AA259" s="377">
        <f t="shared" si="103"/>
        <v>0</v>
      </c>
      <c r="AB259" s="377">
        <f t="shared" si="104"/>
        <v>0</v>
      </c>
      <c r="AC259" s="377">
        <f t="shared" si="105"/>
        <v>0</v>
      </c>
      <c r="AD259" s="376"/>
      <c r="AE259" s="332">
        <v>244</v>
      </c>
      <c r="AF259" s="350">
        <v>111556112.52164719</v>
      </c>
      <c r="AG259" s="350">
        <v>112471095.80929928</v>
      </c>
      <c r="AH259" s="350">
        <v>113347739.96095915</v>
      </c>
      <c r="AI259" s="350">
        <v>114226467.25994088</v>
      </c>
      <c r="AJ259" s="350">
        <v>115110007.30078146</v>
      </c>
      <c r="AK259" s="348">
        <v>566711422.85262787</v>
      </c>
      <c r="AL259" s="369"/>
      <c r="AM259" s="350">
        <v>146417395.52478412</v>
      </c>
      <c r="AN259" s="350">
        <v>182878395.92476588</v>
      </c>
      <c r="AO259" s="350">
        <v>219838738.27068448</v>
      </c>
      <c r="AP259" s="350">
        <v>257353436.03068483</v>
      </c>
      <c r="AQ259" s="350">
        <v>295431453.96964389</v>
      </c>
      <c r="AR259" s="348">
        <v>1101919419.7205632</v>
      </c>
      <c r="AS259" s="369"/>
      <c r="AT259" s="350">
        <f t="shared" si="123"/>
        <v>34861283.003136933</v>
      </c>
      <c r="AU259" s="350">
        <f t="shared" si="106"/>
        <v>70407300.11546661</v>
      </c>
      <c r="AV259" s="350">
        <f t="shared" si="107"/>
        <v>106490998.30972533</v>
      </c>
      <c r="AW259" s="350">
        <f t="shared" si="108"/>
        <v>143126968.77074397</v>
      </c>
      <c r="AX259" s="350">
        <f t="shared" si="109"/>
        <v>180321446.66886243</v>
      </c>
      <c r="AY259" s="350">
        <f t="shared" si="110"/>
        <v>535207996.8679353</v>
      </c>
      <c r="AZ259" s="365"/>
      <c r="BA259" s="377">
        <f t="shared" si="111"/>
        <v>0</v>
      </c>
      <c r="BB259" s="377">
        <f t="shared" si="112"/>
        <v>0</v>
      </c>
      <c r="BC259" s="377">
        <f t="shared" si="113"/>
        <v>0</v>
      </c>
      <c r="BD259" s="377">
        <f t="shared" si="114"/>
        <v>0</v>
      </c>
      <c r="BE259" s="377">
        <f t="shared" si="115"/>
        <v>0</v>
      </c>
      <c r="BF259" s="377">
        <f t="shared" si="116"/>
        <v>0</v>
      </c>
      <c r="BG259" s="328"/>
    </row>
    <row r="260" spans="2:59">
      <c r="B260" s="332">
        <v>245</v>
      </c>
      <c r="C260" s="350">
        <v>123839743.79041062</v>
      </c>
      <c r="D260" s="350">
        <v>124855477.42753747</v>
      </c>
      <c r="E260" s="350">
        <v>125828650.34189348</v>
      </c>
      <c r="F260" s="350">
        <v>126804135.78242835</v>
      </c>
      <c r="G260" s="350">
        <v>127784963.90392673</v>
      </c>
      <c r="H260" s="348">
        <v>629112971.24619663</v>
      </c>
      <c r="I260" s="369"/>
      <c r="J260" s="350">
        <v>155233656.23160225</v>
      </c>
      <c r="K260" s="350">
        <v>188256181.23652789</v>
      </c>
      <c r="L260" s="350">
        <v>221720289.34020489</v>
      </c>
      <c r="M260" s="350">
        <v>255683993.50059953</v>
      </c>
      <c r="N260" s="350">
        <v>290155938.30830848</v>
      </c>
      <c r="O260" s="348">
        <v>1111050058.6172431</v>
      </c>
      <c r="P260" s="369"/>
      <c r="Q260" s="350">
        <f t="shared" si="117"/>
        <v>31393912.441191629</v>
      </c>
      <c r="R260" s="350">
        <f t="shared" si="118"/>
        <v>63400703.808990419</v>
      </c>
      <c r="S260" s="350">
        <f t="shared" si="119"/>
        <v>95891638.998311415</v>
      </c>
      <c r="T260" s="350">
        <f t="shared" si="120"/>
        <v>128879857.71817118</v>
      </c>
      <c r="U260" s="350">
        <f t="shared" si="121"/>
        <v>162370974.40438175</v>
      </c>
      <c r="V260" s="350">
        <f t="shared" si="122"/>
        <v>481937087.37104642</v>
      </c>
      <c r="W260" s="365"/>
      <c r="X260" s="377">
        <f t="shared" si="100"/>
        <v>0</v>
      </c>
      <c r="Y260" s="377">
        <f t="shared" si="101"/>
        <v>0</v>
      </c>
      <c r="Z260" s="377">
        <f t="shared" si="102"/>
        <v>0</v>
      </c>
      <c r="AA260" s="377">
        <f t="shared" si="103"/>
        <v>0</v>
      </c>
      <c r="AB260" s="377">
        <f t="shared" si="104"/>
        <v>0</v>
      </c>
      <c r="AC260" s="377">
        <f t="shared" si="105"/>
        <v>0</v>
      </c>
      <c r="AD260" s="376"/>
      <c r="AE260" s="332">
        <v>245</v>
      </c>
      <c r="AF260" s="350">
        <v>127689197.98888086</v>
      </c>
      <c r="AG260" s="350">
        <v>128736504.85116374</v>
      </c>
      <c r="AH260" s="350">
        <v>129739928.02643229</v>
      </c>
      <c r="AI260" s="350">
        <v>130745735.6108095</v>
      </c>
      <c r="AJ260" s="350">
        <v>131757051.94889106</v>
      </c>
      <c r="AK260" s="348">
        <v>648668418.4261775</v>
      </c>
      <c r="AL260" s="369"/>
      <c r="AM260" s="350">
        <v>156453542.27200207</v>
      </c>
      <c r="AN260" s="350">
        <v>186847186.26833612</v>
      </c>
      <c r="AO260" s="350">
        <v>217640857.07017809</v>
      </c>
      <c r="AP260" s="350">
        <v>248892863.03100148</v>
      </c>
      <c r="AQ260" s="350">
        <v>280611475.7849257</v>
      </c>
      <c r="AR260" s="348">
        <v>1090445924.4264436</v>
      </c>
      <c r="AS260" s="369"/>
      <c r="AT260" s="350">
        <f t="shared" si="123"/>
        <v>28764344.283121213</v>
      </c>
      <c r="AU260" s="350">
        <f t="shared" si="106"/>
        <v>58110681.417172372</v>
      </c>
      <c r="AV260" s="350">
        <f t="shared" si="107"/>
        <v>87900929.043745801</v>
      </c>
      <c r="AW260" s="350">
        <f t="shared" si="108"/>
        <v>118147127.42019197</v>
      </c>
      <c r="AX260" s="350">
        <f t="shared" si="109"/>
        <v>148854423.83603466</v>
      </c>
      <c r="AY260" s="350">
        <f t="shared" si="110"/>
        <v>441777506.00026608</v>
      </c>
      <c r="AZ260" s="365"/>
      <c r="BA260" s="377">
        <f t="shared" si="111"/>
        <v>0</v>
      </c>
      <c r="BB260" s="377">
        <f t="shared" si="112"/>
        <v>0</v>
      </c>
      <c r="BC260" s="377">
        <f t="shared" si="113"/>
        <v>0</v>
      </c>
      <c r="BD260" s="377">
        <f t="shared" si="114"/>
        <v>0</v>
      </c>
      <c r="BE260" s="377">
        <f t="shared" si="115"/>
        <v>0</v>
      </c>
      <c r="BF260" s="377">
        <f t="shared" si="116"/>
        <v>0</v>
      </c>
      <c r="BG260" s="328"/>
    </row>
    <row r="261" spans="2:59">
      <c r="B261" s="332">
        <v>246</v>
      </c>
      <c r="C261" s="350">
        <v>131271188.40394449</v>
      </c>
      <c r="D261" s="350">
        <v>132347874.75330548</v>
      </c>
      <c r="E261" s="350">
        <v>133379446.37223785</v>
      </c>
      <c r="F261" s="350">
        <v>134413469.28871351</v>
      </c>
      <c r="G261" s="350">
        <v>135453155.4927403</v>
      </c>
      <c r="H261" s="348">
        <v>666865134.3109417</v>
      </c>
      <c r="I261" s="369"/>
      <c r="J261" s="350">
        <v>165174374.32961285</v>
      </c>
      <c r="K261" s="350">
        <v>200822322.11621404</v>
      </c>
      <c r="L261" s="350">
        <v>236948092.76907608</v>
      </c>
      <c r="M261" s="350">
        <v>273613442.60963398</v>
      </c>
      <c r="N261" s="350">
        <v>310827647.76596832</v>
      </c>
      <c r="O261" s="348">
        <v>1187385879.5905054</v>
      </c>
      <c r="P261" s="369"/>
      <c r="Q261" s="350">
        <f t="shared" si="117"/>
        <v>33903185.925668359</v>
      </c>
      <c r="R261" s="350">
        <f t="shared" si="118"/>
        <v>68474447.362908557</v>
      </c>
      <c r="S261" s="350">
        <f t="shared" si="119"/>
        <v>103568646.39683823</v>
      </c>
      <c r="T261" s="350">
        <f t="shared" si="120"/>
        <v>139199973.32092047</v>
      </c>
      <c r="U261" s="350">
        <f t="shared" si="121"/>
        <v>175374492.27322802</v>
      </c>
      <c r="V261" s="350">
        <f t="shared" si="122"/>
        <v>520520745.27956367</v>
      </c>
      <c r="W261" s="365"/>
      <c r="X261" s="377">
        <f t="shared" si="100"/>
        <v>0</v>
      </c>
      <c r="Y261" s="377">
        <f t="shared" si="101"/>
        <v>0</v>
      </c>
      <c r="Z261" s="377">
        <f t="shared" si="102"/>
        <v>0</v>
      </c>
      <c r="AA261" s="377">
        <f t="shared" si="103"/>
        <v>0</v>
      </c>
      <c r="AB261" s="377">
        <f t="shared" si="104"/>
        <v>0</v>
      </c>
      <c r="AC261" s="377">
        <f t="shared" si="105"/>
        <v>0</v>
      </c>
      <c r="AD261" s="376"/>
      <c r="AE261" s="332">
        <v>246</v>
      </c>
      <c r="AF261" s="350">
        <v>112551168.99572858</v>
      </c>
      <c r="AG261" s="350">
        <v>113474313.73705162</v>
      </c>
      <c r="AH261" s="350">
        <v>114358777.3655546</v>
      </c>
      <c r="AI261" s="350">
        <v>115245342.72260451</v>
      </c>
      <c r="AJ261" s="350">
        <v>116136763.75013311</v>
      </c>
      <c r="AK261" s="348">
        <v>571766366.57107246</v>
      </c>
      <c r="AL261" s="369"/>
      <c r="AM261" s="350">
        <v>142696771.34131539</v>
      </c>
      <c r="AN261" s="350">
        <v>174378781.96912068</v>
      </c>
      <c r="AO261" s="350">
        <v>206487390.27923483</v>
      </c>
      <c r="AP261" s="350">
        <v>239075997.72579664</v>
      </c>
      <c r="AQ261" s="350">
        <v>272152753.21938294</v>
      </c>
      <c r="AR261" s="348">
        <v>1034791694.5348506</v>
      </c>
      <c r="AS261" s="369"/>
      <c r="AT261" s="350">
        <f t="shared" si="123"/>
        <v>30145602.345586807</v>
      </c>
      <c r="AU261" s="350">
        <f t="shared" si="106"/>
        <v>60904468.23206906</v>
      </c>
      <c r="AV261" s="350">
        <f t="shared" si="107"/>
        <v>92128612.913680226</v>
      </c>
      <c r="AW261" s="350">
        <f t="shared" si="108"/>
        <v>123830655.00319213</v>
      </c>
      <c r="AX261" s="350">
        <f t="shared" si="109"/>
        <v>156015989.46924984</v>
      </c>
      <c r="AY261" s="350">
        <f t="shared" si="110"/>
        <v>463025327.96377814</v>
      </c>
      <c r="AZ261" s="365"/>
      <c r="BA261" s="377">
        <f t="shared" si="111"/>
        <v>0</v>
      </c>
      <c r="BB261" s="377">
        <f t="shared" si="112"/>
        <v>0</v>
      </c>
      <c r="BC261" s="377">
        <f t="shared" si="113"/>
        <v>0</v>
      </c>
      <c r="BD261" s="377">
        <f t="shared" si="114"/>
        <v>0</v>
      </c>
      <c r="BE261" s="377">
        <f t="shared" si="115"/>
        <v>0</v>
      </c>
      <c r="BF261" s="377">
        <f t="shared" si="116"/>
        <v>0</v>
      </c>
      <c r="BG261" s="328"/>
    </row>
    <row r="262" spans="2:59">
      <c r="B262" s="332">
        <v>247</v>
      </c>
      <c r="C262" s="350">
        <v>125459901.58953182</v>
      </c>
      <c r="D262" s="350">
        <v>126488923.76169315</v>
      </c>
      <c r="E262" s="350">
        <v>127474828.40205915</v>
      </c>
      <c r="F262" s="350">
        <v>128463075.82268247</v>
      </c>
      <c r="G262" s="350">
        <v>129456735.82094356</v>
      </c>
      <c r="H262" s="348">
        <v>637343465.39691019</v>
      </c>
      <c r="I262" s="369"/>
      <c r="J262" s="350">
        <v>160284799.23428127</v>
      </c>
      <c r="K262" s="350">
        <v>196818524.79732639</v>
      </c>
      <c r="L262" s="350">
        <v>233846187.03654626</v>
      </c>
      <c r="M262" s="350">
        <v>271427821.98560452</v>
      </c>
      <c r="N262" s="350">
        <v>309572727.46127343</v>
      </c>
      <c r="O262" s="348">
        <v>1171950060.5150318</v>
      </c>
      <c r="P262" s="369"/>
      <c r="Q262" s="350">
        <f t="shared" si="117"/>
        <v>34824897.644749448</v>
      </c>
      <c r="R262" s="350">
        <f t="shared" si="118"/>
        <v>70329601.035633236</v>
      </c>
      <c r="S262" s="350">
        <f t="shared" si="119"/>
        <v>106371358.63448711</v>
      </c>
      <c r="T262" s="350">
        <f t="shared" si="120"/>
        <v>142964746.16292205</v>
      </c>
      <c r="U262" s="350">
        <f t="shared" si="121"/>
        <v>180115991.64032987</v>
      </c>
      <c r="V262" s="350">
        <f t="shared" si="122"/>
        <v>534606595.11812162</v>
      </c>
      <c r="W262" s="365"/>
      <c r="X262" s="377">
        <f t="shared" si="100"/>
        <v>0</v>
      </c>
      <c r="Y262" s="377">
        <f t="shared" si="101"/>
        <v>0</v>
      </c>
      <c r="Z262" s="377">
        <f t="shared" si="102"/>
        <v>0</v>
      </c>
      <c r="AA262" s="377">
        <f t="shared" si="103"/>
        <v>0</v>
      </c>
      <c r="AB262" s="377">
        <f t="shared" si="104"/>
        <v>0</v>
      </c>
      <c r="AC262" s="377">
        <f t="shared" si="105"/>
        <v>0</v>
      </c>
      <c r="AD262" s="376"/>
      <c r="AE262" s="332">
        <v>247</v>
      </c>
      <c r="AF262" s="350">
        <v>134351078.85465324</v>
      </c>
      <c r="AG262" s="350">
        <v>135453026.46694735</v>
      </c>
      <c r="AH262" s="350">
        <v>136508800.86500433</v>
      </c>
      <c r="AI262" s="350">
        <v>137567084.07305646</v>
      </c>
      <c r="AJ262" s="350">
        <v>138631163.44096366</v>
      </c>
      <c r="AK262" s="348">
        <v>682511153.70062494</v>
      </c>
      <c r="AL262" s="369"/>
      <c r="AM262" s="350">
        <v>167487745.66855258</v>
      </c>
      <c r="AN262" s="350">
        <v>202395713.0416494</v>
      </c>
      <c r="AO262" s="350">
        <v>237768877.04597625</v>
      </c>
      <c r="AP262" s="350">
        <v>273669790.08031756</v>
      </c>
      <c r="AQ262" s="350">
        <v>310107669.02873522</v>
      </c>
      <c r="AR262" s="348">
        <v>1191429794.865231</v>
      </c>
      <c r="AS262" s="369"/>
      <c r="AT262" s="350">
        <f t="shared" si="123"/>
        <v>33136666.813899338</v>
      </c>
      <c r="AU262" s="350">
        <f t="shared" si="106"/>
        <v>66942686.574702054</v>
      </c>
      <c r="AV262" s="350">
        <f t="shared" si="107"/>
        <v>101260076.18097192</v>
      </c>
      <c r="AW262" s="350">
        <f t="shared" si="108"/>
        <v>136102706.0072611</v>
      </c>
      <c r="AX262" s="350">
        <f t="shared" si="109"/>
        <v>171476505.58777156</v>
      </c>
      <c r="AY262" s="350">
        <f t="shared" si="110"/>
        <v>508918641.16460609</v>
      </c>
      <c r="AZ262" s="365"/>
      <c r="BA262" s="377">
        <f t="shared" si="111"/>
        <v>0</v>
      </c>
      <c r="BB262" s="377">
        <f t="shared" si="112"/>
        <v>0</v>
      </c>
      <c r="BC262" s="377">
        <f t="shared" si="113"/>
        <v>0</v>
      </c>
      <c r="BD262" s="377">
        <f t="shared" si="114"/>
        <v>0</v>
      </c>
      <c r="BE262" s="377">
        <f t="shared" si="115"/>
        <v>0</v>
      </c>
      <c r="BF262" s="377">
        <f t="shared" si="116"/>
        <v>0</v>
      </c>
      <c r="BG262" s="328"/>
    </row>
    <row r="263" spans="2:59">
      <c r="B263" s="332">
        <v>248</v>
      </c>
      <c r="C263" s="350">
        <v>105368112.97588879</v>
      </c>
      <c r="D263" s="350">
        <v>106232342.2883406</v>
      </c>
      <c r="E263" s="350">
        <v>107060359.13048202</v>
      </c>
      <c r="F263" s="350">
        <v>107890343.56809977</v>
      </c>
      <c r="G263" s="350">
        <v>108724873.78556272</v>
      </c>
      <c r="H263" s="348">
        <v>535276031.74837387</v>
      </c>
      <c r="I263" s="369"/>
      <c r="J263" s="350">
        <v>129527097.77004197</v>
      </c>
      <c r="K263" s="350">
        <v>155048005.40081149</v>
      </c>
      <c r="L263" s="350">
        <v>180905676.53540987</v>
      </c>
      <c r="M263" s="350">
        <v>207148404.26659292</v>
      </c>
      <c r="N263" s="350">
        <v>233783091.30925927</v>
      </c>
      <c r="O263" s="348">
        <v>906412275.28211558</v>
      </c>
      <c r="P263" s="369"/>
      <c r="Q263" s="350">
        <f t="shared" si="117"/>
        <v>24158984.794153184</v>
      </c>
      <c r="R263" s="350">
        <f t="shared" si="118"/>
        <v>48815663.112470895</v>
      </c>
      <c r="S263" s="350">
        <f t="shared" si="119"/>
        <v>73845317.40492785</v>
      </c>
      <c r="T263" s="350">
        <f t="shared" si="120"/>
        <v>99258060.698493153</v>
      </c>
      <c r="U263" s="350">
        <f t="shared" si="121"/>
        <v>125058217.52369654</v>
      </c>
      <c r="V263" s="350">
        <f t="shared" si="122"/>
        <v>371136243.53374171</v>
      </c>
      <c r="W263" s="365"/>
      <c r="X263" s="377">
        <f t="shared" si="100"/>
        <v>0</v>
      </c>
      <c r="Y263" s="377">
        <f t="shared" si="101"/>
        <v>0</v>
      </c>
      <c r="Z263" s="377">
        <f t="shared" si="102"/>
        <v>0</v>
      </c>
      <c r="AA263" s="377">
        <f t="shared" si="103"/>
        <v>0</v>
      </c>
      <c r="AB263" s="377">
        <f t="shared" si="104"/>
        <v>0</v>
      </c>
      <c r="AC263" s="377">
        <f t="shared" si="105"/>
        <v>0</v>
      </c>
      <c r="AD263" s="376"/>
      <c r="AE263" s="332">
        <v>248</v>
      </c>
      <c r="AF263" s="350">
        <v>132923710.37084448</v>
      </c>
      <c r="AG263" s="350">
        <v>134013950.70615943</v>
      </c>
      <c r="AH263" s="350">
        <v>135058508.37924001</v>
      </c>
      <c r="AI263" s="350">
        <v>136105548.20829582</v>
      </c>
      <c r="AJ263" s="350">
        <v>137158322.61782858</v>
      </c>
      <c r="AK263" s="348">
        <v>675260040.2823683</v>
      </c>
      <c r="AL263" s="369"/>
      <c r="AM263" s="350">
        <v>159064215.41781282</v>
      </c>
      <c r="AN263" s="350">
        <v>186833263.15422475</v>
      </c>
      <c r="AO263" s="350">
        <v>214960192.39206523</v>
      </c>
      <c r="AP263" s="350">
        <v>243504110.43533942</v>
      </c>
      <c r="AQ263" s="350">
        <v>272472948.90476978</v>
      </c>
      <c r="AR263" s="348">
        <v>1076834730.3042121</v>
      </c>
      <c r="AS263" s="369"/>
      <c r="AT263" s="350">
        <f t="shared" si="123"/>
        <v>26140505.046968341</v>
      </c>
      <c r="AU263" s="350">
        <f t="shared" si="106"/>
        <v>52819312.448065326</v>
      </c>
      <c r="AV263" s="350">
        <f t="shared" si="107"/>
        <v>79901684.012825221</v>
      </c>
      <c r="AW263" s="350">
        <f t="shared" si="108"/>
        <v>107398562.2270436</v>
      </c>
      <c r="AX263" s="350">
        <f t="shared" si="109"/>
        <v>135314626.2869412</v>
      </c>
      <c r="AY263" s="350">
        <f t="shared" si="110"/>
        <v>401574690.02184379</v>
      </c>
      <c r="AZ263" s="365"/>
      <c r="BA263" s="377">
        <f t="shared" si="111"/>
        <v>0</v>
      </c>
      <c r="BB263" s="377">
        <f t="shared" si="112"/>
        <v>0</v>
      </c>
      <c r="BC263" s="377">
        <f t="shared" si="113"/>
        <v>0</v>
      </c>
      <c r="BD263" s="377">
        <f t="shared" si="114"/>
        <v>0</v>
      </c>
      <c r="BE263" s="377">
        <f t="shared" si="115"/>
        <v>0</v>
      </c>
      <c r="BF263" s="377">
        <f t="shared" si="116"/>
        <v>0</v>
      </c>
      <c r="BG263" s="328"/>
    </row>
    <row r="264" spans="2:59">
      <c r="B264" s="332">
        <v>249</v>
      </c>
      <c r="C264" s="350">
        <v>118511124.38690643</v>
      </c>
      <c r="D264" s="350">
        <v>119483152.68516608</v>
      </c>
      <c r="E264" s="350">
        <v>120414451.57818064</v>
      </c>
      <c r="F264" s="350">
        <v>121347963.49319637</v>
      </c>
      <c r="G264" s="350">
        <v>122286588.20244797</v>
      </c>
      <c r="H264" s="348">
        <v>602043280.34589756</v>
      </c>
      <c r="I264" s="369"/>
      <c r="J264" s="350">
        <v>145426716.88366744</v>
      </c>
      <c r="K264" s="350">
        <v>173857777.43886319</v>
      </c>
      <c r="L264" s="350">
        <v>202663470.03306603</v>
      </c>
      <c r="M264" s="350">
        <v>231898003.43159348</v>
      </c>
      <c r="N264" s="350">
        <v>261569093.69276124</v>
      </c>
      <c r="O264" s="348">
        <v>1015415061.4799514</v>
      </c>
      <c r="P264" s="369"/>
      <c r="Q264" s="350">
        <f t="shared" si="117"/>
        <v>26915592.496761009</v>
      </c>
      <c r="R264" s="350">
        <f t="shared" si="118"/>
        <v>54374624.753697112</v>
      </c>
      <c r="S264" s="350">
        <f t="shared" si="119"/>
        <v>82249018.454885393</v>
      </c>
      <c r="T264" s="350">
        <f t="shared" si="120"/>
        <v>110550039.93839711</v>
      </c>
      <c r="U264" s="350">
        <f t="shared" si="121"/>
        <v>139282505.49031329</v>
      </c>
      <c r="V264" s="350">
        <f t="shared" si="122"/>
        <v>413371781.13405383</v>
      </c>
      <c r="W264" s="365"/>
      <c r="X264" s="377">
        <f t="shared" si="100"/>
        <v>0</v>
      </c>
      <c r="Y264" s="377">
        <f t="shared" si="101"/>
        <v>0</v>
      </c>
      <c r="Z264" s="377">
        <f t="shared" si="102"/>
        <v>0</v>
      </c>
      <c r="AA264" s="377">
        <f t="shared" si="103"/>
        <v>0</v>
      </c>
      <c r="AB264" s="377">
        <f t="shared" si="104"/>
        <v>0</v>
      </c>
      <c r="AC264" s="377">
        <f t="shared" si="105"/>
        <v>0</v>
      </c>
      <c r="AD264" s="376"/>
      <c r="AE264" s="332">
        <v>249</v>
      </c>
      <c r="AF264" s="350">
        <v>128463865.045191</v>
      </c>
      <c r="AG264" s="350">
        <v>129517525.7270361</v>
      </c>
      <c r="AH264" s="350">
        <v>130527036.48754808</v>
      </c>
      <c r="AI264" s="350">
        <v>131538946.12294349</v>
      </c>
      <c r="AJ264" s="350">
        <v>132556397.93264641</v>
      </c>
      <c r="AK264" s="348">
        <v>652603771.31536508</v>
      </c>
      <c r="AL264" s="369"/>
      <c r="AM264" s="350">
        <v>164116762.81931782</v>
      </c>
      <c r="AN264" s="350">
        <v>201534678.2956928</v>
      </c>
      <c r="AO264" s="350">
        <v>239458506.9940123</v>
      </c>
      <c r="AP264" s="350">
        <v>277949720.84090877</v>
      </c>
      <c r="AQ264" s="350">
        <v>317017841.58206743</v>
      </c>
      <c r="AR264" s="348">
        <v>1200077510.5319991</v>
      </c>
      <c r="AS264" s="369"/>
      <c r="AT264" s="350">
        <f t="shared" si="123"/>
        <v>35652897.774126813</v>
      </c>
      <c r="AU264" s="350">
        <f t="shared" si="106"/>
        <v>72017152.568656698</v>
      </c>
      <c r="AV264" s="350">
        <f t="shared" si="107"/>
        <v>108931470.50646421</v>
      </c>
      <c r="AW264" s="350">
        <f t="shared" si="108"/>
        <v>146410774.71796528</v>
      </c>
      <c r="AX264" s="350">
        <f t="shared" si="109"/>
        <v>184461443.64942104</v>
      </c>
      <c r="AY264" s="350">
        <f t="shared" si="110"/>
        <v>547473739.21663404</v>
      </c>
      <c r="AZ264" s="365"/>
      <c r="BA264" s="377">
        <f t="shared" si="111"/>
        <v>0</v>
      </c>
      <c r="BB264" s="377">
        <f t="shared" si="112"/>
        <v>0</v>
      </c>
      <c r="BC264" s="377">
        <f t="shared" si="113"/>
        <v>0</v>
      </c>
      <c r="BD264" s="377">
        <f t="shared" si="114"/>
        <v>0</v>
      </c>
      <c r="BE264" s="377">
        <f t="shared" si="115"/>
        <v>0</v>
      </c>
      <c r="BF264" s="377">
        <f t="shared" si="116"/>
        <v>0</v>
      </c>
      <c r="BG264" s="328"/>
    </row>
    <row r="265" spans="2:59">
      <c r="B265" s="332">
        <v>250</v>
      </c>
      <c r="C265" s="350">
        <v>115966612.03322868</v>
      </c>
      <c r="D265" s="350">
        <v>116917770.23996028</v>
      </c>
      <c r="E265" s="350">
        <v>117829073.52876043</v>
      </c>
      <c r="F265" s="350">
        <v>118742542.32451326</v>
      </c>
      <c r="G265" s="350">
        <v>119661014.13942261</v>
      </c>
      <c r="H265" s="348">
        <v>589117012.26588523</v>
      </c>
      <c r="I265" s="369"/>
      <c r="J265" s="350">
        <v>142746312.96497011</v>
      </c>
      <c r="K265" s="350">
        <v>171014020.68006584</v>
      </c>
      <c r="L265" s="350">
        <v>199655077.86546135</v>
      </c>
      <c r="M265" s="350">
        <v>228722714.1887897</v>
      </c>
      <c r="N265" s="350">
        <v>258224558.54456431</v>
      </c>
      <c r="O265" s="348">
        <v>1000362684.2438514</v>
      </c>
      <c r="P265" s="369"/>
      <c r="Q265" s="350">
        <f t="shared" si="117"/>
        <v>26779700.931741431</v>
      </c>
      <c r="R265" s="350">
        <f t="shared" si="118"/>
        <v>54096250.440105557</v>
      </c>
      <c r="S265" s="350">
        <f t="shared" si="119"/>
        <v>81826004.336700916</v>
      </c>
      <c r="T265" s="350">
        <f t="shared" si="120"/>
        <v>109980171.86427644</v>
      </c>
      <c r="U265" s="350">
        <f t="shared" si="121"/>
        <v>138563544.40514171</v>
      </c>
      <c r="V265" s="350">
        <f t="shared" si="122"/>
        <v>411245671.97796619</v>
      </c>
      <c r="W265" s="365"/>
      <c r="X265" s="377">
        <f t="shared" si="100"/>
        <v>0</v>
      </c>
      <c r="Y265" s="377">
        <f t="shared" si="101"/>
        <v>0</v>
      </c>
      <c r="Z265" s="377">
        <f t="shared" si="102"/>
        <v>0</v>
      </c>
      <c r="AA265" s="377">
        <f t="shared" si="103"/>
        <v>0</v>
      </c>
      <c r="AB265" s="377">
        <f t="shared" si="104"/>
        <v>0</v>
      </c>
      <c r="AC265" s="377">
        <f t="shared" si="105"/>
        <v>0</v>
      </c>
      <c r="AD265" s="376"/>
      <c r="AE265" s="332">
        <v>250</v>
      </c>
      <c r="AF265" s="350">
        <v>166451805.69604024</v>
      </c>
      <c r="AG265" s="350">
        <v>167817043.48506624</v>
      </c>
      <c r="AH265" s="350">
        <v>169125075.81694174</v>
      </c>
      <c r="AI265" s="350">
        <v>170436216.3929593</v>
      </c>
      <c r="AJ265" s="350">
        <v>171754538.01495141</v>
      </c>
      <c r="AK265" s="348">
        <v>845584679.40595889</v>
      </c>
      <c r="AL265" s="369"/>
      <c r="AM265" s="350">
        <v>201434564.47924906</v>
      </c>
      <c r="AN265" s="350">
        <v>238478646.30970347</v>
      </c>
      <c r="AO265" s="350">
        <v>276005217.0959627</v>
      </c>
      <c r="AP265" s="350">
        <v>314089233.06596738</v>
      </c>
      <c r="AQ265" s="350">
        <v>352741025.28709543</v>
      </c>
      <c r="AR265" s="348">
        <v>1382748686.237978</v>
      </c>
      <c r="AS265" s="369"/>
      <c r="AT265" s="350">
        <f t="shared" si="123"/>
        <v>34982758.783208817</v>
      </c>
      <c r="AU265" s="350">
        <f t="shared" si="106"/>
        <v>70661602.824637234</v>
      </c>
      <c r="AV265" s="350">
        <f t="shared" si="107"/>
        <v>106880141.27902097</v>
      </c>
      <c r="AW265" s="350">
        <f t="shared" si="108"/>
        <v>143653016.67300808</v>
      </c>
      <c r="AX265" s="350">
        <f t="shared" si="109"/>
        <v>180986487.27214402</v>
      </c>
      <c r="AY265" s="350">
        <f t="shared" si="110"/>
        <v>537164006.83201909</v>
      </c>
      <c r="AZ265" s="365"/>
      <c r="BA265" s="377">
        <f t="shared" si="111"/>
        <v>0</v>
      </c>
      <c r="BB265" s="377">
        <f t="shared" si="112"/>
        <v>0</v>
      </c>
      <c r="BC265" s="377">
        <f t="shared" si="113"/>
        <v>0</v>
      </c>
      <c r="BD265" s="377">
        <f t="shared" si="114"/>
        <v>0</v>
      </c>
      <c r="BE265" s="377">
        <f t="shared" si="115"/>
        <v>0</v>
      </c>
      <c r="BF265" s="377">
        <f t="shared" si="116"/>
        <v>0</v>
      </c>
      <c r="BG265" s="328"/>
    </row>
    <row r="266" spans="2:59">
      <c r="B266" s="332">
        <v>251</v>
      </c>
      <c r="C266" s="350">
        <v>147035348.1388813</v>
      </c>
      <c r="D266" s="350">
        <v>148241332.13384241</v>
      </c>
      <c r="E266" s="350">
        <v>149396783.6381982</v>
      </c>
      <c r="F266" s="350">
        <v>150554980.81273532</v>
      </c>
      <c r="G266" s="350">
        <v>151719521.37051451</v>
      </c>
      <c r="H266" s="348">
        <v>746947966.09417164</v>
      </c>
      <c r="I266" s="369"/>
      <c r="J266" s="350">
        <v>184034032.49750572</v>
      </c>
      <c r="K266" s="350">
        <v>222968119.21106228</v>
      </c>
      <c r="L266" s="350">
        <v>262422362.73072851</v>
      </c>
      <c r="M266" s="350">
        <v>302465527.16128397</v>
      </c>
      <c r="N266" s="350">
        <v>343107828.08691043</v>
      </c>
      <c r="O266" s="348">
        <v>1314997869.6874909</v>
      </c>
      <c r="P266" s="369"/>
      <c r="Q266" s="350">
        <f t="shared" si="117"/>
        <v>36998684.358624429</v>
      </c>
      <c r="R266" s="350">
        <f t="shared" si="118"/>
        <v>74726787.077219874</v>
      </c>
      <c r="S266" s="350">
        <f t="shared" si="119"/>
        <v>113025579.09253031</v>
      </c>
      <c r="T266" s="350">
        <f t="shared" si="120"/>
        <v>151910546.34854865</v>
      </c>
      <c r="U266" s="350">
        <f t="shared" si="121"/>
        <v>191388306.71639591</v>
      </c>
      <c r="V266" s="350">
        <f t="shared" si="122"/>
        <v>568049903.5933193</v>
      </c>
      <c r="W266" s="365"/>
      <c r="X266" s="377">
        <f t="shared" si="100"/>
        <v>0</v>
      </c>
      <c r="Y266" s="377">
        <f t="shared" si="101"/>
        <v>0</v>
      </c>
      <c r="Z266" s="377">
        <f t="shared" si="102"/>
        <v>0</v>
      </c>
      <c r="AA266" s="377">
        <f t="shared" si="103"/>
        <v>0</v>
      </c>
      <c r="AB266" s="377">
        <f t="shared" si="104"/>
        <v>0</v>
      </c>
      <c r="AC266" s="377">
        <f t="shared" si="105"/>
        <v>0</v>
      </c>
      <c r="AD266" s="376"/>
      <c r="AE266" s="332">
        <v>251</v>
      </c>
      <c r="AF266" s="350">
        <v>121888643.1336637</v>
      </c>
      <c r="AG266" s="350">
        <v>122888373.84228128</v>
      </c>
      <c r="AH266" s="350">
        <v>123846214.37420326</v>
      </c>
      <c r="AI266" s="350">
        <v>124806330.99835156</v>
      </c>
      <c r="AJ266" s="350">
        <v>125771706.12928781</v>
      </c>
      <c r="AK266" s="348">
        <v>619201268.47778761</v>
      </c>
      <c r="AL266" s="369"/>
      <c r="AM266" s="350">
        <v>150477039.17358255</v>
      </c>
      <c r="AN266" s="350">
        <v>180639437.8102392</v>
      </c>
      <c r="AO266" s="350">
        <v>211201076.54779047</v>
      </c>
      <c r="AP266" s="350">
        <v>242218088.03241104</v>
      </c>
      <c r="AQ266" s="350">
        <v>273698569.84765756</v>
      </c>
      <c r="AR266" s="348">
        <v>1058234211.4116808</v>
      </c>
      <c r="AS266" s="369"/>
      <c r="AT266" s="350">
        <f t="shared" si="123"/>
        <v>28588396.039918855</v>
      </c>
      <c r="AU266" s="350">
        <f t="shared" si="106"/>
        <v>57751063.967957914</v>
      </c>
      <c r="AV266" s="350">
        <f t="shared" si="107"/>
        <v>87354862.173587203</v>
      </c>
      <c r="AW266" s="350">
        <f t="shared" si="108"/>
        <v>117411757.03405948</v>
      </c>
      <c r="AX266" s="350">
        <f t="shared" si="109"/>
        <v>147926863.71836975</v>
      </c>
      <c r="AY266" s="350">
        <f t="shared" si="110"/>
        <v>439032942.9338932</v>
      </c>
      <c r="AZ266" s="365"/>
      <c r="BA266" s="377">
        <f t="shared" si="111"/>
        <v>0</v>
      </c>
      <c r="BB266" s="377">
        <f t="shared" si="112"/>
        <v>0</v>
      </c>
      <c r="BC266" s="377">
        <f t="shared" si="113"/>
        <v>0</v>
      </c>
      <c r="BD266" s="377">
        <f t="shared" si="114"/>
        <v>0</v>
      </c>
      <c r="BE266" s="377">
        <f t="shared" si="115"/>
        <v>0</v>
      </c>
      <c r="BF266" s="377">
        <f t="shared" si="116"/>
        <v>0</v>
      </c>
      <c r="BG266" s="328"/>
    </row>
    <row r="267" spans="2:59">
      <c r="B267" s="332">
        <v>252</v>
      </c>
      <c r="C267" s="350">
        <v>113384784.94103229</v>
      </c>
      <c r="D267" s="350">
        <v>114314767.00073287</v>
      </c>
      <c r="E267" s="350">
        <v>115205781.45398822</v>
      </c>
      <c r="F267" s="350">
        <v>116098913.20234957</v>
      </c>
      <c r="G267" s="350">
        <v>116996936.58495951</v>
      </c>
      <c r="H267" s="348">
        <v>576001183.18306243</v>
      </c>
      <c r="I267" s="369"/>
      <c r="J267" s="350">
        <v>147166457.02497986</v>
      </c>
      <c r="K267" s="350">
        <v>182559655.7628209</v>
      </c>
      <c r="L267" s="350">
        <v>218435197.5018734</v>
      </c>
      <c r="M267" s="350">
        <v>254848307.45857805</v>
      </c>
      <c r="N267" s="350">
        <v>291807804.79686296</v>
      </c>
      <c r="O267" s="348">
        <v>1094817422.545115</v>
      </c>
      <c r="P267" s="369"/>
      <c r="Q267" s="350">
        <f t="shared" si="117"/>
        <v>33781672.083947569</v>
      </c>
      <c r="R267" s="350">
        <f t="shared" si="118"/>
        <v>68244888.762088031</v>
      </c>
      <c r="S267" s="350">
        <f t="shared" si="119"/>
        <v>103229416.04788518</v>
      </c>
      <c r="T267" s="350">
        <f t="shared" si="120"/>
        <v>138749394.25622848</v>
      </c>
      <c r="U267" s="350">
        <f t="shared" si="121"/>
        <v>174810868.21190345</v>
      </c>
      <c r="V267" s="350">
        <f t="shared" si="122"/>
        <v>518816239.36205256</v>
      </c>
      <c r="W267" s="365"/>
      <c r="X267" s="377">
        <f t="shared" si="100"/>
        <v>0</v>
      </c>
      <c r="Y267" s="377">
        <f t="shared" si="101"/>
        <v>0</v>
      </c>
      <c r="Z267" s="377">
        <f t="shared" si="102"/>
        <v>0</v>
      </c>
      <c r="AA267" s="377">
        <f t="shared" si="103"/>
        <v>0</v>
      </c>
      <c r="AB267" s="377">
        <f t="shared" si="104"/>
        <v>0</v>
      </c>
      <c r="AC267" s="377">
        <f t="shared" si="105"/>
        <v>0</v>
      </c>
      <c r="AD267" s="376"/>
      <c r="AE267" s="332">
        <v>252</v>
      </c>
      <c r="AF267" s="350">
        <v>113986099.05202046</v>
      </c>
      <c r="AG267" s="350">
        <v>114921013.09034368</v>
      </c>
      <c r="AH267" s="350">
        <v>115816752.86511473</v>
      </c>
      <c r="AI267" s="350">
        <v>116714621.16365379</v>
      </c>
      <c r="AJ267" s="350">
        <v>117617407.03827044</v>
      </c>
      <c r="AK267" s="348">
        <v>579055893.20940316</v>
      </c>
      <c r="AL267" s="369"/>
      <c r="AM267" s="350">
        <v>145322292.4972423</v>
      </c>
      <c r="AN267" s="350">
        <v>178223938.87000531</v>
      </c>
      <c r="AO267" s="350">
        <v>211569957.54540652</v>
      </c>
      <c r="AP267" s="350">
        <v>245414767.90577289</v>
      </c>
      <c r="AQ267" s="350">
        <v>279766765.98450619</v>
      </c>
      <c r="AR267" s="348">
        <v>1060297722.8029332</v>
      </c>
      <c r="AS267" s="369"/>
      <c r="AT267" s="350">
        <f t="shared" si="123"/>
        <v>31336193.445221841</v>
      </c>
      <c r="AU267" s="350">
        <f t="shared" si="106"/>
        <v>63302925.779661626</v>
      </c>
      <c r="AV267" s="350">
        <f t="shared" si="107"/>
        <v>95753204.680291787</v>
      </c>
      <c r="AW267" s="350">
        <f t="shared" si="108"/>
        <v>128700146.7421191</v>
      </c>
      <c r="AX267" s="350">
        <f t="shared" si="109"/>
        <v>162149358.94623575</v>
      </c>
      <c r="AY267" s="350">
        <f t="shared" si="110"/>
        <v>481241829.59353006</v>
      </c>
      <c r="AZ267" s="365"/>
      <c r="BA267" s="377">
        <f t="shared" si="111"/>
        <v>0</v>
      </c>
      <c r="BB267" s="377">
        <f t="shared" si="112"/>
        <v>0</v>
      </c>
      <c r="BC267" s="377">
        <f t="shared" si="113"/>
        <v>0</v>
      </c>
      <c r="BD267" s="377">
        <f t="shared" si="114"/>
        <v>0</v>
      </c>
      <c r="BE267" s="377">
        <f t="shared" si="115"/>
        <v>0</v>
      </c>
      <c r="BF267" s="377">
        <f t="shared" si="116"/>
        <v>0</v>
      </c>
      <c r="BG267" s="328"/>
    </row>
    <row r="268" spans="2:59">
      <c r="B268" s="332">
        <v>253</v>
      </c>
      <c r="C268" s="350">
        <v>116269165.94253312</v>
      </c>
      <c r="D268" s="350">
        <v>117222805.69657192</v>
      </c>
      <c r="E268" s="350">
        <v>118136486.55222304</v>
      </c>
      <c r="F268" s="350">
        <v>119052338.56457882</v>
      </c>
      <c r="G268" s="350">
        <v>119973206.64883941</v>
      </c>
      <c r="H268" s="348">
        <v>590654003.40474629</v>
      </c>
      <c r="I268" s="369"/>
      <c r="J268" s="350">
        <v>145285234.33891398</v>
      </c>
      <c r="K268" s="350">
        <v>175837415.02822486</v>
      </c>
      <c r="L268" s="350">
        <v>206797360.16704136</v>
      </c>
      <c r="M268" s="350">
        <v>238219345.17882168</v>
      </c>
      <c r="N268" s="350">
        <v>270111406.60932201</v>
      </c>
      <c r="O268" s="348">
        <v>1036250761.322324</v>
      </c>
      <c r="P268" s="369"/>
      <c r="Q268" s="350">
        <f t="shared" si="117"/>
        <v>29016068.396380857</v>
      </c>
      <c r="R268" s="350">
        <f t="shared" si="118"/>
        <v>58614609.331652939</v>
      </c>
      <c r="S268" s="350">
        <f t="shared" si="119"/>
        <v>88660873.61481832</v>
      </c>
      <c r="T268" s="350">
        <f t="shared" si="120"/>
        <v>119167006.61424287</v>
      </c>
      <c r="U268" s="350">
        <f t="shared" si="121"/>
        <v>150138199.9604826</v>
      </c>
      <c r="V268" s="350">
        <f t="shared" si="122"/>
        <v>445596757.91757774</v>
      </c>
      <c r="W268" s="365"/>
      <c r="X268" s="377">
        <f t="shared" si="100"/>
        <v>0</v>
      </c>
      <c r="Y268" s="377">
        <f t="shared" si="101"/>
        <v>0</v>
      </c>
      <c r="Z268" s="377">
        <f t="shared" si="102"/>
        <v>0</v>
      </c>
      <c r="AA268" s="377">
        <f t="shared" si="103"/>
        <v>0</v>
      </c>
      <c r="AB268" s="377">
        <f t="shared" si="104"/>
        <v>0</v>
      </c>
      <c r="AC268" s="377">
        <f t="shared" si="105"/>
        <v>0</v>
      </c>
      <c r="AD268" s="376"/>
      <c r="AE268" s="332">
        <v>253</v>
      </c>
      <c r="AF268" s="350">
        <v>149171183.30417711</v>
      </c>
      <c r="AG268" s="350">
        <v>150394685.42017391</v>
      </c>
      <c r="AH268" s="350">
        <v>151566921.01071054</v>
      </c>
      <c r="AI268" s="350">
        <v>152741942.15502793</v>
      </c>
      <c r="AJ268" s="350">
        <v>153923398.82655942</v>
      </c>
      <c r="AK268" s="348">
        <v>757798130.71664894</v>
      </c>
      <c r="AL268" s="369"/>
      <c r="AM268" s="350">
        <v>185809737.69558883</v>
      </c>
      <c r="AN268" s="350">
        <v>224402785.86211428</v>
      </c>
      <c r="AO268" s="350">
        <v>263509837.14916849</v>
      </c>
      <c r="AP268" s="350">
        <v>303200279.32810235</v>
      </c>
      <c r="AQ268" s="350">
        <v>343484317.15172458</v>
      </c>
      <c r="AR268" s="348">
        <v>1320406957.1866984</v>
      </c>
      <c r="AS268" s="369"/>
      <c r="AT268" s="350">
        <f t="shared" si="123"/>
        <v>36638554.391411722</v>
      </c>
      <c r="AU268" s="350">
        <f t="shared" si="106"/>
        <v>74008100.441940367</v>
      </c>
      <c r="AV268" s="350">
        <f t="shared" si="107"/>
        <v>111942916.13845795</v>
      </c>
      <c r="AW268" s="350">
        <f t="shared" si="108"/>
        <v>150458337.17307442</v>
      </c>
      <c r="AX268" s="350">
        <f t="shared" si="109"/>
        <v>189560918.32516515</v>
      </c>
      <c r="AY268" s="350">
        <f t="shared" si="110"/>
        <v>562608826.4700495</v>
      </c>
      <c r="AZ268" s="365"/>
      <c r="BA268" s="377">
        <f t="shared" si="111"/>
        <v>0</v>
      </c>
      <c r="BB268" s="377">
        <f t="shared" si="112"/>
        <v>0</v>
      </c>
      <c r="BC268" s="377">
        <f t="shared" si="113"/>
        <v>0</v>
      </c>
      <c r="BD268" s="377">
        <f t="shared" si="114"/>
        <v>0</v>
      </c>
      <c r="BE268" s="377">
        <f t="shared" si="115"/>
        <v>0</v>
      </c>
      <c r="BF268" s="377">
        <f t="shared" si="116"/>
        <v>0</v>
      </c>
      <c r="BG268" s="328"/>
    </row>
    <row r="269" spans="2:59">
      <c r="B269" s="332">
        <v>254</v>
      </c>
      <c r="C269" s="350">
        <v>121108431.47626238</v>
      </c>
      <c r="D269" s="350">
        <v>122101762.88849707</v>
      </c>
      <c r="E269" s="350">
        <v>123053472.26390004</v>
      </c>
      <c r="F269" s="350">
        <v>124007443.16221721</v>
      </c>
      <c r="G269" s="350">
        <v>124966638.90751463</v>
      </c>
      <c r="H269" s="348">
        <v>615237748.69839132</v>
      </c>
      <c r="I269" s="369"/>
      <c r="J269" s="350">
        <v>149204458.57327375</v>
      </c>
      <c r="K269" s="350">
        <v>178868279.30406165</v>
      </c>
      <c r="L269" s="350">
        <v>208924167.9757998</v>
      </c>
      <c r="M269" s="350">
        <v>239427768.99247992</v>
      </c>
      <c r="N269" s="350">
        <v>270387074.28897792</v>
      </c>
      <c r="O269" s="348">
        <v>1046811749.134593</v>
      </c>
      <c r="P269" s="369"/>
      <c r="Q269" s="350">
        <f t="shared" si="117"/>
        <v>28096027.097011372</v>
      </c>
      <c r="R269" s="350">
        <f t="shared" si="118"/>
        <v>56766516.415564582</v>
      </c>
      <c r="S269" s="350">
        <f t="shared" si="119"/>
        <v>85870695.711899757</v>
      </c>
      <c r="T269" s="350">
        <f t="shared" si="120"/>
        <v>115420325.83026271</v>
      </c>
      <c r="U269" s="350">
        <f t="shared" si="121"/>
        <v>145420435.38146329</v>
      </c>
      <c r="V269" s="350">
        <f t="shared" si="122"/>
        <v>431574000.43620169</v>
      </c>
      <c r="W269" s="365"/>
      <c r="X269" s="377">
        <f t="shared" si="100"/>
        <v>0</v>
      </c>
      <c r="Y269" s="377">
        <f t="shared" si="101"/>
        <v>0</v>
      </c>
      <c r="Z269" s="377">
        <f t="shared" si="102"/>
        <v>0</v>
      </c>
      <c r="AA269" s="377">
        <f t="shared" si="103"/>
        <v>0</v>
      </c>
      <c r="AB269" s="377">
        <f t="shared" si="104"/>
        <v>0</v>
      </c>
      <c r="AC269" s="377">
        <f t="shared" si="105"/>
        <v>0</v>
      </c>
      <c r="AD269" s="376"/>
      <c r="AE269" s="332">
        <v>254</v>
      </c>
      <c r="AF269" s="350">
        <v>118224769.46763995</v>
      </c>
      <c r="AG269" s="350">
        <v>119194449.08271641</v>
      </c>
      <c r="AH269" s="350">
        <v>120123497.7058031</v>
      </c>
      <c r="AI269" s="350">
        <v>121054754.0036315</v>
      </c>
      <c r="AJ269" s="350">
        <v>121991110.7418025</v>
      </c>
      <c r="AK269" s="348">
        <v>600588581.00159335</v>
      </c>
      <c r="AL269" s="369"/>
      <c r="AM269" s="350">
        <v>146954702.64978334</v>
      </c>
      <c r="AN269" s="350">
        <v>177235859.78012994</v>
      </c>
      <c r="AO269" s="350">
        <v>207919769.21777007</v>
      </c>
      <c r="AP269" s="350">
        <v>239061295.49665847</v>
      </c>
      <c r="AQ269" s="350">
        <v>270668472.55197424</v>
      </c>
      <c r="AR269" s="348">
        <v>1041840099.696316</v>
      </c>
      <c r="AS269" s="369"/>
      <c r="AT269" s="350">
        <f t="shared" si="123"/>
        <v>28729933.18214339</v>
      </c>
      <c r="AU269" s="350">
        <f t="shared" si="106"/>
        <v>58041410.697413534</v>
      </c>
      <c r="AV269" s="350">
        <f t="shared" si="107"/>
        <v>87796271.511966974</v>
      </c>
      <c r="AW269" s="350">
        <f t="shared" si="108"/>
        <v>118006541.49302697</v>
      </c>
      <c r="AX269" s="350">
        <f t="shared" si="109"/>
        <v>148677361.81017172</v>
      </c>
      <c r="AY269" s="350">
        <f t="shared" si="110"/>
        <v>441251518.69472265</v>
      </c>
      <c r="AZ269" s="365"/>
      <c r="BA269" s="377">
        <f t="shared" si="111"/>
        <v>0</v>
      </c>
      <c r="BB269" s="377">
        <f t="shared" si="112"/>
        <v>0</v>
      </c>
      <c r="BC269" s="377">
        <f t="shared" si="113"/>
        <v>0</v>
      </c>
      <c r="BD269" s="377">
        <f t="shared" si="114"/>
        <v>0</v>
      </c>
      <c r="BE269" s="377">
        <f t="shared" si="115"/>
        <v>0</v>
      </c>
      <c r="BF269" s="377">
        <f t="shared" si="116"/>
        <v>0</v>
      </c>
      <c r="BG269" s="328"/>
    </row>
    <row r="270" spans="2:59">
      <c r="B270" s="332">
        <v>255</v>
      </c>
      <c r="C270" s="350">
        <v>119448632.25395483</v>
      </c>
      <c r="D270" s="350">
        <v>120428349.9921833</v>
      </c>
      <c r="E270" s="350">
        <v>121367016.12640232</v>
      </c>
      <c r="F270" s="350">
        <v>122307912.78921148</v>
      </c>
      <c r="G270" s="350">
        <v>123253962.69212048</v>
      </c>
      <c r="H270" s="348">
        <v>606805873.85387242</v>
      </c>
      <c r="I270" s="369"/>
      <c r="J270" s="350">
        <v>145262377.11494899</v>
      </c>
      <c r="K270" s="350">
        <v>172567300.07197559</v>
      </c>
      <c r="L270" s="350">
        <v>200229377.43734634</v>
      </c>
      <c r="M270" s="350">
        <v>228302695.92917863</v>
      </c>
      <c r="N270" s="350">
        <v>256794795.89444661</v>
      </c>
      <c r="O270" s="348">
        <v>1003156546.4478961</v>
      </c>
      <c r="P270" s="369"/>
      <c r="Q270" s="350">
        <f t="shared" si="117"/>
        <v>25813744.86099416</v>
      </c>
      <c r="R270" s="350">
        <f t="shared" si="118"/>
        <v>52138950.079792291</v>
      </c>
      <c r="S270" s="350">
        <f t="shared" si="119"/>
        <v>78862361.310944021</v>
      </c>
      <c r="T270" s="350">
        <f t="shared" si="120"/>
        <v>105994783.13996714</v>
      </c>
      <c r="U270" s="350">
        <f t="shared" si="121"/>
        <v>133540833.20232613</v>
      </c>
      <c r="V270" s="350">
        <f t="shared" si="122"/>
        <v>396350672.5940237</v>
      </c>
      <c r="W270" s="365"/>
      <c r="X270" s="377">
        <f t="shared" si="100"/>
        <v>0</v>
      </c>
      <c r="Y270" s="377">
        <f t="shared" si="101"/>
        <v>0</v>
      </c>
      <c r="Z270" s="377">
        <f t="shared" si="102"/>
        <v>0</v>
      </c>
      <c r="AA270" s="377">
        <f t="shared" si="103"/>
        <v>0</v>
      </c>
      <c r="AB270" s="377">
        <f t="shared" si="104"/>
        <v>0</v>
      </c>
      <c r="AC270" s="377">
        <f t="shared" si="105"/>
        <v>0</v>
      </c>
      <c r="AD270" s="376"/>
      <c r="AE270" s="332">
        <v>255</v>
      </c>
      <c r="AF270" s="350">
        <v>105759223.3028601</v>
      </c>
      <c r="AG270" s="350">
        <v>106626660.50239863</v>
      </c>
      <c r="AH270" s="350">
        <v>107457750.81647304</v>
      </c>
      <c r="AI270" s="350">
        <v>108290816.02943747</v>
      </c>
      <c r="AJ270" s="350">
        <v>109128443.89548694</v>
      </c>
      <c r="AK270" s="348">
        <v>537262894.54665613</v>
      </c>
      <c r="AL270" s="369"/>
      <c r="AM270" s="350">
        <v>136895655.75243828</v>
      </c>
      <c r="AN270" s="350">
        <v>169503306.56519949</v>
      </c>
      <c r="AO270" s="350">
        <v>202554720.10020483</v>
      </c>
      <c r="AP270" s="350">
        <v>236101249.858107</v>
      </c>
      <c r="AQ270" s="350">
        <v>270151051.36018026</v>
      </c>
      <c r="AR270" s="348">
        <v>1015205983.6361299</v>
      </c>
      <c r="AS270" s="369"/>
      <c r="AT270" s="350">
        <f t="shared" si="123"/>
        <v>31136432.449578181</v>
      </c>
      <c r="AU270" s="350">
        <f t="shared" si="106"/>
        <v>62876646.062800869</v>
      </c>
      <c r="AV270" s="350">
        <f t="shared" si="107"/>
        <v>95096969.283731788</v>
      </c>
      <c r="AW270" s="350">
        <f t="shared" si="108"/>
        <v>127810433.82866953</v>
      </c>
      <c r="AX270" s="350">
        <f t="shared" si="109"/>
        <v>161022607.46469331</v>
      </c>
      <c r="AY270" s="350">
        <f t="shared" si="110"/>
        <v>477943089.08947372</v>
      </c>
      <c r="AZ270" s="365"/>
      <c r="BA270" s="377">
        <f t="shared" si="111"/>
        <v>0</v>
      </c>
      <c r="BB270" s="377">
        <f t="shared" si="112"/>
        <v>0</v>
      </c>
      <c r="BC270" s="377">
        <f t="shared" si="113"/>
        <v>0</v>
      </c>
      <c r="BD270" s="377">
        <f t="shared" si="114"/>
        <v>0</v>
      </c>
      <c r="BE270" s="377">
        <f t="shared" si="115"/>
        <v>0</v>
      </c>
      <c r="BF270" s="377">
        <f t="shared" si="116"/>
        <v>0</v>
      </c>
      <c r="BG270" s="328"/>
    </row>
    <row r="271" spans="2:59">
      <c r="B271" s="332">
        <v>256</v>
      </c>
      <c r="C271" s="350">
        <v>132120132.82264361</v>
      </c>
      <c r="D271" s="350">
        <v>133203782.21452823</v>
      </c>
      <c r="E271" s="350">
        <v>134242025.11433363</v>
      </c>
      <c r="F271" s="350">
        <v>135282735.16447827</v>
      </c>
      <c r="G271" s="350">
        <v>136329145.12724328</v>
      </c>
      <c r="H271" s="348">
        <v>671177820.44322705</v>
      </c>
      <c r="I271" s="369"/>
      <c r="J271" s="350">
        <v>158680755.59638733</v>
      </c>
      <c r="K271" s="350">
        <v>186848672.36005893</v>
      </c>
      <c r="L271" s="350">
        <v>215380869.32544744</v>
      </c>
      <c r="M271" s="350">
        <v>244336337.18801153</v>
      </c>
      <c r="N271" s="350">
        <v>273723059.55011439</v>
      </c>
      <c r="O271" s="348">
        <v>1078969694.0200195</v>
      </c>
      <c r="P271" s="369"/>
      <c r="Q271" s="350">
        <f t="shared" si="117"/>
        <v>26560622.773743719</v>
      </c>
      <c r="R271" s="350">
        <f t="shared" si="118"/>
        <v>53644890.145530701</v>
      </c>
      <c r="S271" s="350">
        <f t="shared" si="119"/>
        <v>81138844.211113811</v>
      </c>
      <c r="T271" s="350">
        <f t="shared" si="120"/>
        <v>109053602.02353325</v>
      </c>
      <c r="U271" s="350">
        <f t="shared" si="121"/>
        <v>137393914.42287111</v>
      </c>
      <c r="V271" s="350">
        <f t="shared" si="122"/>
        <v>407791873.57679248</v>
      </c>
      <c r="W271" s="365"/>
      <c r="X271" s="377">
        <f t="shared" si="100"/>
        <v>0</v>
      </c>
      <c r="Y271" s="377">
        <f t="shared" si="101"/>
        <v>0</v>
      </c>
      <c r="Z271" s="377">
        <f t="shared" si="102"/>
        <v>0</v>
      </c>
      <c r="AA271" s="377">
        <f t="shared" si="103"/>
        <v>0</v>
      </c>
      <c r="AB271" s="377">
        <f t="shared" si="104"/>
        <v>0</v>
      </c>
      <c r="AC271" s="377">
        <f t="shared" si="105"/>
        <v>0</v>
      </c>
      <c r="AD271" s="376"/>
      <c r="AE271" s="332">
        <v>256</v>
      </c>
      <c r="AF271" s="350">
        <v>100963611.95856163</v>
      </c>
      <c r="AG271" s="350">
        <v>101791715.5515866</v>
      </c>
      <c r="AH271" s="350">
        <v>102585120.39470311</v>
      </c>
      <c r="AI271" s="350">
        <v>103380410.58567825</v>
      </c>
      <c r="AJ271" s="350">
        <v>104180056.53798746</v>
      </c>
      <c r="AK271" s="348">
        <v>512900915.02851701</v>
      </c>
      <c r="AL271" s="369"/>
      <c r="AM271" s="350">
        <v>129348331.87591046</v>
      </c>
      <c r="AN271" s="350">
        <v>159124695.69565725</v>
      </c>
      <c r="AO271" s="350">
        <v>189304244.72687024</v>
      </c>
      <c r="AP271" s="350">
        <v>219935443.82194892</v>
      </c>
      <c r="AQ271" s="350">
        <v>251025841.10710686</v>
      </c>
      <c r="AR271" s="348">
        <v>948738557.22749376</v>
      </c>
      <c r="AS271" s="369"/>
      <c r="AT271" s="350">
        <f t="shared" si="123"/>
        <v>28384719.917348832</v>
      </c>
      <c r="AU271" s="350">
        <f t="shared" si="106"/>
        <v>57332980.144070655</v>
      </c>
      <c r="AV271" s="350">
        <f t="shared" si="107"/>
        <v>86719124.332167134</v>
      </c>
      <c r="AW271" s="350">
        <f t="shared" si="108"/>
        <v>116555033.23627067</v>
      </c>
      <c r="AX271" s="350">
        <f t="shared" si="109"/>
        <v>146845784.56911939</v>
      </c>
      <c r="AY271" s="350">
        <f t="shared" si="110"/>
        <v>435837642.19897676</v>
      </c>
      <c r="AZ271" s="365"/>
      <c r="BA271" s="377">
        <f t="shared" si="111"/>
        <v>0</v>
      </c>
      <c r="BB271" s="377">
        <f t="shared" si="112"/>
        <v>0</v>
      </c>
      <c r="BC271" s="377">
        <f t="shared" si="113"/>
        <v>0</v>
      </c>
      <c r="BD271" s="377">
        <f t="shared" si="114"/>
        <v>0</v>
      </c>
      <c r="BE271" s="377">
        <f t="shared" si="115"/>
        <v>0</v>
      </c>
      <c r="BF271" s="377">
        <f t="shared" si="116"/>
        <v>0</v>
      </c>
      <c r="BG271" s="328"/>
    </row>
    <row r="272" spans="2:59">
      <c r="B272" s="332">
        <v>257</v>
      </c>
      <c r="C272" s="350">
        <v>116784354.01678261</v>
      </c>
      <c r="D272" s="350">
        <v>117742219.34364998</v>
      </c>
      <c r="E272" s="350">
        <v>118659948.71445712</v>
      </c>
      <c r="F272" s="350">
        <v>119579858.86235318</v>
      </c>
      <c r="G272" s="350">
        <v>120504807.3083427</v>
      </c>
      <c r="H272" s="348">
        <v>593271188.24558556</v>
      </c>
      <c r="I272" s="369"/>
      <c r="J272" s="350">
        <v>150115410.554903</v>
      </c>
      <c r="K272" s="350">
        <v>185056807.92503187</v>
      </c>
      <c r="L272" s="350">
        <v>220472114.72470599</v>
      </c>
      <c r="M272" s="350">
        <v>256417598.27346954</v>
      </c>
      <c r="N272" s="350">
        <v>292902077.23539674</v>
      </c>
      <c r="O272" s="348">
        <v>1104964008.7135072</v>
      </c>
      <c r="P272" s="369"/>
      <c r="Q272" s="350">
        <f t="shared" si="117"/>
        <v>33331056.538120389</v>
      </c>
      <c r="R272" s="350">
        <f t="shared" si="118"/>
        <v>67314588.581381887</v>
      </c>
      <c r="S272" s="350">
        <f t="shared" si="119"/>
        <v>101812166.01024887</v>
      </c>
      <c r="T272" s="350">
        <f t="shared" si="120"/>
        <v>136837739.41111636</v>
      </c>
      <c r="U272" s="350">
        <f t="shared" si="121"/>
        <v>172397269.92705405</v>
      </c>
      <c r="V272" s="350">
        <f t="shared" si="122"/>
        <v>511692820.46792161</v>
      </c>
      <c r="W272" s="365"/>
      <c r="X272" s="377">
        <f t="shared" ref="X272:X335" si="124">IF(Q272&lt;Q$8,1,0)</f>
        <v>0</v>
      </c>
      <c r="Y272" s="377">
        <f t="shared" ref="Y272:Y335" si="125">IF(R272&lt;R$8,1,0)</f>
        <v>0</v>
      </c>
      <c r="Z272" s="377">
        <f t="shared" ref="Z272:Z335" si="126">IF(S272&lt;S$8,1,0)</f>
        <v>0</v>
      </c>
      <c r="AA272" s="377">
        <f t="shared" ref="AA272:AA335" si="127">IF(T272&lt;T$8,1,0)</f>
        <v>0</v>
      </c>
      <c r="AB272" s="377">
        <f t="shared" ref="AB272:AB335" si="128">IF(U272&lt;U$8,1,0)</f>
        <v>0</v>
      </c>
      <c r="AC272" s="377">
        <f t="shared" ref="AC272:AC335" si="129">IF(V272&lt;V$8,1,0)</f>
        <v>0</v>
      </c>
      <c r="AD272" s="376"/>
      <c r="AE272" s="332">
        <v>257</v>
      </c>
      <c r="AF272" s="350">
        <v>146719016.3329204</v>
      </c>
      <c r="AG272" s="350">
        <v>147922405.77425942</v>
      </c>
      <c r="AH272" s="350">
        <v>149075371.44057897</v>
      </c>
      <c r="AI272" s="350">
        <v>150231076.87004581</v>
      </c>
      <c r="AJ272" s="350">
        <v>151393112.03560191</v>
      </c>
      <c r="AK272" s="348">
        <v>745340982.45340657</v>
      </c>
      <c r="AL272" s="369"/>
      <c r="AM272" s="350">
        <v>178580253.98487377</v>
      </c>
      <c r="AN272" s="350">
        <v>212277749.25557756</v>
      </c>
      <c r="AO272" s="350">
        <v>246416340.85540941</v>
      </c>
      <c r="AP272" s="350">
        <v>281062528.23111731</v>
      </c>
      <c r="AQ272" s="350">
        <v>316225601.02574223</v>
      </c>
      <c r="AR272" s="348">
        <v>1234562473.3527203</v>
      </c>
      <c r="AS272" s="369"/>
      <c r="AT272" s="350">
        <f t="shared" si="123"/>
        <v>31861237.651953369</v>
      </c>
      <c r="AU272" s="350">
        <f t="shared" ref="AU272:AU335" si="130">AN272-AG272</f>
        <v>64355343.481318146</v>
      </c>
      <c r="AV272" s="350">
        <f t="shared" ref="AV272:AV335" si="131">AO272-AH272</f>
        <v>97340969.414830446</v>
      </c>
      <c r="AW272" s="350">
        <f t="shared" ref="AW272:AW335" si="132">AP272-AI272</f>
        <v>130831451.3610715</v>
      </c>
      <c r="AX272" s="350">
        <f t="shared" ref="AX272:AX335" si="133">AQ272-AJ272</f>
        <v>164832488.99014032</v>
      </c>
      <c r="AY272" s="350">
        <f t="shared" ref="AY272:AY335" si="134">AR272-AK272</f>
        <v>489221490.89931369</v>
      </c>
      <c r="AZ272" s="365"/>
      <c r="BA272" s="377">
        <f t="shared" ref="BA272:BA335" si="135">IF(AT272&lt;AT$8,1,0)</f>
        <v>0</v>
      </c>
      <c r="BB272" s="377">
        <f t="shared" ref="BB272:BB335" si="136">IF(AU272&lt;AU$8,1,0)</f>
        <v>0</v>
      </c>
      <c r="BC272" s="377">
        <f t="shared" ref="BC272:BC335" si="137">IF(AV272&lt;AV$8,1,0)</f>
        <v>0</v>
      </c>
      <c r="BD272" s="377">
        <f t="shared" ref="BD272:BD335" si="138">IF(AW272&lt;AW$8,1,0)</f>
        <v>0</v>
      </c>
      <c r="BE272" s="377">
        <f t="shared" ref="BE272:BE335" si="139">IF(AX272&lt;AX$8,1,0)</f>
        <v>0</v>
      </c>
      <c r="BF272" s="377">
        <f t="shared" ref="BF272:BF335" si="140">IF(AY272&lt;AY$8,1,0)</f>
        <v>0</v>
      </c>
      <c r="BG272" s="328"/>
    </row>
    <row r="273" spans="2:59">
      <c r="B273" s="332">
        <v>258</v>
      </c>
      <c r="C273" s="350">
        <v>146050554.10346413</v>
      </c>
      <c r="D273" s="350">
        <v>147248460.81728107</v>
      </c>
      <c r="E273" s="350">
        <v>148396173.49036863</v>
      </c>
      <c r="F273" s="350">
        <v>149546613.44404864</v>
      </c>
      <c r="G273" s="350">
        <v>150703354.2950919</v>
      </c>
      <c r="H273" s="348">
        <v>741945156.15025437</v>
      </c>
      <c r="I273" s="369"/>
      <c r="J273" s="350">
        <v>184075801.84483138</v>
      </c>
      <c r="K273" s="350">
        <v>224039063.22661033</v>
      </c>
      <c r="L273" s="350">
        <v>264538505.30665207</v>
      </c>
      <c r="M273" s="350">
        <v>305642964.49175328</v>
      </c>
      <c r="N273" s="350">
        <v>347362814.43117344</v>
      </c>
      <c r="O273" s="348">
        <v>1325659149.3010206</v>
      </c>
      <c r="P273" s="369"/>
      <c r="Q273" s="350">
        <f t="shared" ref="Q273:Q336" si="141">J273-C273</f>
        <v>38025247.741367251</v>
      </c>
      <c r="R273" s="350">
        <f t="shared" ref="R273:R336" si="142">K273-D273</f>
        <v>76790602.409329265</v>
      </c>
      <c r="S273" s="350">
        <f t="shared" ref="S273:S336" si="143">L273-E273</f>
        <v>116142331.81628343</v>
      </c>
      <c r="T273" s="350">
        <f t="shared" ref="T273:T336" si="144">M273-F273</f>
        <v>156096351.04770464</v>
      </c>
      <c r="U273" s="350">
        <f t="shared" ref="U273:U336" si="145">N273-G273</f>
        <v>196659460.13608155</v>
      </c>
      <c r="V273" s="350">
        <f t="shared" ref="V273:V336" si="146">O273-H273</f>
        <v>583713993.15076625</v>
      </c>
      <c r="W273" s="365"/>
      <c r="X273" s="377">
        <f t="shared" si="124"/>
        <v>0</v>
      </c>
      <c r="Y273" s="377">
        <f t="shared" si="125"/>
        <v>0</v>
      </c>
      <c r="Z273" s="377">
        <f t="shared" si="126"/>
        <v>0</v>
      </c>
      <c r="AA273" s="377">
        <f t="shared" si="127"/>
        <v>0</v>
      </c>
      <c r="AB273" s="377">
        <f t="shared" si="128"/>
        <v>0</v>
      </c>
      <c r="AC273" s="377">
        <f t="shared" si="129"/>
        <v>0</v>
      </c>
      <c r="AD273" s="376"/>
      <c r="AE273" s="332">
        <v>258</v>
      </c>
      <c r="AF273" s="350">
        <v>103925196.11118287</v>
      </c>
      <c r="AG273" s="350">
        <v>104777590.61882804</v>
      </c>
      <c r="AH273" s="350">
        <v>105594268.55176774</v>
      </c>
      <c r="AI273" s="350">
        <v>106412887.13582072</v>
      </c>
      <c r="AJ273" s="350">
        <v>107235989.24955408</v>
      </c>
      <c r="AK273" s="348">
        <v>527945931.66715354</v>
      </c>
      <c r="AL273" s="369"/>
      <c r="AM273" s="350">
        <v>131053497.87582988</v>
      </c>
      <c r="AN273" s="350">
        <v>159589991.03720102</v>
      </c>
      <c r="AO273" s="350">
        <v>188509537.28105599</v>
      </c>
      <c r="AP273" s="350">
        <v>217861149.6551916</v>
      </c>
      <c r="AQ273" s="350">
        <v>247652226.6171951</v>
      </c>
      <c r="AR273" s="348">
        <v>944666402.46647358</v>
      </c>
      <c r="AS273" s="369"/>
      <c r="AT273" s="350">
        <f t="shared" ref="AT273:AT336" si="147">AM273-AF273</f>
        <v>27128301.764647007</v>
      </c>
      <c r="AU273" s="350">
        <f t="shared" si="130"/>
        <v>54812400.418372974</v>
      </c>
      <c r="AV273" s="350">
        <f t="shared" si="131"/>
        <v>82915268.72928825</v>
      </c>
      <c r="AW273" s="350">
        <f t="shared" si="132"/>
        <v>111448262.51937088</v>
      </c>
      <c r="AX273" s="350">
        <f t="shared" si="133"/>
        <v>140416237.36764103</v>
      </c>
      <c r="AY273" s="350">
        <f t="shared" si="134"/>
        <v>416720470.79932004</v>
      </c>
      <c r="AZ273" s="365"/>
      <c r="BA273" s="377">
        <f t="shared" si="135"/>
        <v>0</v>
      </c>
      <c r="BB273" s="377">
        <f t="shared" si="136"/>
        <v>0</v>
      </c>
      <c r="BC273" s="377">
        <f t="shared" si="137"/>
        <v>0</v>
      </c>
      <c r="BD273" s="377">
        <f t="shared" si="138"/>
        <v>0</v>
      </c>
      <c r="BE273" s="377">
        <f t="shared" si="139"/>
        <v>0</v>
      </c>
      <c r="BF273" s="377">
        <f t="shared" si="140"/>
        <v>0</v>
      </c>
      <c r="BG273" s="328"/>
    </row>
    <row r="274" spans="2:59">
      <c r="B274" s="332">
        <v>259</v>
      </c>
      <c r="C274" s="350">
        <v>124110636.38219967</v>
      </c>
      <c r="D274" s="350">
        <v>125128591.88049243</v>
      </c>
      <c r="E274" s="350">
        <v>126103893.55678675</v>
      </c>
      <c r="F274" s="350">
        <v>127081512.81778304</v>
      </c>
      <c r="G274" s="350">
        <v>128064486.44656202</v>
      </c>
      <c r="H274" s="348">
        <v>630489121.08382392</v>
      </c>
      <c r="I274" s="369"/>
      <c r="J274" s="350">
        <v>156262650.6143308</v>
      </c>
      <c r="K274" s="350">
        <v>190062868.24275023</v>
      </c>
      <c r="L274" s="350">
        <v>224316307.05005056</v>
      </c>
      <c r="M274" s="350">
        <v>259081395.5930627</v>
      </c>
      <c r="N274" s="350">
        <v>294366921.0605194</v>
      </c>
      <c r="O274" s="348">
        <v>1124090142.5607138</v>
      </c>
      <c r="P274" s="369"/>
      <c r="Q274" s="350">
        <f t="shared" si="141"/>
        <v>32152014.232131124</v>
      </c>
      <c r="R274" s="350">
        <f t="shared" si="142"/>
        <v>64934276.362257794</v>
      </c>
      <c r="S274" s="350">
        <f t="shared" si="143"/>
        <v>98212413.493263811</v>
      </c>
      <c r="T274" s="350">
        <f t="shared" si="144"/>
        <v>131999882.77527966</v>
      </c>
      <c r="U274" s="350">
        <f t="shared" si="145"/>
        <v>166302434.61395738</v>
      </c>
      <c r="V274" s="350">
        <f t="shared" si="146"/>
        <v>493601021.47688985</v>
      </c>
      <c r="W274" s="365"/>
      <c r="X274" s="377">
        <f t="shared" si="124"/>
        <v>0</v>
      </c>
      <c r="Y274" s="377">
        <f t="shared" si="125"/>
        <v>0</v>
      </c>
      <c r="Z274" s="377">
        <f t="shared" si="126"/>
        <v>0</v>
      </c>
      <c r="AA274" s="377">
        <f t="shared" si="127"/>
        <v>0</v>
      </c>
      <c r="AB274" s="377">
        <f t="shared" si="128"/>
        <v>0</v>
      </c>
      <c r="AC274" s="377">
        <f t="shared" si="129"/>
        <v>0</v>
      </c>
      <c r="AD274" s="376"/>
      <c r="AE274" s="332">
        <v>259</v>
      </c>
      <c r="AF274" s="350">
        <v>131412030.63554239</v>
      </c>
      <c r="AG274" s="350">
        <v>132489872.17295358</v>
      </c>
      <c r="AH274" s="350">
        <v>133522550.57586977</v>
      </c>
      <c r="AI274" s="350">
        <v>134557682.90635201</v>
      </c>
      <c r="AJ274" s="350">
        <v>135598484.60058591</v>
      </c>
      <c r="AK274" s="348">
        <v>667580620.89130366</v>
      </c>
      <c r="AL274" s="369"/>
      <c r="AM274" s="350">
        <v>169970765.84860635</v>
      </c>
      <c r="AN274" s="350">
        <v>210350534.6160402</v>
      </c>
      <c r="AO274" s="350">
        <v>251279627.94695929</v>
      </c>
      <c r="AP274" s="350">
        <v>292821800.86918294</v>
      </c>
      <c r="AQ274" s="350">
        <v>334987163.14057845</v>
      </c>
      <c r="AR274" s="348">
        <v>1259409892.4213672</v>
      </c>
      <c r="AS274" s="369"/>
      <c r="AT274" s="350">
        <f t="shared" si="147"/>
        <v>38558735.213063955</v>
      </c>
      <c r="AU274" s="350">
        <f t="shared" si="130"/>
        <v>77860662.443086624</v>
      </c>
      <c r="AV274" s="350">
        <f t="shared" si="131"/>
        <v>117757077.37108952</v>
      </c>
      <c r="AW274" s="350">
        <f t="shared" si="132"/>
        <v>158264117.96283093</v>
      </c>
      <c r="AX274" s="350">
        <f t="shared" si="133"/>
        <v>199388678.53999254</v>
      </c>
      <c r="AY274" s="350">
        <f t="shared" si="134"/>
        <v>591829271.53006351</v>
      </c>
      <c r="AZ274" s="365"/>
      <c r="BA274" s="377">
        <f t="shared" si="135"/>
        <v>0</v>
      </c>
      <c r="BB274" s="377">
        <f t="shared" si="136"/>
        <v>0</v>
      </c>
      <c r="BC274" s="377">
        <f t="shared" si="137"/>
        <v>0</v>
      </c>
      <c r="BD274" s="377">
        <f t="shared" si="138"/>
        <v>0</v>
      </c>
      <c r="BE274" s="377">
        <f t="shared" si="139"/>
        <v>0</v>
      </c>
      <c r="BF274" s="377">
        <f t="shared" si="140"/>
        <v>0</v>
      </c>
      <c r="BG274" s="328"/>
    </row>
    <row r="275" spans="2:59">
      <c r="B275" s="332">
        <v>260</v>
      </c>
      <c r="C275" s="350">
        <v>130300868.76545823</v>
      </c>
      <c r="D275" s="350">
        <v>131369596.55268556</v>
      </c>
      <c r="E275" s="350">
        <v>132393543.08486027</v>
      </c>
      <c r="F275" s="350">
        <v>133419922.79527757</v>
      </c>
      <c r="G275" s="350">
        <v>134451923.93182003</v>
      </c>
      <c r="H275" s="348">
        <v>661935855.13010168</v>
      </c>
      <c r="I275" s="369"/>
      <c r="J275" s="350">
        <v>159635705.38463372</v>
      </c>
      <c r="K275" s="350">
        <v>190638105.71448836</v>
      </c>
      <c r="L275" s="350">
        <v>222048522.12306833</v>
      </c>
      <c r="M275" s="350">
        <v>253926448.39375669</v>
      </c>
      <c r="N275" s="350">
        <v>286280322.96081799</v>
      </c>
      <c r="O275" s="348">
        <v>1112529104.5767651</v>
      </c>
      <c r="P275" s="369"/>
      <c r="Q275" s="350">
        <f t="shared" si="141"/>
        <v>29334836.619175494</v>
      </c>
      <c r="R275" s="350">
        <f t="shared" si="142"/>
        <v>59268509.161802799</v>
      </c>
      <c r="S275" s="350">
        <f t="shared" si="143"/>
        <v>89654979.038208067</v>
      </c>
      <c r="T275" s="350">
        <f t="shared" si="144"/>
        <v>120506525.59847912</v>
      </c>
      <c r="U275" s="350">
        <f t="shared" si="145"/>
        <v>151828399.02899796</v>
      </c>
      <c r="V275" s="350">
        <f t="shared" si="146"/>
        <v>450593249.44666338</v>
      </c>
      <c r="W275" s="365"/>
      <c r="X275" s="377">
        <f t="shared" si="124"/>
        <v>0</v>
      </c>
      <c r="Y275" s="377">
        <f t="shared" si="125"/>
        <v>0</v>
      </c>
      <c r="Z275" s="377">
        <f t="shared" si="126"/>
        <v>0</v>
      </c>
      <c r="AA275" s="377">
        <f t="shared" si="127"/>
        <v>0</v>
      </c>
      <c r="AB275" s="377">
        <f t="shared" si="128"/>
        <v>0</v>
      </c>
      <c r="AC275" s="377">
        <f t="shared" si="129"/>
        <v>0</v>
      </c>
      <c r="AD275" s="376"/>
      <c r="AE275" s="332">
        <v>260</v>
      </c>
      <c r="AF275" s="350">
        <v>113476204.10070275</v>
      </c>
      <c r="AG275" s="350">
        <v>114406935.9803942</v>
      </c>
      <c r="AH275" s="350">
        <v>115298668.83508772</v>
      </c>
      <c r="AI275" s="350">
        <v>116192520.69200644</v>
      </c>
      <c r="AJ275" s="350">
        <v>117091268.12716933</v>
      </c>
      <c r="AK275" s="348">
        <v>576465597.7353605</v>
      </c>
      <c r="AL275" s="369"/>
      <c r="AM275" s="350">
        <v>147010783.3481527</v>
      </c>
      <c r="AN275" s="350">
        <v>182139974.82420737</v>
      </c>
      <c r="AO275" s="350">
        <v>217747467.15328524</v>
      </c>
      <c r="AP275" s="350">
        <v>253888414.54499108</v>
      </c>
      <c r="AQ275" s="350">
        <v>290571592.25045991</v>
      </c>
      <c r="AR275" s="348">
        <v>1091358232.1210964</v>
      </c>
      <c r="AS275" s="369"/>
      <c r="AT275" s="350">
        <f t="shared" si="147"/>
        <v>33534579.247449949</v>
      </c>
      <c r="AU275" s="350">
        <f t="shared" si="130"/>
        <v>67733038.843813166</v>
      </c>
      <c r="AV275" s="350">
        <f t="shared" si="131"/>
        <v>102448798.31819752</v>
      </c>
      <c r="AW275" s="350">
        <f t="shared" si="132"/>
        <v>137695893.85298464</v>
      </c>
      <c r="AX275" s="350">
        <f t="shared" si="133"/>
        <v>173480324.1232906</v>
      </c>
      <c r="AY275" s="350">
        <f t="shared" si="134"/>
        <v>514892634.38573587</v>
      </c>
      <c r="AZ275" s="365"/>
      <c r="BA275" s="377">
        <f t="shared" si="135"/>
        <v>0</v>
      </c>
      <c r="BB275" s="377">
        <f t="shared" si="136"/>
        <v>0</v>
      </c>
      <c r="BC275" s="377">
        <f t="shared" si="137"/>
        <v>0</v>
      </c>
      <c r="BD275" s="377">
        <f t="shared" si="138"/>
        <v>0</v>
      </c>
      <c r="BE275" s="377">
        <f t="shared" si="139"/>
        <v>0</v>
      </c>
      <c r="BF275" s="377">
        <f t="shared" si="140"/>
        <v>0</v>
      </c>
      <c r="BG275" s="328"/>
    </row>
    <row r="276" spans="2:59">
      <c r="B276" s="332">
        <v>261</v>
      </c>
      <c r="C276" s="350">
        <v>119405245.15560031</v>
      </c>
      <c r="D276" s="350">
        <v>120384607.03282753</v>
      </c>
      <c r="E276" s="350">
        <v>121322932.217141</v>
      </c>
      <c r="F276" s="350">
        <v>122263487.11985397</v>
      </c>
      <c r="G276" s="350">
        <v>123209193.39086525</v>
      </c>
      <c r="H276" s="348">
        <v>606585464.91628802</v>
      </c>
      <c r="I276" s="369"/>
      <c r="J276" s="350">
        <v>147829042.21678472</v>
      </c>
      <c r="K276" s="350">
        <v>177798310.21011046</v>
      </c>
      <c r="L276" s="350">
        <v>208165056.25468108</v>
      </c>
      <c r="M276" s="350">
        <v>238984443.97225881</v>
      </c>
      <c r="N276" s="350">
        <v>270264479.98962498</v>
      </c>
      <c r="O276" s="348">
        <v>1043041332.64346</v>
      </c>
      <c r="P276" s="369"/>
      <c r="Q276" s="350">
        <f t="shared" si="141"/>
        <v>28423797.061184406</v>
      </c>
      <c r="R276" s="350">
        <f t="shared" si="142"/>
        <v>57413703.177282929</v>
      </c>
      <c r="S276" s="350">
        <f t="shared" si="143"/>
        <v>86842124.037540078</v>
      </c>
      <c r="T276" s="350">
        <f t="shared" si="144"/>
        <v>116720956.85240483</v>
      </c>
      <c r="U276" s="350">
        <f t="shared" si="145"/>
        <v>147055286.59875971</v>
      </c>
      <c r="V276" s="350">
        <f t="shared" si="146"/>
        <v>436455867.72717202</v>
      </c>
      <c r="W276" s="365"/>
      <c r="X276" s="377">
        <f t="shared" si="124"/>
        <v>0</v>
      </c>
      <c r="Y276" s="377">
        <f t="shared" si="125"/>
        <v>0</v>
      </c>
      <c r="Z276" s="377">
        <f t="shared" si="126"/>
        <v>0</v>
      </c>
      <c r="AA276" s="377">
        <f t="shared" si="127"/>
        <v>0</v>
      </c>
      <c r="AB276" s="377">
        <f t="shared" si="128"/>
        <v>0</v>
      </c>
      <c r="AC276" s="377">
        <f t="shared" si="129"/>
        <v>0</v>
      </c>
      <c r="AD276" s="376"/>
      <c r="AE276" s="332">
        <v>261</v>
      </c>
      <c r="AF276" s="350">
        <v>133313431.69361198</v>
      </c>
      <c r="AG276" s="350">
        <v>134406868.52340052</v>
      </c>
      <c r="AH276" s="350">
        <v>135454488.75316814</v>
      </c>
      <c r="AI276" s="350">
        <v>136504598.41638702</v>
      </c>
      <c r="AJ276" s="350">
        <v>137560459.4733983</v>
      </c>
      <c r="AK276" s="348">
        <v>677239846.85996592</v>
      </c>
      <c r="AL276" s="369"/>
      <c r="AM276" s="350">
        <v>167981266.72971582</v>
      </c>
      <c r="AN276" s="350">
        <v>204438542.0024147</v>
      </c>
      <c r="AO276" s="350">
        <v>241384933.02948511</v>
      </c>
      <c r="AP276" s="350">
        <v>278883256.89891565</v>
      </c>
      <c r="AQ276" s="350">
        <v>316942978.44209754</v>
      </c>
      <c r="AR276" s="348">
        <v>1209630977.1026287</v>
      </c>
      <c r="AS276" s="369"/>
      <c r="AT276" s="350">
        <f t="shared" si="147"/>
        <v>34667835.036103845</v>
      </c>
      <c r="AU276" s="350">
        <f t="shared" si="130"/>
        <v>70031673.479014188</v>
      </c>
      <c r="AV276" s="350">
        <f t="shared" si="131"/>
        <v>105930444.27631697</v>
      </c>
      <c r="AW276" s="350">
        <f t="shared" si="132"/>
        <v>142378658.48252863</v>
      </c>
      <c r="AX276" s="350">
        <f t="shared" si="133"/>
        <v>179382518.96869925</v>
      </c>
      <c r="AY276" s="350">
        <f t="shared" si="134"/>
        <v>532391130.24266279</v>
      </c>
      <c r="AZ276" s="365"/>
      <c r="BA276" s="377">
        <f t="shared" si="135"/>
        <v>0</v>
      </c>
      <c r="BB276" s="377">
        <f t="shared" si="136"/>
        <v>0</v>
      </c>
      <c r="BC276" s="377">
        <f t="shared" si="137"/>
        <v>0</v>
      </c>
      <c r="BD276" s="377">
        <f t="shared" si="138"/>
        <v>0</v>
      </c>
      <c r="BE276" s="377">
        <f t="shared" si="139"/>
        <v>0</v>
      </c>
      <c r="BF276" s="377">
        <f t="shared" si="140"/>
        <v>0</v>
      </c>
      <c r="BG276" s="328"/>
    </row>
    <row r="277" spans="2:59">
      <c r="B277" s="332">
        <v>262</v>
      </c>
      <c r="C277" s="350">
        <v>127060493.50791858</v>
      </c>
      <c r="D277" s="350">
        <v>128102643.73575136</v>
      </c>
      <c r="E277" s="350">
        <v>129101126.34708396</v>
      </c>
      <c r="F277" s="350">
        <v>130101981.62738816</v>
      </c>
      <c r="G277" s="350">
        <v>131108318.53789523</v>
      </c>
      <c r="H277" s="348">
        <v>645474563.75603735</v>
      </c>
      <c r="I277" s="369"/>
      <c r="J277" s="350">
        <v>165345376.84520766</v>
      </c>
      <c r="K277" s="350">
        <v>205427710.99562973</v>
      </c>
      <c r="L277" s="350">
        <v>246056914.09681702</v>
      </c>
      <c r="M277" s="350">
        <v>287295050.75102693</v>
      </c>
      <c r="N277" s="350">
        <v>329152077.93028384</v>
      </c>
      <c r="O277" s="348">
        <v>1233277130.6189651</v>
      </c>
      <c r="P277" s="369"/>
      <c r="Q277" s="350">
        <f t="shared" si="141"/>
        <v>38284883.33728908</v>
      </c>
      <c r="R277" s="350">
        <f t="shared" si="142"/>
        <v>77325067.259878367</v>
      </c>
      <c r="S277" s="350">
        <f t="shared" si="143"/>
        <v>116955787.74973306</v>
      </c>
      <c r="T277" s="350">
        <f t="shared" si="144"/>
        <v>157193069.12363875</v>
      </c>
      <c r="U277" s="350">
        <f t="shared" si="145"/>
        <v>198043759.39238861</v>
      </c>
      <c r="V277" s="350">
        <f t="shared" si="146"/>
        <v>587802566.86292779</v>
      </c>
      <c r="W277" s="365"/>
      <c r="X277" s="377">
        <f t="shared" si="124"/>
        <v>0</v>
      </c>
      <c r="Y277" s="377">
        <f t="shared" si="125"/>
        <v>0</v>
      </c>
      <c r="Z277" s="377">
        <f t="shared" si="126"/>
        <v>0</v>
      </c>
      <c r="AA277" s="377">
        <f t="shared" si="127"/>
        <v>0</v>
      </c>
      <c r="AB277" s="377">
        <f t="shared" si="128"/>
        <v>0</v>
      </c>
      <c r="AC277" s="377">
        <f t="shared" si="129"/>
        <v>0</v>
      </c>
      <c r="AD277" s="376"/>
      <c r="AE277" s="332">
        <v>262</v>
      </c>
      <c r="AF277" s="350">
        <v>122960803.58746657</v>
      </c>
      <c r="AG277" s="350">
        <v>123969328.15663326</v>
      </c>
      <c r="AH277" s="350">
        <v>124935594.07350475</v>
      </c>
      <c r="AI277" s="350">
        <v>125904156.10363168</v>
      </c>
      <c r="AJ277" s="350">
        <v>126878022.89557804</v>
      </c>
      <c r="AK277" s="348">
        <v>624647904.8168143</v>
      </c>
      <c r="AL277" s="369"/>
      <c r="AM277" s="350">
        <v>157143078.71220818</v>
      </c>
      <c r="AN277" s="350">
        <v>193012231.56293353</v>
      </c>
      <c r="AO277" s="350">
        <v>229366442.63670456</v>
      </c>
      <c r="AP277" s="350">
        <v>266264574.07175922</v>
      </c>
      <c r="AQ277" s="350">
        <v>303715749.3037287</v>
      </c>
      <c r="AR277" s="348">
        <v>1149502076.2873342</v>
      </c>
      <c r="AS277" s="369"/>
      <c r="AT277" s="350">
        <f t="shared" si="147"/>
        <v>34182275.124741614</v>
      </c>
      <c r="AU277" s="350">
        <f t="shared" si="130"/>
        <v>69042903.406300277</v>
      </c>
      <c r="AV277" s="350">
        <f t="shared" si="131"/>
        <v>104430848.56319982</v>
      </c>
      <c r="AW277" s="350">
        <f t="shared" si="132"/>
        <v>140360417.96812755</v>
      </c>
      <c r="AX277" s="350">
        <f t="shared" si="133"/>
        <v>176837726.40815067</v>
      </c>
      <c r="AY277" s="350">
        <f t="shared" si="134"/>
        <v>524854171.4705199</v>
      </c>
      <c r="AZ277" s="365"/>
      <c r="BA277" s="377">
        <f t="shared" si="135"/>
        <v>0</v>
      </c>
      <c r="BB277" s="377">
        <f t="shared" si="136"/>
        <v>0</v>
      </c>
      <c r="BC277" s="377">
        <f t="shared" si="137"/>
        <v>0</v>
      </c>
      <c r="BD277" s="377">
        <f t="shared" si="138"/>
        <v>0</v>
      </c>
      <c r="BE277" s="377">
        <f t="shared" si="139"/>
        <v>0</v>
      </c>
      <c r="BF277" s="377">
        <f t="shared" si="140"/>
        <v>0</v>
      </c>
      <c r="BG277" s="328"/>
    </row>
    <row r="278" spans="2:59">
      <c r="B278" s="332">
        <v>263</v>
      </c>
      <c r="C278" s="350">
        <v>122879148.56803727</v>
      </c>
      <c r="D278" s="350">
        <v>123887003.40269601</v>
      </c>
      <c r="E278" s="350">
        <v>124852627.64791352</v>
      </c>
      <c r="F278" s="350">
        <v>125820546.48159829</v>
      </c>
      <c r="G278" s="350">
        <v>126793766.55435045</v>
      </c>
      <c r="H278" s="348">
        <v>624233092.65459561</v>
      </c>
      <c r="I278" s="369"/>
      <c r="J278" s="350">
        <v>151920371.03952998</v>
      </c>
      <c r="K278" s="350">
        <v>182561509.16388178</v>
      </c>
      <c r="L278" s="350">
        <v>213608669.77692738</v>
      </c>
      <c r="M278" s="350">
        <v>245118534.45849428</v>
      </c>
      <c r="N278" s="350">
        <v>277099307.37687004</v>
      </c>
      <c r="O278" s="348">
        <v>1070308391.8157035</v>
      </c>
      <c r="P278" s="369"/>
      <c r="Q278" s="350">
        <f t="shared" si="141"/>
        <v>29041222.471492708</v>
      </c>
      <c r="R278" s="350">
        <f t="shared" si="142"/>
        <v>58674505.761185765</v>
      </c>
      <c r="S278" s="350">
        <f t="shared" si="143"/>
        <v>88756042.129013866</v>
      </c>
      <c r="T278" s="350">
        <f t="shared" si="144"/>
        <v>119297987.97689599</v>
      </c>
      <c r="U278" s="350">
        <f t="shared" si="145"/>
        <v>150305540.8225196</v>
      </c>
      <c r="V278" s="350">
        <f t="shared" si="146"/>
        <v>446075299.1611079</v>
      </c>
      <c r="W278" s="365"/>
      <c r="X278" s="377">
        <f t="shared" si="124"/>
        <v>0</v>
      </c>
      <c r="Y278" s="377">
        <f t="shared" si="125"/>
        <v>0</v>
      </c>
      <c r="Z278" s="377">
        <f t="shared" si="126"/>
        <v>0</v>
      </c>
      <c r="AA278" s="377">
        <f t="shared" si="127"/>
        <v>0</v>
      </c>
      <c r="AB278" s="377">
        <f t="shared" si="128"/>
        <v>0</v>
      </c>
      <c r="AC278" s="377">
        <f t="shared" si="129"/>
        <v>0</v>
      </c>
      <c r="AD278" s="376"/>
      <c r="AE278" s="332">
        <v>263</v>
      </c>
      <c r="AF278" s="350">
        <v>149254396.76000726</v>
      </c>
      <c r="AG278" s="350">
        <v>150478581.39280811</v>
      </c>
      <c r="AH278" s="350">
        <v>151651470.90169796</v>
      </c>
      <c r="AI278" s="350">
        <v>152827147.51825824</v>
      </c>
      <c r="AJ278" s="350">
        <v>154009263.2520186</v>
      </c>
      <c r="AK278" s="348">
        <v>758220859.82479012</v>
      </c>
      <c r="AL278" s="369"/>
      <c r="AM278" s="350">
        <v>184672934.75097618</v>
      </c>
      <c r="AN278" s="350">
        <v>222018576.41498125</v>
      </c>
      <c r="AO278" s="350">
        <v>259859311.68384197</v>
      </c>
      <c r="AP278" s="350">
        <v>298264047.61522508</v>
      </c>
      <c r="AQ278" s="350">
        <v>337242772.16278303</v>
      </c>
      <c r="AR278" s="348">
        <v>1302057642.6278076</v>
      </c>
      <c r="AS278" s="369"/>
      <c r="AT278" s="350">
        <f t="shared" si="147"/>
        <v>35418537.990968913</v>
      </c>
      <c r="AU278" s="350">
        <f t="shared" si="130"/>
        <v>71539995.022173136</v>
      </c>
      <c r="AV278" s="350">
        <f t="shared" si="131"/>
        <v>108207840.78214401</v>
      </c>
      <c r="AW278" s="350">
        <f t="shared" si="132"/>
        <v>145436900.09696683</v>
      </c>
      <c r="AX278" s="350">
        <f t="shared" si="133"/>
        <v>183233508.91076443</v>
      </c>
      <c r="AY278" s="350">
        <f t="shared" si="134"/>
        <v>543836782.8030175</v>
      </c>
      <c r="AZ278" s="365"/>
      <c r="BA278" s="377">
        <f t="shared" si="135"/>
        <v>0</v>
      </c>
      <c r="BB278" s="377">
        <f t="shared" si="136"/>
        <v>0</v>
      </c>
      <c r="BC278" s="377">
        <f t="shared" si="137"/>
        <v>0</v>
      </c>
      <c r="BD278" s="377">
        <f t="shared" si="138"/>
        <v>0</v>
      </c>
      <c r="BE278" s="377">
        <f t="shared" si="139"/>
        <v>0</v>
      </c>
      <c r="BF278" s="377">
        <f t="shared" si="140"/>
        <v>0</v>
      </c>
      <c r="BG278" s="328"/>
    </row>
    <row r="279" spans="2:59">
      <c r="B279" s="332">
        <v>264</v>
      </c>
      <c r="C279" s="350">
        <v>134659967.49016249</v>
      </c>
      <c r="D279" s="350">
        <v>135764448.60719106</v>
      </c>
      <c r="E279" s="350">
        <v>136822650.35243431</v>
      </c>
      <c r="F279" s="350">
        <v>137883366.67571628</v>
      </c>
      <c r="G279" s="350">
        <v>138949892.48489389</v>
      </c>
      <c r="H279" s="348">
        <v>684080325.61039805</v>
      </c>
      <c r="I279" s="369"/>
      <c r="J279" s="350">
        <v>169760698.60865778</v>
      </c>
      <c r="K279" s="350">
        <v>206664617.56904879</v>
      </c>
      <c r="L279" s="350">
        <v>244063775.85398138</v>
      </c>
      <c r="M279" s="350">
        <v>282021659.33413923</v>
      </c>
      <c r="N279" s="350">
        <v>320547842.32950222</v>
      </c>
      <c r="O279" s="348">
        <v>1223058593.6953294</v>
      </c>
      <c r="P279" s="369"/>
      <c r="Q279" s="350">
        <f t="shared" si="141"/>
        <v>35100731.118495286</v>
      </c>
      <c r="R279" s="350">
        <f t="shared" si="142"/>
        <v>70900168.961857736</v>
      </c>
      <c r="S279" s="350">
        <f t="shared" si="143"/>
        <v>107241125.50154707</v>
      </c>
      <c r="T279" s="350">
        <f t="shared" si="144"/>
        <v>144138292.65842295</v>
      </c>
      <c r="U279" s="350">
        <f t="shared" si="145"/>
        <v>181597949.84460834</v>
      </c>
      <c r="V279" s="350">
        <f t="shared" si="146"/>
        <v>538978268.08493137</v>
      </c>
      <c r="W279" s="365"/>
      <c r="X279" s="377">
        <f t="shared" si="124"/>
        <v>0</v>
      </c>
      <c r="Y279" s="377">
        <f t="shared" si="125"/>
        <v>0</v>
      </c>
      <c r="Z279" s="377">
        <f t="shared" si="126"/>
        <v>0</v>
      </c>
      <c r="AA279" s="377">
        <f t="shared" si="127"/>
        <v>0</v>
      </c>
      <c r="AB279" s="377">
        <f t="shared" si="128"/>
        <v>0</v>
      </c>
      <c r="AC279" s="377">
        <f t="shared" si="129"/>
        <v>0</v>
      </c>
      <c r="AD279" s="376"/>
      <c r="AE279" s="332">
        <v>264</v>
      </c>
      <c r="AF279" s="350">
        <v>133913296.45616893</v>
      </c>
      <c r="AG279" s="350">
        <v>135011653.37702361</v>
      </c>
      <c r="AH279" s="350">
        <v>136063987.53885642</v>
      </c>
      <c r="AI279" s="350">
        <v>137118822.33573797</v>
      </c>
      <c r="AJ279" s="350">
        <v>138179434.40571329</v>
      </c>
      <c r="AK279" s="348">
        <v>680287194.11350024</v>
      </c>
      <c r="AL279" s="369"/>
      <c r="AM279" s="350">
        <v>166116969.7001771</v>
      </c>
      <c r="AN279" s="350">
        <v>200091210.39570713</v>
      </c>
      <c r="AO279" s="350">
        <v>234516738.42222363</v>
      </c>
      <c r="AP279" s="350">
        <v>269455558.22106785</v>
      </c>
      <c r="AQ279" s="350">
        <v>304916712.32587332</v>
      </c>
      <c r="AR279" s="348">
        <v>1175097189.0650492</v>
      </c>
      <c r="AS279" s="369"/>
      <c r="AT279" s="350">
        <f t="shared" si="147"/>
        <v>32203673.244008169</v>
      </c>
      <c r="AU279" s="350">
        <f t="shared" si="130"/>
        <v>65079557.018683523</v>
      </c>
      <c r="AV279" s="350">
        <f t="shared" si="131"/>
        <v>98452750.883367211</v>
      </c>
      <c r="AW279" s="350">
        <f t="shared" si="132"/>
        <v>132336735.88532987</v>
      </c>
      <c r="AX279" s="350">
        <f t="shared" si="133"/>
        <v>166737277.92016003</v>
      </c>
      <c r="AY279" s="350">
        <f t="shared" si="134"/>
        <v>494809994.95154893</v>
      </c>
      <c r="AZ279" s="365"/>
      <c r="BA279" s="377">
        <f t="shared" si="135"/>
        <v>0</v>
      </c>
      <c r="BB279" s="377">
        <f t="shared" si="136"/>
        <v>0</v>
      </c>
      <c r="BC279" s="377">
        <f t="shared" si="137"/>
        <v>0</v>
      </c>
      <c r="BD279" s="377">
        <f t="shared" si="138"/>
        <v>0</v>
      </c>
      <c r="BE279" s="377">
        <f t="shared" si="139"/>
        <v>0</v>
      </c>
      <c r="BF279" s="377">
        <f t="shared" si="140"/>
        <v>0</v>
      </c>
      <c r="BG279" s="328"/>
    </row>
    <row r="280" spans="2:59">
      <c r="B280" s="332">
        <v>265</v>
      </c>
      <c r="C280" s="350">
        <v>134334731.47423059</v>
      </c>
      <c r="D280" s="350">
        <v>135436545.0053027</v>
      </c>
      <c r="E280" s="350">
        <v>136492190.94033673</v>
      </c>
      <c r="F280" s="350">
        <v>137550345.38010252</v>
      </c>
      <c r="G280" s="350">
        <v>138614295.27446643</v>
      </c>
      <c r="H280" s="348">
        <v>682428108.07443893</v>
      </c>
      <c r="I280" s="369"/>
      <c r="J280" s="350">
        <v>164613626.80727467</v>
      </c>
      <c r="K280" s="350">
        <v>196592660.88251668</v>
      </c>
      <c r="L280" s="350">
        <v>228992588.31044683</v>
      </c>
      <c r="M280" s="350">
        <v>261874758.61884636</v>
      </c>
      <c r="N280" s="350">
        <v>295247874.88670695</v>
      </c>
      <c r="O280" s="348">
        <v>1147321509.5057917</v>
      </c>
      <c r="P280" s="369"/>
      <c r="Q280" s="350">
        <f t="shared" si="141"/>
        <v>30278895.333044082</v>
      </c>
      <c r="R280" s="350">
        <f t="shared" si="142"/>
        <v>61156115.877213985</v>
      </c>
      <c r="S280" s="350">
        <f t="shared" si="143"/>
        <v>92500397.370110095</v>
      </c>
      <c r="T280" s="350">
        <f t="shared" si="144"/>
        <v>124324413.23874384</v>
      </c>
      <c r="U280" s="350">
        <f t="shared" si="145"/>
        <v>156633579.61224052</v>
      </c>
      <c r="V280" s="350">
        <f t="shared" si="146"/>
        <v>464893401.43135273</v>
      </c>
      <c r="W280" s="365"/>
      <c r="X280" s="377">
        <f t="shared" si="124"/>
        <v>0</v>
      </c>
      <c r="Y280" s="377">
        <f t="shared" si="125"/>
        <v>0</v>
      </c>
      <c r="Z280" s="377">
        <f t="shared" si="126"/>
        <v>0</v>
      </c>
      <c r="AA280" s="377">
        <f t="shared" si="127"/>
        <v>0</v>
      </c>
      <c r="AB280" s="377">
        <f t="shared" si="128"/>
        <v>0</v>
      </c>
      <c r="AC280" s="377">
        <f t="shared" si="129"/>
        <v>0</v>
      </c>
      <c r="AD280" s="376"/>
      <c r="AE280" s="332">
        <v>265</v>
      </c>
      <c r="AF280" s="350">
        <v>126048481.09486693</v>
      </c>
      <c r="AG280" s="350">
        <v>127082330.79640935</v>
      </c>
      <c r="AH280" s="350">
        <v>128072860.68562527</v>
      </c>
      <c r="AI280" s="350">
        <v>129065744.34596029</v>
      </c>
      <c r="AJ280" s="350">
        <v>130064065.97636707</v>
      </c>
      <c r="AK280" s="348">
        <v>640333482.89922893</v>
      </c>
      <c r="AL280" s="369"/>
      <c r="AM280" s="350">
        <v>157806846.72537392</v>
      </c>
      <c r="AN280" s="350">
        <v>191252393.25509471</v>
      </c>
      <c r="AO280" s="350">
        <v>225144903.92778066</v>
      </c>
      <c r="AP280" s="350">
        <v>259543346.42768785</v>
      </c>
      <c r="AQ280" s="350">
        <v>294456489.65647155</v>
      </c>
      <c r="AR280" s="348">
        <v>1128203979.9924088</v>
      </c>
      <c r="AS280" s="369"/>
      <c r="AT280" s="350">
        <f t="shared" si="147"/>
        <v>31758365.630506992</v>
      </c>
      <c r="AU280" s="350">
        <f t="shared" si="130"/>
        <v>64170062.458685353</v>
      </c>
      <c r="AV280" s="350">
        <f t="shared" si="131"/>
        <v>97072043.242155388</v>
      </c>
      <c r="AW280" s="350">
        <f t="shared" si="132"/>
        <v>130477602.08172756</v>
      </c>
      <c r="AX280" s="350">
        <f t="shared" si="133"/>
        <v>164392423.68010449</v>
      </c>
      <c r="AY280" s="350">
        <f t="shared" si="134"/>
        <v>487870497.09317982</v>
      </c>
      <c r="AZ280" s="365"/>
      <c r="BA280" s="377">
        <f t="shared" si="135"/>
        <v>0</v>
      </c>
      <c r="BB280" s="377">
        <f t="shared" si="136"/>
        <v>0</v>
      </c>
      <c r="BC280" s="377">
        <f t="shared" si="137"/>
        <v>0</v>
      </c>
      <c r="BD280" s="377">
        <f t="shared" si="138"/>
        <v>0</v>
      </c>
      <c r="BE280" s="377">
        <f t="shared" si="139"/>
        <v>0</v>
      </c>
      <c r="BF280" s="377">
        <f t="shared" si="140"/>
        <v>0</v>
      </c>
      <c r="BG280" s="328"/>
    </row>
    <row r="281" spans="2:59">
      <c r="B281" s="332">
        <v>266</v>
      </c>
      <c r="C281" s="350">
        <v>117928435.25608863</v>
      </c>
      <c r="D281" s="350">
        <v>118895684.33782175</v>
      </c>
      <c r="E281" s="350">
        <v>119822404.27046183</v>
      </c>
      <c r="F281" s="350">
        <v>120751326.34423533</v>
      </c>
      <c r="G281" s="350">
        <v>121685336.07393277</v>
      </c>
      <c r="H281" s="348">
        <v>599083186.28254032</v>
      </c>
      <c r="I281" s="369"/>
      <c r="J281" s="350">
        <v>154823792.62433875</v>
      </c>
      <c r="K281" s="350">
        <v>193411044.06690016</v>
      </c>
      <c r="L281" s="350">
        <v>232526819.22559699</v>
      </c>
      <c r="M281" s="350">
        <v>272229291.93469024</v>
      </c>
      <c r="N281" s="350">
        <v>312527946.68055034</v>
      </c>
      <c r="O281" s="348">
        <v>1165518894.5320764</v>
      </c>
      <c r="P281" s="369"/>
      <c r="Q281" s="350">
        <f t="shared" si="141"/>
        <v>36895357.368250117</v>
      </c>
      <c r="R281" s="350">
        <f t="shared" si="142"/>
        <v>74515359.729078412</v>
      </c>
      <c r="S281" s="350">
        <f t="shared" si="143"/>
        <v>112704414.95513517</v>
      </c>
      <c r="T281" s="350">
        <f t="shared" si="144"/>
        <v>151477965.59045491</v>
      </c>
      <c r="U281" s="350">
        <f t="shared" si="145"/>
        <v>190842610.60661757</v>
      </c>
      <c r="V281" s="350">
        <f t="shared" si="146"/>
        <v>566435708.24953604</v>
      </c>
      <c r="W281" s="365"/>
      <c r="X281" s="377">
        <f t="shared" si="124"/>
        <v>0</v>
      </c>
      <c r="Y281" s="377">
        <f t="shared" si="125"/>
        <v>0</v>
      </c>
      <c r="Z281" s="377">
        <f t="shared" si="126"/>
        <v>0</v>
      </c>
      <c r="AA281" s="377">
        <f t="shared" si="127"/>
        <v>0</v>
      </c>
      <c r="AB281" s="377">
        <f t="shared" si="128"/>
        <v>0</v>
      </c>
      <c r="AC281" s="377">
        <f t="shared" si="129"/>
        <v>0</v>
      </c>
      <c r="AD281" s="376"/>
      <c r="AE281" s="332">
        <v>266</v>
      </c>
      <c r="AF281" s="350">
        <v>152545900.32664222</v>
      </c>
      <c r="AG281" s="350">
        <v>153797081.87325299</v>
      </c>
      <c r="AH281" s="350">
        <v>154995837.0858379</v>
      </c>
      <c r="AI281" s="350">
        <v>156197440.87011063</v>
      </c>
      <c r="AJ281" s="350">
        <v>157405625.77327776</v>
      </c>
      <c r="AK281" s="348">
        <v>774941885.92912149</v>
      </c>
      <c r="AL281" s="369"/>
      <c r="AM281" s="350">
        <v>186815329.76446724</v>
      </c>
      <c r="AN281" s="350">
        <v>223046353.3301301</v>
      </c>
      <c r="AO281" s="350">
        <v>259754084.73872262</v>
      </c>
      <c r="AP281" s="350">
        <v>297008144.43332946</v>
      </c>
      <c r="AQ281" s="350">
        <v>334818399.96866322</v>
      </c>
      <c r="AR281" s="348">
        <v>1301442312.2353125</v>
      </c>
      <c r="AS281" s="369"/>
      <c r="AT281" s="350">
        <f t="shared" si="147"/>
        <v>34269429.437825024</v>
      </c>
      <c r="AU281" s="350">
        <f t="shared" si="130"/>
        <v>69249271.456877112</v>
      </c>
      <c r="AV281" s="350">
        <f t="shared" si="131"/>
        <v>104758247.65288472</v>
      </c>
      <c r="AW281" s="350">
        <f t="shared" si="132"/>
        <v>140810703.56321883</v>
      </c>
      <c r="AX281" s="350">
        <f t="shared" si="133"/>
        <v>177412774.19538546</v>
      </c>
      <c r="AY281" s="350">
        <f t="shared" si="134"/>
        <v>526500426.30619097</v>
      </c>
      <c r="AZ281" s="365"/>
      <c r="BA281" s="377">
        <f t="shared" si="135"/>
        <v>0</v>
      </c>
      <c r="BB281" s="377">
        <f t="shared" si="136"/>
        <v>0</v>
      </c>
      <c r="BC281" s="377">
        <f t="shared" si="137"/>
        <v>0</v>
      </c>
      <c r="BD281" s="377">
        <f t="shared" si="138"/>
        <v>0</v>
      </c>
      <c r="BE281" s="377">
        <f t="shared" si="139"/>
        <v>0</v>
      </c>
      <c r="BF281" s="377">
        <f t="shared" si="140"/>
        <v>0</v>
      </c>
      <c r="BG281" s="328"/>
    </row>
    <row r="282" spans="2:59">
      <c r="B282" s="332">
        <v>267</v>
      </c>
      <c r="C282" s="350">
        <v>165864198.53961781</v>
      </c>
      <c r="D282" s="350">
        <v>167224616.77446905</v>
      </c>
      <c r="E282" s="350">
        <v>168528031.49852806</v>
      </c>
      <c r="F282" s="350">
        <v>169834543.49402454</v>
      </c>
      <c r="G282" s="350">
        <v>171148211.18501055</v>
      </c>
      <c r="H282" s="348">
        <v>842599601.49164999</v>
      </c>
      <c r="I282" s="369"/>
      <c r="J282" s="350">
        <v>204010369.37375921</v>
      </c>
      <c r="K282" s="350">
        <v>244275964.30008781</v>
      </c>
      <c r="L282" s="350">
        <v>285073053.09131241</v>
      </c>
      <c r="M282" s="350">
        <v>326477703.14562261</v>
      </c>
      <c r="N282" s="350">
        <v>368500797.06967878</v>
      </c>
      <c r="O282" s="348">
        <v>1428337886.9804606</v>
      </c>
      <c r="P282" s="369"/>
      <c r="Q282" s="350">
        <f t="shared" si="141"/>
        <v>38146170.834141403</v>
      </c>
      <c r="R282" s="350">
        <f t="shared" si="142"/>
        <v>77051347.525618762</v>
      </c>
      <c r="S282" s="350">
        <f t="shared" si="143"/>
        <v>116545021.59278435</v>
      </c>
      <c r="T282" s="350">
        <f t="shared" si="144"/>
        <v>156643159.65159807</v>
      </c>
      <c r="U282" s="350">
        <f t="shared" si="145"/>
        <v>197352585.88466823</v>
      </c>
      <c r="V282" s="350">
        <f t="shared" si="146"/>
        <v>585738285.48881066</v>
      </c>
      <c r="W282" s="365"/>
      <c r="X282" s="377">
        <f t="shared" si="124"/>
        <v>0</v>
      </c>
      <c r="Y282" s="377">
        <f t="shared" si="125"/>
        <v>0</v>
      </c>
      <c r="Z282" s="377">
        <f t="shared" si="126"/>
        <v>0</v>
      </c>
      <c r="AA282" s="377">
        <f t="shared" si="127"/>
        <v>0</v>
      </c>
      <c r="AB282" s="377">
        <f t="shared" si="128"/>
        <v>0</v>
      </c>
      <c r="AC282" s="377">
        <f t="shared" si="129"/>
        <v>0</v>
      </c>
      <c r="AD282" s="376"/>
      <c r="AE282" s="332">
        <v>267</v>
      </c>
      <c r="AF282" s="350">
        <v>134680466.49724448</v>
      </c>
      <c r="AG282" s="350">
        <v>135785115.74713883</v>
      </c>
      <c r="AH282" s="350">
        <v>136843478.58023521</v>
      </c>
      <c r="AI282" s="350">
        <v>137904356.37415934</v>
      </c>
      <c r="AJ282" s="350">
        <v>138971044.5383451</v>
      </c>
      <c r="AK282" s="348">
        <v>684184461.73712301</v>
      </c>
      <c r="AL282" s="369"/>
      <c r="AM282" s="350">
        <v>166176052.18493867</v>
      </c>
      <c r="AN282" s="350">
        <v>199395806.44836256</v>
      </c>
      <c r="AO282" s="350">
        <v>233055058.65269682</v>
      </c>
      <c r="AP282" s="350">
        <v>267215792.69791409</v>
      </c>
      <c r="AQ282" s="350">
        <v>301886937.32296395</v>
      </c>
      <c r="AR282" s="348">
        <v>1167729647.3068762</v>
      </c>
      <c r="AS282" s="369"/>
      <c r="AT282" s="350">
        <f t="shared" si="147"/>
        <v>31495585.687694192</v>
      </c>
      <c r="AU282" s="350">
        <f t="shared" si="130"/>
        <v>63610690.701223731</v>
      </c>
      <c r="AV282" s="350">
        <f t="shared" si="131"/>
        <v>96211580.072461605</v>
      </c>
      <c r="AW282" s="350">
        <f t="shared" si="132"/>
        <v>129311436.32375476</v>
      </c>
      <c r="AX282" s="350">
        <f t="shared" si="133"/>
        <v>162915892.78461885</v>
      </c>
      <c r="AY282" s="350">
        <f t="shared" si="134"/>
        <v>483545185.56975317</v>
      </c>
      <c r="AZ282" s="365"/>
      <c r="BA282" s="377">
        <f t="shared" si="135"/>
        <v>0</v>
      </c>
      <c r="BB282" s="377">
        <f t="shared" si="136"/>
        <v>0</v>
      </c>
      <c r="BC282" s="377">
        <f t="shared" si="137"/>
        <v>0</v>
      </c>
      <c r="BD282" s="377">
        <f t="shared" si="138"/>
        <v>0</v>
      </c>
      <c r="BE282" s="377">
        <f t="shared" si="139"/>
        <v>0</v>
      </c>
      <c r="BF282" s="377">
        <f t="shared" si="140"/>
        <v>0</v>
      </c>
      <c r="BG282" s="328"/>
    </row>
    <row r="283" spans="2:59">
      <c r="B283" s="332">
        <v>268</v>
      </c>
      <c r="C283" s="350">
        <v>132683585.15973751</v>
      </c>
      <c r="D283" s="350">
        <v>133771855.98795739</v>
      </c>
      <c r="E283" s="350">
        <v>134814526.6791665</v>
      </c>
      <c r="F283" s="350">
        <v>135859675.04236358</v>
      </c>
      <c r="G283" s="350">
        <v>136910547.62658137</v>
      </c>
      <c r="H283" s="348">
        <v>674040190.49580646</v>
      </c>
      <c r="I283" s="369"/>
      <c r="J283" s="350">
        <v>169916789.54516637</v>
      </c>
      <c r="K283" s="350">
        <v>208948637.66136381</v>
      </c>
      <c r="L283" s="350">
        <v>248508823.34068117</v>
      </c>
      <c r="M283" s="350">
        <v>288661007.18022203</v>
      </c>
      <c r="N283" s="350">
        <v>329415091.93532985</v>
      </c>
      <c r="O283" s="348">
        <v>1245450349.6627634</v>
      </c>
      <c r="P283" s="369"/>
      <c r="Q283" s="350">
        <f t="shared" si="141"/>
        <v>37233204.385428861</v>
      </c>
      <c r="R283" s="350">
        <f t="shared" si="142"/>
        <v>75176781.673406422</v>
      </c>
      <c r="S283" s="350">
        <f t="shared" si="143"/>
        <v>113694296.66151467</v>
      </c>
      <c r="T283" s="350">
        <f t="shared" si="144"/>
        <v>152801332.13785845</v>
      </c>
      <c r="U283" s="350">
        <f t="shared" si="145"/>
        <v>192504544.30874848</v>
      </c>
      <c r="V283" s="350">
        <f t="shared" si="146"/>
        <v>571410159.1669569</v>
      </c>
      <c r="W283" s="365"/>
      <c r="X283" s="377">
        <f t="shared" si="124"/>
        <v>0</v>
      </c>
      <c r="Y283" s="377">
        <f t="shared" si="125"/>
        <v>0</v>
      </c>
      <c r="Z283" s="377">
        <f t="shared" si="126"/>
        <v>0</v>
      </c>
      <c r="AA283" s="377">
        <f t="shared" si="127"/>
        <v>0</v>
      </c>
      <c r="AB283" s="377">
        <f t="shared" si="128"/>
        <v>0</v>
      </c>
      <c r="AC283" s="377">
        <f t="shared" si="129"/>
        <v>0</v>
      </c>
      <c r="AD283" s="376"/>
      <c r="AE283" s="332">
        <v>268</v>
      </c>
      <c r="AF283" s="350">
        <v>130274075.91284201</v>
      </c>
      <c r="AG283" s="350">
        <v>131342583.94507951</v>
      </c>
      <c r="AH283" s="350">
        <v>132366319.93031946</v>
      </c>
      <c r="AI283" s="350">
        <v>133392488.59348451</v>
      </c>
      <c r="AJ283" s="350">
        <v>134424277.52688047</v>
      </c>
      <c r="AK283" s="348">
        <v>661799745.90860593</v>
      </c>
      <c r="AL283" s="369"/>
      <c r="AM283" s="350">
        <v>165383084.5311799</v>
      </c>
      <c r="AN283" s="350">
        <v>202252916.98253781</v>
      </c>
      <c r="AO283" s="350">
        <v>239619521.58952719</v>
      </c>
      <c r="AP283" s="350">
        <v>277544798.09833169</v>
      </c>
      <c r="AQ283" s="350">
        <v>316038213.99352461</v>
      </c>
      <c r="AR283" s="348">
        <v>1200838535.1951013</v>
      </c>
      <c r="AS283" s="369"/>
      <c r="AT283" s="350">
        <f t="shared" si="147"/>
        <v>35109008.618337899</v>
      </c>
      <c r="AU283" s="350">
        <f t="shared" si="130"/>
        <v>70910333.037458301</v>
      </c>
      <c r="AV283" s="350">
        <f t="shared" si="131"/>
        <v>107253201.65920773</v>
      </c>
      <c r="AW283" s="350">
        <f t="shared" si="132"/>
        <v>144152309.50484717</v>
      </c>
      <c r="AX283" s="350">
        <f t="shared" si="133"/>
        <v>181613936.46664414</v>
      </c>
      <c r="AY283" s="350">
        <f t="shared" si="134"/>
        <v>539038789.28649533</v>
      </c>
      <c r="AZ283" s="365"/>
      <c r="BA283" s="377">
        <f t="shared" si="135"/>
        <v>0</v>
      </c>
      <c r="BB283" s="377">
        <f t="shared" si="136"/>
        <v>0</v>
      </c>
      <c r="BC283" s="377">
        <f t="shared" si="137"/>
        <v>0</v>
      </c>
      <c r="BD283" s="377">
        <f t="shared" si="138"/>
        <v>0</v>
      </c>
      <c r="BE283" s="377">
        <f t="shared" si="139"/>
        <v>0</v>
      </c>
      <c r="BF283" s="377">
        <f t="shared" si="140"/>
        <v>0</v>
      </c>
      <c r="BG283" s="328"/>
    </row>
    <row r="284" spans="2:59">
      <c r="B284" s="332">
        <v>269</v>
      </c>
      <c r="C284" s="350">
        <v>160169065.94951555</v>
      </c>
      <c r="D284" s="350">
        <v>161482772.70416975</v>
      </c>
      <c r="E284" s="350">
        <v>162741433.22726947</v>
      </c>
      <c r="F284" s="350">
        <v>164003084.67353088</v>
      </c>
      <c r="G284" s="350">
        <v>165271646.11648166</v>
      </c>
      <c r="H284" s="348">
        <v>813668002.67096734</v>
      </c>
      <c r="I284" s="369"/>
      <c r="J284" s="350">
        <v>202458057.53667268</v>
      </c>
      <c r="K284" s="350">
        <v>246860746.01368859</v>
      </c>
      <c r="L284" s="350">
        <v>291860152.60798639</v>
      </c>
      <c r="M284" s="350">
        <v>337532012.82311833</v>
      </c>
      <c r="N284" s="350">
        <v>383887804.72117102</v>
      </c>
      <c r="O284" s="348">
        <v>1462598773.7026367</v>
      </c>
      <c r="P284" s="369"/>
      <c r="Q284" s="350">
        <f t="shared" si="141"/>
        <v>42288991.58715713</v>
      </c>
      <c r="R284" s="350">
        <f t="shared" si="142"/>
        <v>85377973.309518844</v>
      </c>
      <c r="S284" s="350">
        <f t="shared" si="143"/>
        <v>129118719.38071692</v>
      </c>
      <c r="T284" s="350">
        <f t="shared" si="144"/>
        <v>173528928.14958745</v>
      </c>
      <c r="U284" s="350">
        <f t="shared" si="145"/>
        <v>218616158.60468936</v>
      </c>
      <c r="V284" s="350">
        <f t="shared" si="146"/>
        <v>648930771.03166938</v>
      </c>
      <c r="W284" s="365"/>
      <c r="X284" s="377">
        <f t="shared" si="124"/>
        <v>0</v>
      </c>
      <c r="Y284" s="377">
        <f t="shared" si="125"/>
        <v>0</v>
      </c>
      <c r="Z284" s="377">
        <f t="shared" si="126"/>
        <v>0</v>
      </c>
      <c r="AA284" s="377">
        <f t="shared" si="127"/>
        <v>0</v>
      </c>
      <c r="AB284" s="377">
        <f t="shared" si="128"/>
        <v>0</v>
      </c>
      <c r="AC284" s="377">
        <f t="shared" si="129"/>
        <v>0</v>
      </c>
      <c r="AD284" s="376"/>
      <c r="AE284" s="332">
        <v>269</v>
      </c>
      <c r="AF284" s="350">
        <v>124746330.07748958</v>
      </c>
      <c r="AG284" s="350">
        <v>125769499.53577173</v>
      </c>
      <c r="AH284" s="350">
        <v>126749796.69951738</v>
      </c>
      <c r="AI284" s="350">
        <v>127732423.3186155</v>
      </c>
      <c r="AJ284" s="350">
        <v>128720431.73052564</v>
      </c>
      <c r="AK284" s="348">
        <v>633718481.36191988</v>
      </c>
      <c r="AL284" s="369"/>
      <c r="AM284" s="350">
        <v>155327021.99300343</v>
      </c>
      <c r="AN284" s="350">
        <v>187535082.01059094</v>
      </c>
      <c r="AO284" s="350">
        <v>220171984.57797974</v>
      </c>
      <c r="AP284" s="350">
        <v>253295731.18596458</v>
      </c>
      <c r="AQ284" s="350">
        <v>286914844.27114189</v>
      </c>
      <c r="AR284" s="348">
        <v>1103244664.0386806</v>
      </c>
      <c r="AS284" s="369"/>
      <c r="AT284" s="350">
        <f t="shared" si="147"/>
        <v>30580691.915513843</v>
      </c>
      <c r="AU284" s="350">
        <f t="shared" si="130"/>
        <v>61765582.474819213</v>
      </c>
      <c r="AV284" s="350">
        <f t="shared" si="131"/>
        <v>93422187.878462359</v>
      </c>
      <c r="AW284" s="350">
        <f t="shared" si="132"/>
        <v>125563307.86734909</v>
      </c>
      <c r="AX284" s="350">
        <f t="shared" si="133"/>
        <v>158194412.54061624</v>
      </c>
      <c r="AY284" s="350">
        <f t="shared" si="134"/>
        <v>469526182.67676067</v>
      </c>
      <c r="AZ284" s="365"/>
      <c r="BA284" s="377">
        <f t="shared" si="135"/>
        <v>0</v>
      </c>
      <c r="BB284" s="377">
        <f t="shared" si="136"/>
        <v>0</v>
      </c>
      <c r="BC284" s="377">
        <f t="shared" si="137"/>
        <v>0</v>
      </c>
      <c r="BD284" s="377">
        <f t="shared" si="138"/>
        <v>0</v>
      </c>
      <c r="BE284" s="377">
        <f t="shared" si="139"/>
        <v>0</v>
      </c>
      <c r="BF284" s="377">
        <f t="shared" si="140"/>
        <v>0</v>
      </c>
      <c r="BG284" s="328"/>
    </row>
    <row r="285" spans="2:59">
      <c r="B285" s="332">
        <v>270</v>
      </c>
      <c r="C285" s="350">
        <v>117144194.2295322</v>
      </c>
      <c r="D285" s="350">
        <v>118105010.96599472</v>
      </c>
      <c r="E285" s="350">
        <v>119025568.07802474</v>
      </c>
      <c r="F285" s="350">
        <v>119948312.68663356</v>
      </c>
      <c r="G285" s="350">
        <v>120876111.11752385</v>
      </c>
      <c r="H285" s="348">
        <v>595099197.07770896</v>
      </c>
      <c r="I285" s="369"/>
      <c r="J285" s="350">
        <v>149204117.37344381</v>
      </c>
      <c r="K285" s="350">
        <v>182853653.29953322</v>
      </c>
      <c r="L285" s="350">
        <v>216957389.8049829</v>
      </c>
      <c r="M285" s="350">
        <v>251571192.63605842</v>
      </c>
      <c r="N285" s="350">
        <v>286703662.10750514</v>
      </c>
      <c r="O285" s="348">
        <v>1087290015.2215235</v>
      </c>
      <c r="P285" s="369"/>
      <c r="Q285" s="350">
        <f t="shared" si="141"/>
        <v>32059923.143911615</v>
      </c>
      <c r="R285" s="350">
        <f t="shared" si="142"/>
        <v>64748642.333538502</v>
      </c>
      <c r="S285" s="350">
        <f t="shared" si="143"/>
        <v>97931821.726958156</v>
      </c>
      <c r="T285" s="350">
        <f t="shared" si="144"/>
        <v>131622879.94942486</v>
      </c>
      <c r="U285" s="350">
        <f t="shared" si="145"/>
        <v>165827550.98998129</v>
      </c>
      <c r="V285" s="350">
        <f t="shared" si="146"/>
        <v>492190818.14381456</v>
      </c>
      <c r="W285" s="365"/>
      <c r="X285" s="377">
        <f t="shared" si="124"/>
        <v>0</v>
      </c>
      <c r="Y285" s="377">
        <f t="shared" si="125"/>
        <v>0</v>
      </c>
      <c r="Z285" s="377">
        <f t="shared" si="126"/>
        <v>0</v>
      </c>
      <c r="AA285" s="377">
        <f t="shared" si="127"/>
        <v>0</v>
      </c>
      <c r="AB285" s="377">
        <f t="shared" si="128"/>
        <v>0</v>
      </c>
      <c r="AC285" s="377">
        <f t="shared" si="129"/>
        <v>0</v>
      </c>
      <c r="AD285" s="376"/>
      <c r="AE285" s="332">
        <v>270</v>
      </c>
      <c r="AF285" s="350">
        <v>129518600.29660895</v>
      </c>
      <c r="AG285" s="350">
        <v>130580911.91748488</v>
      </c>
      <c r="AH285" s="350">
        <v>131598711.13004854</v>
      </c>
      <c r="AI285" s="350">
        <v>132618928.91313457</v>
      </c>
      <c r="AJ285" s="350">
        <v>133644734.37380332</v>
      </c>
      <c r="AK285" s="348">
        <v>657961886.63108027</v>
      </c>
      <c r="AL285" s="369"/>
      <c r="AM285" s="350">
        <v>163826880.76965103</v>
      </c>
      <c r="AN285" s="350">
        <v>199890019.29509711</v>
      </c>
      <c r="AO285" s="350">
        <v>236438088.39853659</v>
      </c>
      <c r="AP285" s="350">
        <v>273532379.82213819</v>
      </c>
      <c r="AQ285" s="350">
        <v>311182201.7856251</v>
      </c>
      <c r="AR285" s="348">
        <v>1184869570.071048</v>
      </c>
      <c r="AS285" s="369"/>
      <c r="AT285" s="350">
        <f t="shared" si="147"/>
        <v>34308280.473042071</v>
      </c>
      <c r="AU285" s="350">
        <f t="shared" si="130"/>
        <v>69309107.377612233</v>
      </c>
      <c r="AV285" s="350">
        <f t="shared" si="131"/>
        <v>104839377.26848805</v>
      </c>
      <c r="AW285" s="350">
        <f t="shared" si="132"/>
        <v>140913450.90900362</v>
      </c>
      <c r="AX285" s="350">
        <f t="shared" si="133"/>
        <v>177537467.41182178</v>
      </c>
      <c r="AY285" s="350">
        <f t="shared" si="134"/>
        <v>526907683.43996775</v>
      </c>
      <c r="AZ285" s="365"/>
      <c r="BA285" s="377">
        <f t="shared" si="135"/>
        <v>0</v>
      </c>
      <c r="BB285" s="377">
        <f t="shared" si="136"/>
        <v>0</v>
      </c>
      <c r="BC285" s="377">
        <f t="shared" si="137"/>
        <v>0</v>
      </c>
      <c r="BD285" s="377">
        <f t="shared" si="138"/>
        <v>0</v>
      </c>
      <c r="BE285" s="377">
        <f t="shared" si="139"/>
        <v>0</v>
      </c>
      <c r="BF285" s="377">
        <f t="shared" si="140"/>
        <v>0</v>
      </c>
      <c r="BG285" s="328"/>
    </row>
    <row r="286" spans="2:59">
      <c r="B286" s="332">
        <v>271</v>
      </c>
      <c r="C286" s="350">
        <v>127828298.5669868</v>
      </c>
      <c r="D286" s="350">
        <v>128876746.33227706</v>
      </c>
      <c r="E286" s="350">
        <v>129881262.60505091</v>
      </c>
      <c r="F286" s="350">
        <v>130888165.88443327</v>
      </c>
      <c r="G286" s="350">
        <v>131900583.91858217</v>
      </c>
      <c r="H286" s="348">
        <v>649375057.30733025</v>
      </c>
      <c r="I286" s="369"/>
      <c r="J286" s="350">
        <v>163573606.37291503</v>
      </c>
      <c r="K286" s="350">
        <v>201081013.10544789</v>
      </c>
      <c r="L286" s="350">
        <v>239095984.23764044</v>
      </c>
      <c r="M286" s="350">
        <v>277679800.10385734</v>
      </c>
      <c r="N286" s="350">
        <v>316841983.49978477</v>
      </c>
      <c r="O286" s="348">
        <v>1198272387.3196454</v>
      </c>
      <c r="P286" s="369"/>
      <c r="Q286" s="350">
        <f t="shared" si="141"/>
        <v>35745307.80592823</v>
      </c>
      <c r="R286" s="350">
        <f t="shared" si="142"/>
        <v>72204266.773170829</v>
      </c>
      <c r="S286" s="350">
        <f t="shared" si="143"/>
        <v>109214721.63258953</v>
      </c>
      <c r="T286" s="350">
        <f t="shared" si="144"/>
        <v>146791634.21942407</v>
      </c>
      <c r="U286" s="350">
        <f t="shared" si="145"/>
        <v>184941399.5812026</v>
      </c>
      <c r="V286" s="350">
        <f t="shared" si="146"/>
        <v>548897330.01231515</v>
      </c>
      <c r="W286" s="365"/>
      <c r="X286" s="377">
        <f t="shared" si="124"/>
        <v>0</v>
      </c>
      <c r="Y286" s="377">
        <f t="shared" si="125"/>
        <v>0</v>
      </c>
      <c r="Z286" s="377">
        <f t="shared" si="126"/>
        <v>0</v>
      </c>
      <c r="AA286" s="377">
        <f t="shared" si="127"/>
        <v>0</v>
      </c>
      <c r="AB286" s="377">
        <f t="shared" si="128"/>
        <v>0</v>
      </c>
      <c r="AC286" s="377">
        <f t="shared" si="129"/>
        <v>0</v>
      </c>
      <c r="AD286" s="376"/>
      <c r="AE286" s="332">
        <v>271</v>
      </c>
      <c r="AF286" s="350">
        <v>126848683.21513176</v>
      </c>
      <c r="AG286" s="350">
        <v>127889096.17484295</v>
      </c>
      <c r="AH286" s="350">
        <v>128885914.31212537</v>
      </c>
      <c r="AI286" s="350">
        <v>129885101.16313179</v>
      </c>
      <c r="AJ286" s="350">
        <v>130889760.50644413</v>
      </c>
      <c r="AK286" s="348">
        <v>644398555.37167597</v>
      </c>
      <c r="AL286" s="369"/>
      <c r="AM286" s="350">
        <v>157873791.97344014</v>
      </c>
      <c r="AN286" s="350">
        <v>190545696.07081455</v>
      </c>
      <c r="AO286" s="350">
        <v>223652472.59464297</v>
      </c>
      <c r="AP286" s="350">
        <v>257253070.46889567</v>
      </c>
      <c r="AQ286" s="350">
        <v>291356142.05907732</v>
      </c>
      <c r="AR286" s="348">
        <v>1120681173.1668706</v>
      </c>
      <c r="AS286" s="369"/>
      <c r="AT286" s="350">
        <f t="shared" si="147"/>
        <v>31025108.758308381</v>
      </c>
      <c r="AU286" s="350">
        <f t="shared" si="130"/>
        <v>62656599.895971596</v>
      </c>
      <c r="AV286" s="350">
        <f t="shared" si="131"/>
        <v>94766558.282517597</v>
      </c>
      <c r="AW286" s="350">
        <f t="shared" si="132"/>
        <v>127367969.30576389</v>
      </c>
      <c r="AX286" s="350">
        <f t="shared" si="133"/>
        <v>160466381.5526332</v>
      </c>
      <c r="AY286" s="350">
        <f t="shared" si="134"/>
        <v>476282617.79519463</v>
      </c>
      <c r="AZ286" s="365"/>
      <c r="BA286" s="377">
        <f t="shared" si="135"/>
        <v>0</v>
      </c>
      <c r="BB286" s="377">
        <f t="shared" si="136"/>
        <v>0</v>
      </c>
      <c r="BC286" s="377">
        <f t="shared" si="137"/>
        <v>0</v>
      </c>
      <c r="BD286" s="377">
        <f t="shared" si="138"/>
        <v>0</v>
      </c>
      <c r="BE286" s="377">
        <f t="shared" si="139"/>
        <v>0</v>
      </c>
      <c r="BF286" s="377">
        <f t="shared" si="140"/>
        <v>0</v>
      </c>
      <c r="BG286" s="328"/>
    </row>
    <row r="287" spans="2:59">
      <c r="B287" s="332">
        <v>272</v>
      </c>
      <c r="C287" s="350">
        <v>132018939.07569912</v>
      </c>
      <c r="D287" s="350">
        <v>133101758.47642344</v>
      </c>
      <c r="E287" s="350">
        <v>134139206.16291025</v>
      </c>
      <c r="F287" s="350">
        <v>135179119.11009112</v>
      </c>
      <c r="G287" s="350">
        <v>136224727.60420248</v>
      </c>
      <c r="H287" s="348">
        <v>670663750.42932642</v>
      </c>
      <c r="I287" s="369"/>
      <c r="J287" s="350">
        <v>165627686.79764292</v>
      </c>
      <c r="K287" s="350">
        <v>200969668.27905574</v>
      </c>
      <c r="L287" s="350">
        <v>236784489.22950181</v>
      </c>
      <c r="M287" s="350">
        <v>273134053.02031577</v>
      </c>
      <c r="N287" s="350">
        <v>310027599.60052633</v>
      </c>
      <c r="O287" s="348">
        <v>1186543496.9270425</v>
      </c>
      <c r="P287" s="369"/>
      <c r="Q287" s="350">
        <f t="shared" si="141"/>
        <v>33608747.721943796</v>
      </c>
      <c r="R287" s="350">
        <f t="shared" si="142"/>
        <v>67867909.802632302</v>
      </c>
      <c r="S287" s="350">
        <f t="shared" si="143"/>
        <v>102645283.06659156</v>
      </c>
      <c r="T287" s="350">
        <f t="shared" si="144"/>
        <v>137954933.91022465</v>
      </c>
      <c r="U287" s="350">
        <f t="shared" si="145"/>
        <v>173802871.99632385</v>
      </c>
      <c r="V287" s="350">
        <f t="shared" si="146"/>
        <v>515879746.49771607</v>
      </c>
      <c r="W287" s="365"/>
      <c r="X287" s="377">
        <f t="shared" si="124"/>
        <v>0</v>
      </c>
      <c r="Y287" s="377">
        <f t="shared" si="125"/>
        <v>0</v>
      </c>
      <c r="Z287" s="377">
        <f t="shared" si="126"/>
        <v>0</v>
      </c>
      <c r="AA287" s="377">
        <f t="shared" si="127"/>
        <v>0</v>
      </c>
      <c r="AB287" s="377">
        <f t="shared" si="128"/>
        <v>0</v>
      </c>
      <c r="AC287" s="377">
        <f t="shared" si="129"/>
        <v>0</v>
      </c>
      <c r="AD287" s="376"/>
      <c r="AE287" s="332">
        <v>272</v>
      </c>
      <c r="AF287" s="350">
        <v>115130723.83636457</v>
      </c>
      <c r="AG287" s="350">
        <v>116075026.08771026</v>
      </c>
      <c r="AH287" s="350">
        <v>116979760.69566754</v>
      </c>
      <c r="AI287" s="350">
        <v>117886645.20158747</v>
      </c>
      <c r="AJ287" s="350">
        <v>118798496.66486476</v>
      </c>
      <c r="AK287" s="348">
        <v>584870652.48619461</v>
      </c>
      <c r="AL287" s="369"/>
      <c r="AM287" s="350">
        <v>143646817.19971445</v>
      </c>
      <c r="AN287" s="350">
        <v>173677663.40076867</v>
      </c>
      <c r="AO287" s="350">
        <v>204108919.64855313</v>
      </c>
      <c r="AP287" s="350">
        <v>234994239.4659771</v>
      </c>
      <c r="AQ287" s="350">
        <v>266341541.78310236</v>
      </c>
      <c r="AR287" s="348">
        <v>1022769181.4981158</v>
      </c>
      <c r="AS287" s="369"/>
      <c r="AT287" s="350">
        <f t="shared" si="147"/>
        <v>28516093.363349885</v>
      </c>
      <c r="AU287" s="350">
        <f t="shared" si="130"/>
        <v>57602637.313058406</v>
      </c>
      <c r="AV287" s="350">
        <f t="shared" si="131"/>
        <v>87129158.952885598</v>
      </c>
      <c r="AW287" s="350">
        <f t="shared" si="132"/>
        <v>117107594.26438963</v>
      </c>
      <c r="AX287" s="350">
        <f t="shared" si="133"/>
        <v>147543045.11823761</v>
      </c>
      <c r="AY287" s="350">
        <f t="shared" si="134"/>
        <v>437898529.01192117</v>
      </c>
      <c r="AZ287" s="365"/>
      <c r="BA287" s="377">
        <f t="shared" si="135"/>
        <v>0</v>
      </c>
      <c r="BB287" s="377">
        <f t="shared" si="136"/>
        <v>0</v>
      </c>
      <c r="BC287" s="377">
        <f t="shared" si="137"/>
        <v>0</v>
      </c>
      <c r="BD287" s="377">
        <f t="shared" si="138"/>
        <v>0</v>
      </c>
      <c r="BE287" s="377">
        <f t="shared" si="139"/>
        <v>0</v>
      </c>
      <c r="BF287" s="377">
        <f t="shared" si="140"/>
        <v>0</v>
      </c>
      <c r="BG287" s="328"/>
    </row>
    <row r="288" spans="2:59">
      <c r="B288" s="332">
        <v>273</v>
      </c>
      <c r="C288" s="350">
        <v>152824814.48596931</v>
      </c>
      <c r="D288" s="350">
        <v>154078283.68664676</v>
      </c>
      <c r="E288" s="350">
        <v>155279230.69725209</v>
      </c>
      <c r="F288" s="350">
        <v>156483031.4878594</v>
      </c>
      <c r="G288" s="350">
        <v>157693425.43024597</v>
      </c>
      <c r="H288" s="348">
        <v>776358785.78797352</v>
      </c>
      <c r="I288" s="369"/>
      <c r="J288" s="350">
        <v>190951033.55437219</v>
      </c>
      <c r="K288" s="350">
        <v>231078135.91288263</v>
      </c>
      <c r="L288" s="350">
        <v>271740731.13944167</v>
      </c>
      <c r="M288" s="350">
        <v>313010152.846955</v>
      </c>
      <c r="N288" s="350">
        <v>354896959.31172973</v>
      </c>
      <c r="O288" s="348">
        <v>1361677012.7653811</v>
      </c>
      <c r="P288" s="369"/>
      <c r="Q288" s="350">
        <f t="shared" si="141"/>
        <v>38126219.068402886</v>
      </c>
      <c r="R288" s="350">
        <f t="shared" si="142"/>
        <v>76999852.226235867</v>
      </c>
      <c r="S288" s="350">
        <f t="shared" si="143"/>
        <v>116461500.44218957</v>
      </c>
      <c r="T288" s="350">
        <f t="shared" si="144"/>
        <v>156527121.3590956</v>
      </c>
      <c r="U288" s="350">
        <f t="shared" si="145"/>
        <v>197203533.88148376</v>
      </c>
      <c r="V288" s="350">
        <f t="shared" si="146"/>
        <v>585318226.97740757</v>
      </c>
      <c r="W288" s="365"/>
      <c r="X288" s="377">
        <f t="shared" si="124"/>
        <v>0</v>
      </c>
      <c r="Y288" s="377">
        <f t="shared" si="125"/>
        <v>0</v>
      </c>
      <c r="Z288" s="377">
        <f t="shared" si="126"/>
        <v>0</v>
      </c>
      <c r="AA288" s="377">
        <f t="shared" si="127"/>
        <v>0</v>
      </c>
      <c r="AB288" s="377">
        <f t="shared" si="128"/>
        <v>0</v>
      </c>
      <c r="AC288" s="377">
        <f t="shared" si="129"/>
        <v>0</v>
      </c>
      <c r="AD288" s="376"/>
      <c r="AE288" s="332">
        <v>273</v>
      </c>
      <c r="AF288" s="350">
        <v>130391372.14145842</v>
      </c>
      <c r="AG288" s="350">
        <v>131460842.23741853</v>
      </c>
      <c r="AH288" s="350">
        <v>132485499.97450605</v>
      </c>
      <c r="AI288" s="350">
        <v>133512592.57985431</v>
      </c>
      <c r="AJ288" s="350">
        <v>134545310.51581484</v>
      </c>
      <c r="AK288" s="348">
        <v>662395617.4490521</v>
      </c>
      <c r="AL288" s="369"/>
      <c r="AM288" s="350">
        <v>157656670.54571438</v>
      </c>
      <c r="AN288" s="350">
        <v>186540966.53180689</v>
      </c>
      <c r="AO288" s="350">
        <v>215801193.09694427</v>
      </c>
      <c r="AP288" s="350">
        <v>245496010.13228565</v>
      </c>
      <c r="AQ288" s="350">
        <v>275633486.81424487</v>
      </c>
      <c r="AR288" s="348">
        <v>1081128327.120996</v>
      </c>
      <c r="AS288" s="369"/>
      <c r="AT288" s="350">
        <f t="shared" si="147"/>
        <v>27265298.404255956</v>
      </c>
      <c r="AU288" s="350">
        <f t="shared" si="130"/>
        <v>55080124.294388354</v>
      </c>
      <c r="AV288" s="350">
        <f t="shared" si="131"/>
        <v>83315693.122438222</v>
      </c>
      <c r="AW288" s="350">
        <f t="shared" si="132"/>
        <v>111983417.55243134</v>
      </c>
      <c r="AX288" s="350">
        <f t="shared" si="133"/>
        <v>141088176.29843003</v>
      </c>
      <c r="AY288" s="350">
        <f t="shared" si="134"/>
        <v>418732709.6719439</v>
      </c>
      <c r="AZ288" s="365"/>
      <c r="BA288" s="377">
        <f t="shared" si="135"/>
        <v>0</v>
      </c>
      <c r="BB288" s="377">
        <f t="shared" si="136"/>
        <v>0</v>
      </c>
      <c r="BC288" s="377">
        <f t="shared" si="137"/>
        <v>0</v>
      </c>
      <c r="BD288" s="377">
        <f t="shared" si="138"/>
        <v>0</v>
      </c>
      <c r="BE288" s="377">
        <f t="shared" si="139"/>
        <v>0</v>
      </c>
      <c r="BF288" s="377">
        <f t="shared" si="140"/>
        <v>0</v>
      </c>
      <c r="BG288" s="328"/>
    </row>
    <row r="289" spans="2:59">
      <c r="B289" s="332">
        <v>274</v>
      </c>
      <c r="C289" s="350">
        <v>110085001.54153255</v>
      </c>
      <c r="D289" s="350">
        <v>110987918.77623011</v>
      </c>
      <c r="E289" s="350">
        <v>111853002.46017547</v>
      </c>
      <c r="F289" s="350">
        <v>112720141.82059571</v>
      </c>
      <c r="G289" s="350">
        <v>113592030.4563625</v>
      </c>
      <c r="H289" s="348">
        <v>559238095.05489635</v>
      </c>
      <c r="I289" s="369"/>
      <c r="J289" s="350">
        <v>136419039.77168465</v>
      </c>
      <c r="K289" s="350">
        <v>164176716.54404566</v>
      </c>
      <c r="L289" s="350">
        <v>192302775.55255806</v>
      </c>
      <c r="M289" s="350">
        <v>220848128.3254213</v>
      </c>
      <c r="N289" s="350">
        <v>249820179.00856593</v>
      </c>
      <c r="O289" s="348">
        <v>963566839.20227563</v>
      </c>
      <c r="P289" s="369"/>
      <c r="Q289" s="350">
        <f t="shared" si="141"/>
        <v>26334038.2301521</v>
      </c>
      <c r="R289" s="350">
        <f t="shared" si="142"/>
        <v>53188797.767815545</v>
      </c>
      <c r="S289" s="350">
        <f t="shared" si="143"/>
        <v>80449773.092382595</v>
      </c>
      <c r="T289" s="350">
        <f t="shared" si="144"/>
        <v>108127986.50482559</v>
      </c>
      <c r="U289" s="350">
        <f t="shared" si="145"/>
        <v>136228148.55220342</v>
      </c>
      <c r="V289" s="350">
        <f t="shared" si="146"/>
        <v>404328744.14737928</v>
      </c>
      <c r="W289" s="365"/>
      <c r="X289" s="377">
        <f t="shared" si="124"/>
        <v>0</v>
      </c>
      <c r="Y289" s="377">
        <f t="shared" si="125"/>
        <v>0</v>
      </c>
      <c r="Z289" s="377">
        <f t="shared" si="126"/>
        <v>0</v>
      </c>
      <c r="AA289" s="377">
        <f t="shared" si="127"/>
        <v>0</v>
      </c>
      <c r="AB289" s="377">
        <f t="shared" si="128"/>
        <v>0</v>
      </c>
      <c r="AC289" s="377">
        <f t="shared" si="129"/>
        <v>0</v>
      </c>
      <c r="AD289" s="376"/>
      <c r="AE289" s="332">
        <v>274</v>
      </c>
      <c r="AF289" s="350">
        <v>123320795.48174581</v>
      </c>
      <c r="AG289" s="350">
        <v>124332272.7045996</v>
      </c>
      <c r="AH289" s="350">
        <v>125301367.55465662</v>
      </c>
      <c r="AI289" s="350">
        <v>126272765.24029151</v>
      </c>
      <c r="AJ289" s="350">
        <v>127249483.21847756</v>
      </c>
      <c r="AK289" s="348">
        <v>626476684.19977117</v>
      </c>
      <c r="AL289" s="369"/>
      <c r="AM289" s="350">
        <v>153890191.82514012</v>
      </c>
      <c r="AN289" s="350">
        <v>186080007.0207966</v>
      </c>
      <c r="AO289" s="350">
        <v>218699057.8673569</v>
      </c>
      <c r="AP289" s="350">
        <v>251804824.86221263</v>
      </c>
      <c r="AQ289" s="350">
        <v>285405794.2990312</v>
      </c>
      <c r="AR289" s="348">
        <v>1095879875.8745375</v>
      </c>
      <c r="AS289" s="369"/>
      <c r="AT289" s="350">
        <f t="shared" si="147"/>
        <v>30569396.343394309</v>
      </c>
      <c r="AU289" s="350">
        <f t="shared" si="130"/>
        <v>61747734.316196993</v>
      </c>
      <c r="AV289" s="350">
        <f t="shared" si="131"/>
        <v>93397690.312700272</v>
      </c>
      <c r="AW289" s="350">
        <f t="shared" si="132"/>
        <v>125532059.62192112</v>
      </c>
      <c r="AX289" s="350">
        <f t="shared" si="133"/>
        <v>158156311.08055365</v>
      </c>
      <c r="AY289" s="350">
        <f t="shared" si="134"/>
        <v>469403191.6747663</v>
      </c>
      <c r="AZ289" s="365"/>
      <c r="BA289" s="377">
        <f t="shared" si="135"/>
        <v>0</v>
      </c>
      <c r="BB289" s="377">
        <f t="shared" si="136"/>
        <v>0</v>
      </c>
      <c r="BC289" s="377">
        <f t="shared" si="137"/>
        <v>0</v>
      </c>
      <c r="BD289" s="377">
        <f t="shared" si="138"/>
        <v>0</v>
      </c>
      <c r="BE289" s="377">
        <f t="shared" si="139"/>
        <v>0</v>
      </c>
      <c r="BF289" s="377">
        <f t="shared" si="140"/>
        <v>0</v>
      </c>
      <c r="BG289" s="328"/>
    </row>
    <row r="290" spans="2:59">
      <c r="B290" s="332">
        <v>275</v>
      </c>
      <c r="C290" s="350">
        <v>123220558.20286843</v>
      </c>
      <c r="D290" s="350">
        <v>124231213.27951343</v>
      </c>
      <c r="E290" s="350">
        <v>125199520.43248856</v>
      </c>
      <c r="F290" s="350">
        <v>126170128.54925683</v>
      </c>
      <c r="G290" s="350">
        <v>127146052.63415033</v>
      </c>
      <c r="H290" s="348">
        <v>625967473.09827757</v>
      </c>
      <c r="I290" s="369"/>
      <c r="J290" s="350">
        <v>155964553.53355423</v>
      </c>
      <c r="K290" s="350">
        <v>190374230.42480013</v>
      </c>
      <c r="L290" s="350">
        <v>225246769.79066646</v>
      </c>
      <c r="M290" s="350">
        <v>260640526.17308605</v>
      </c>
      <c r="N290" s="350">
        <v>296564372.86917478</v>
      </c>
      <c r="O290" s="348">
        <v>1128790452.7912817</v>
      </c>
      <c r="P290" s="369"/>
      <c r="Q290" s="350">
        <f t="shared" si="141"/>
        <v>32743995.330685794</v>
      </c>
      <c r="R290" s="350">
        <f t="shared" si="142"/>
        <v>66143017.145286694</v>
      </c>
      <c r="S290" s="350">
        <f t="shared" si="143"/>
        <v>100047249.3581779</v>
      </c>
      <c r="T290" s="350">
        <f t="shared" si="144"/>
        <v>134470397.62382922</v>
      </c>
      <c r="U290" s="350">
        <f t="shared" si="145"/>
        <v>169418320.23502445</v>
      </c>
      <c r="V290" s="350">
        <f t="shared" si="146"/>
        <v>502822979.69300413</v>
      </c>
      <c r="W290" s="365"/>
      <c r="X290" s="377">
        <f t="shared" si="124"/>
        <v>0</v>
      </c>
      <c r="Y290" s="377">
        <f t="shared" si="125"/>
        <v>0</v>
      </c>
      <c r="Z290" s="377">
        <f t="shared" si="126"/>
        <v>0</v>
      </c>
      <c r="AA290" s="377">
        <f t="shared" si="127"/>
        <v>0</v>
      </c>
      <c r="AB290" s="377">
        <f t="shared" si="128"/>
        <v>0</v>
      </c>
      <c r="AC290" s="377">
        <f t="shared" si="129"/>
        <v>0</v>
      </c>
      <c r="AD290" s="376"/>
      <c r="AE290" s="332">
        <v>275</v>
      </c>
      <c r="AF290" s="350">
        <v>132197136.47635391</v>
      </c>
      <c r="AG290" s="350">
        <v>133281417.45224267</v>
      </c>
      <c r="AH290" s="350">
        <v>134320265.47176009</v>
      </c>
      <c r="AI290" s="350">
        <v>135361582.07954744</v>
      </c>
      <c r="AJ290" s="350">
        <v>136408601.9220385</v>
      </c>
      <c r="AK290" s="348">
        <v>671569003.40194249</v>
      </c>
      <c r="AL290" s="369"/>
      <c r="AM290" s="350">
        <v>159660541.84195185</v>
      </c>
      <c r="AN290" s="350">
        <v>188782303.09971941</v>
      </c>
      <c r="AO290" s="350">
        <v>218282751.8372294</v>
      </c>
      <c r="AP290" s="350">
        <v>248221286.32855177</v>
      </c>
      <c r="AQ290" s="350">
        <v>278606058.51993561</v>
      </c>
      <c r="AR290" s="348">
        <v>1093552941.627388</v>
      </c>
      <c r="AS290" s="369"/>
      <c r="AT290" s="350">
        <f t="shared" si="147"/>
        <v>27463405.365597934</v>
      </c>
      <c r="AU290" s="350">
        <f t="shared" si="130"/>
        <v>55500885.647476733</v>
      </c>
      <c r="AV290" s="350">
        <f t="shared" si="131"/>
        <v>83962486.365469307</v>
      </c>
      <c r="AW290" s="350">
        <f t="shared" si="132"/>
        <v>112859704.24900433</v>
      </c>
      <c r="AX290" s="350">
        <f t="shared" si="133"/>
        <v>142197456.59789711</v>
      </c>
      <c r="AY290" s="350">
        <f t="shared" si="134"/>
        <v>421983938.22544551</v>
      </c>
      <c r="AZ290" s="365"/>
      <c r="BA290" s="377">
        <f t="shared" si="135"/>
        <v>0</v>
      </c>
      <c r="BB290" s="377">
        <f t="shared" si="136"/>
        <v>0</v>
      </c>
      <c r="BC290" s="377">
        <f t="shared" si="137"/>
        <v>0</v>
      </c>
      <c r="BD290" s="377">
        <f t="shared" si="138"/>
        <v>0</v>
      </c>
      <c r="BE290" s="377">
        <f t="shared" si="139"/>
        <v>0</v>
      </c>
      <c r="BF290" s="377">
        <f t="shared" si="140"/>
        <v>0</v>
      </c>
      <c r="BG290" s="328"/>
    </row>
    <row r="291" spans="2:59">
      <c r="B291" s="332">
        <v>276</v>
      </c>
      <c r="C291" s="350">
        <v>123333219.19527602</v>
      </c>
      <c r="D291" s="350">
        <v>124344798.31743404</v>
      </c>
      <c r="E291" s="350">
        <v>125313990.79706566</v>
      </c>
      <c r="F291" s="350">
        <v>126285486.3442698</v>
      </c>
      <c r="G291" s="350">
        <v>127262302.72000766</v>
      </c>
      <c r="H291" s="348">
        <v>626539797.37405324</v>
      </c>
      <c r="I291" s="369"/>
      <c r="J291" s="350">
        <v>153837351.35516933</v>
      </c>
      <c r="K291" s="350">
        <v>185944200.77962098</v>
      </c>
      <c r="L291" s="350">
        <v>218479017.43511897</v>
      </c>
      <c r="M291" s="350">
        <v>251499258.08644512</v>
      </c>
      <c r="N291" s="350">
        <v>285013395.13643569</v>
      </c>
      <c r="O291" s="348">
        <v>1094773222.7927902</v>
      </c>
      <c r="P291" s="369"/>
      <c r="Q291" s="350">
        <f t="shared" si="141"/>
        <v>30504132.159893304</v>
      </c>
      <c r="R291" s="350">
        <f t="shared" si="142"/>
        <v>61599402.462186933</v>
      </c>
      <c r="S291" s="350">
        <f t="shared" si="143"/>
        <v>93165026.638053313</v>
      </c>
      <c r="T291" s="350">
        <f t="shared" si="144"/>
        <v>125213771.74217533</v>
      </c>
      <c r="U291" s="350">
        <f t="shared" si="145"/>
        <v>157751092.41642803</v>
      </c>
      <c r="V291" s="350">
        <f t="shared" si="146"/>
        <v>468233425.41873693</v>
      </c>
      <c r="W291" s="365"/>
      <c r="X291" s="377">
        <f t="shared" si="124"/>
        <v>0</v>
      </c>
      <c r="Y291" s="377">
        <f t="shared" si="125"/>
        <v>0</v>
      </c>
      <c r="Z291" s="377">
        <f t="shared" si="126"/>
        <v>0</v>
      </c>
      <c r="AA291" s="377">
        <f t="shared" si="127"/>
        <v>0</v>
      </c>
      <c r="AB291" s="377">
        <f t="shared" si="128"/>
        <v>0</v>
      </c>
      <c r="AC291" s="377">
        <f t="shared" si="129"/>
        <v>0</v>
      </c>
      <c r="AD291" s="376"/>
      <c r="AE291" s="332">
        <v>276</v>
      </c>
      <c r="AF291" s="350">
        <v>144848115.05033323</v>
      </c>
      <c r="AG291" s="350">
        <v>146036159.35846782</v>
      </c>
      <c r="AH291" s="350">
        <v>147174422.87507421</v>
      </c>
      <c r="AI291" s="350">
        <v>148315391.21848139</v>
      </c>
      <c r="AJ291" s="350">
        <v>149462608.58375505</v>
      </c>
      <c r="AK291" s="348">
        <v>735836697.08611166</v>
      </c>
      <c r="AL291" s="369"/>
      <c r="AM291" s="350">
        <v>184420596.5005852</v>
      </c>
      <c r="AN291" s="350">
        <v>225967648.95039946</v>
      </c>
      <c r="AO291" s="350">
        <v>268075408.90220708</v>
      </c>
      <c r="AP291" s="350">
        <v>310812925.54492831</v>
      </c>
      <c r="AQ291" s="350">
        <v>354190822.28584456</v>
      </c>
      <c r="AR291" s="348">
        <v>1343467402.1839647</v>
      </c>
      <c r="AS291" s="369"/>
      <c r="AT291" s="350">
        <f t="shared" si="147"/>
        <v>39572481.450251967</v>
      </c>
      <c r="AU291" s="350">
        <f t="shared" si="130"/>
        <v>79931489.591931641</v>
      </c>
      <c r="AV291" s="350">
        <f t="shared" si="131"/>
        <v>120900986.02713287</v>
      </c>
      <c r="AW291" s="350">
        <f t="shared" si="132"/>
        <v>162497534.32644692</v>
      </c>
      <c r="AX291" s="350">
        <f t="shared" si="133"/>
        <v>204728213.70208952</v>
      </c>
      <c r="AY291" s="350">
        <f t="shared" si="134"/>
        <v>607630705.09785306</v>
      </c>
      <c r="AZ291" s="365"/>
      <c r="BA291" s="377">
        <f t="shared" si="135"/>
        <v>0</v>
      </c>
      <c r="BB291" s="377">
        <f t="shared" si="136"/>
        <v>0</v>
      </c>
      <c r="BC291" s="377">
        <f t="shared" si="137"/>
        <v>0</v>
      </c>
      <c r="BD291" s="377">
        <f t="shared" si="138"/>
        <v>0</v>
      </c>
      <c r="BE291" s="377">
        <f t="shared" si="139"/>
        <v>0</v>
      </c>
      <c r="BF291" s="377">
        <f t="shared" si="140"/>
        <v>0</v>
      </c>
      <c r="BG291" s="328"/>
    </row>
    <row r="292" spans="2:59">
      <c r="B292" s="332">
        <v>277</v>
      </c>
      <c r="C292" s="350">
        <v>129646620.3611318</v>
      </c>
      <c r="D292" s="350">
        <v>130709982.00263748</v>
      </c>
      <c r="E292" s="350">
        <v>131728787.23843303</v>
      </c>
      <c r="F292" s="350">
        <v>132750013.43533856</v>
      </c>
      <c r="G292" s="350">
        <v>133776832.8328547</v>
      </c>
      <c r="H292" s="348">
        <v>658612235.87039554</v>
      </c>
      <c r="I292" s="369"/>
      <c r="J292" s="350">
        <v>169897158.07452646</v>
      </c>
      <c r="K292" s="350">
        <v>211990224.48680913</v>
      </c>
      <c r="L292" s="350">
        <v>254659358.40856382</v>
      </c>
      <c r="M292" s="350">
        <v>297968383.42859113</v>
      </c>
      <c r="N292" s="350">
        <v>341927669.1171394</v>
      </c>
      <c r="O292" s="348">
        <v>1276442793.51563</v>
      </c>
      <c r="P292" s="369"/>
      <c r="Q292" s="350">
        <f t="shared" si="141"/>
        <v>40250537.713394657</v>
      </c>
      <c r="R292" s="350">
        <f t="shared" si="142"/>
        <v>81280242.484171659</v>
      </c>
      <c r="S292" s="350">
        <f t="shared" si="143"/>
        <v>122930571.17013079</v>
      </c>
      <c r="T292" s="350">
        <f t="shared" si="144"/>
        <v>165218369.99325258</v>
      </c>
      <c r="U292" s="350">
        <f t="shared" si="145"/>
        <v>208150836.28428471</v>
      </c>
      <c r="V292" s="350">
        <f t="shared" si="146"/>
        <v>617830557.64523447</v>
      </c>
      <c r="W292" s="365"/>
      <c r="X292" s="377">
        <f t="shared" si="124"/>
        <v>0</v>
      </c>
      <c r="Y292" s="377">
        <f t="shared" si="125"/>
        <v>0</v>
      </c>
      <c r="Z292" s="377">
        <f t="shared" si="126"/>
        <v>0</v>
      </c>
      <c r="AA292" s="377">
        <f t="shared" si="127"/>
        <v>0</v>
      </c>
      <c r="AB292" s="377">
        <f t="shared" si="128"/>
        <v>0</v>
      </c>
      <c r="AC292" s="377">
        <f t="shared" si="129"/>
        <v>0</v>
      </c>
      <c r="AD292" s="376"/>
      <c r="AE292" s="332">
        <v>277</v>
      </c>
      <c r="AF292" s="350">
        <v>146768471.62597468</v>
      </c>
      <c r="AG292" s="350">
        <v>147972266.69965068</v>
      </c>
      <c r="AH292" s="350">
        <v>149125621.00171995</v>
      </c>
      <c r="AI292" s="350">
        <v>150281715.99044183</v>
      </c>
      <c r="AJ292" s="350">
        <v>151444142.84884787</v>
      </c>
      <c r="AK292" s="348">
        <v>745592218.16663504</v>
      </c>
      <c r="AL292" s="369"/>
      <c r="AM292" s="350">
        <v>179162633.65891069</v>
      </c>
      <c r="AN292" s="350">
        <v>213442469.59381825</v>
      </c>
      <c r="AO292" s="350">
        <v>248172205.2317912</v>
      </c>
      <c r="AP292" s="350">
        <v>283418583.13673443</v>
      </c>
      <c r="AQ292" s="350">
        <v>319190995.36211973</v>
      </c>
      <c r="AR292" s="348">
        <v>1243386886.9833744</v>
      </c>
      <c r="AS292" s="369"/>
      <c r="AT292" s="350">
        <f t="shared" si="147"/>
        <v>32394162.032936007</v>
      </c>
      <c r="AU292" s="350">
        <f t="shared" si="130"/>
        <v>65470202.894167572</v>
      </c>
      <c r="AV292" s="350">
        <f t="shared" si="131"/>
        <v>99046584.230071247</v>
      </c>
      <c r="AW292" s="350">
        <f t="shared" si="132"/>
        <v>133136867.1462926</v>
      </c>
      <c r="AX292" s="350">
        <f t="shared" si="133"/>
        <v>167746852.51327187</v>
      </c>
      <c r="AY292" s="350">
        <f t="shared" si="134"/>
        <v>497794668.81673932</v>
      </c>
      <c r="AZ292" s="365"/>
      <c r="BA292" s="377">
        <f t="shared" si="135"/>
        <v>0</v>
      </c>
      <c r="BB292" s="377">
        <f t="shared" si="136"/>
        <v>0</v>
      </c>
      <c r="BC292" s="377">
        <f t="shared" si="137"/>
        <v>0</v>
      </c>
      <c r="BD292" s="377">
        <f t="shared" si="138"/>
        <v>0</v>
      </c>
      <c r="BE292" s="377">
        <f t="shared" si="139"/>
        <v>0</v>
      </c>
      <c r="BF292" s="377">
        <f t="shared" si="140"/>
        <v>0</v>
      </c>
      <c r="BG292" s="328"/>
    </row>
    <row r="293" spans="2:59">
      <c r="B293" s="332">
        <v>278</v>
      </c>
      <c r="C293" s="350">
        <v>120486619.05161619</v>
      </c>
      <c r="D293" s="350">
        <v>121474850.35804993</v>
      </c>
      <c r="E293" s="350">
        <v>122421673.3295332</v>
      </c>
      <c r="F293" s="350">
        <v>123370746.21249259</v>
      </c>
      <c r="G293" s="350">
        <v>124325017.1162672</v>
      </c>
      <c r="H293" s="348">
        <v>612078906.06795907</v>
      </c>
      <c r="I293" s="369"/>
      <c r="J293" s="350">
        <v>155170420.80291206</v>
      </c>
      <c r="K293" s="350">
        <v>191511755.73498195</v>
      </c>
      <c r="L293" s="350">
        <v>228346439.81481487</v>
      </c>
      <c r="M293" s="350">
        <v>265732647.52512679</v>
      </c>
      <c r="N293" s="350">
        <v>303679528.57841152</v>
      </c>
      <c r="O293" s="348">
        <v>1144440792.4562471</v>
      </c>
      <c r="P293" s="369"/>
      <c r="Q293" s="350">
        <f t="shared" si="141"/>
        <v>34683801.751295865</v>
      </c>
      <c r="R293" s="350">
        <f t="shared" si="142"/>
        <v>70036905.376932025</v>
      </c>
      <c r="S293" s="350">
        <f t="shared" si="143"/>
        <v>105924766.48528166</v>
      </c>
      <c r="T293" s="350">
        <f t="shared" si="144"/>
        <v>142361901.3126342</v>
      </c>
      <c r="U293" s="350">
        <f t="shared" si="145"/>
        <v>179354511.46214432</v>
      </c>
      <c r="V293" s="350">
        <f t="shared" si="146"/>
        <v>532361886.38828802</v>
      </c>
      <c r="W293" s="365"/>
      <c r="X293" s="377">
        <f t="shared" si="124"/>
        <v>0</v>
      </c>
      <c r="Y293" s="377">
        <f t="shared" si="125"/>
        <v>0</v>
      </c>
      <c r="Z293" s="377">
        <f t="shared" si="126"/>
        <v>0</v>
      </c>
      <c r="AA293" s="377">
        <f t="shared" si="127"/>
        <v>0</v>
      </c>
      <c r="AB293" s="377">
        <f t="shared" si="128"/>
        <v>0</v>
      </c>
      <c r="AC293" s="377">
        <f t="shared" si="129"/>
        <v>0</v>
      </c>
      <c r="AD293" s="376"/>
      <c r="AE293" s="332">
        <v>278</v>
      </c>
      <c r="AF293" s="350">
        <v>113970465.92012787</v>
      </c>
      <c r="AG293" s="350">
        <v>114905251.73549592</v>
      </c>
      <c r="AH293" s="350">
        <v>115800868.66004086</v>
      </c>
      <c r="AI293" s="350">
        <v>116698613.81642798</v>
      </c>
      <c r="AJ293" s="350">
        <v>117601275.8744497</v>
      </c>
      <c r="AK293" s="348">
        <v>578976476.00654233</v>
      </c>
      <c r="AL293" s="369"/>
      <c r="AM293" s="350">
        <v>137795125.3588534</v>
      </c>
      <c r="AN293" s="350">
        <v>163038052.51611498</v>
      </c>
      <c r="AO293" s="350">
        <v>188609511.133057</v>
      </c>
      <c r="AP293" s="350">
        <v>214560771.00269768</v>
      </c>
      <c r="AQ293" s="350">
        <v>240898884.36212978</v>
      </c>
      <c r="AR293" s="348">
        <v>944902344.37285292</v>
      </c>
      <c r="AS293" s="369"/>
      <c r="AT293" s="350">
        <f t="shared" si="147"/>
        <v>23824659.438725531</v>
      </c>
      <c r="AU293" s="350">
        <f t="shared" si="130"/>
        <v>48132800.780619055</v>
      </c>
      <c r="AV293" s="350">
        <f t="shared" si="131"/>
        <v>72808642.473016143</v>
      </c>
      <c r="AW293" s="350">
        <f t="shared" si="132"/>
        <v>97862157.186269701</v>
      </c>
      <c r="AX293" s="350">
        <f t="shared" si="133"/>
        <v>123297608.48768008</v>
      </c>
      <c r="AY293" s="350">
        <f t="shared" si="134"/>
        <v>365925868.3663106</v>
      </c>
      <c r="AZ293" s="365"/>
      <c r="BA293" s="377">
        <f t="shared" si="135"/>
        <v>0</v>
      </c>
      <c r="BB293" s="377">
        <f t="shared" si="136"/>
        <v>0</v>
      </c>
      <c r="BC293" s="377">
        <f t="shared" si="137"/>
        <v>0</v>
      </c>
      <c r="BD293" s="377">
        <f t="shared" si="138"/>
        <v>0</v>
      </c>
      <c r="BE293" s="377">
        <f t="shared" si="139"/>
        <v>0</v>
      </c>
      <c r="BF293" s="377">
        <f t="shared" si="140"/>
        <v>0</v>
      </c>
      <c r="BG293" s="328"/>
    </row>
    <row r="294" spans="2:59">
      <c r="B294" s="332">
        <v>279</v>
      </c>
      <c r="C294" s="350">
        <v>130777405.21235803</v>
      </c>
      <c r="D294" s="350">
        <v>131850041.55174819</v>
      </c>
      <c r="E294" s="350">
        <v>132877732.86204205</v>
      </c>
      <c r="F294" s="350">
        <v>133907866.24919996</v>
      </c>
      <c r="G294" s="350">
        <v>134943641.62116745</v>
      </c>
      <c r="H294" s="348">
        <v>664356687.49651563</v>
      </c>
      <c r="I294" s="369"/>
      <c r="J294" s="350">
        <v>160847177.15619147</v>
      </c>
      <c r="K294" s="350">
        <v>192588079.0386267</v>
      </c>
      <c r="L294" s="350">
        <v>224747938.09405196</v>
      </c>
      <c r="M294" s="350">
        <v>257386727.56446686</v>
      </c>
      <c r="N294" s="350">
        <v>290513026.73653054</v>
      </c>
      <c r="O294" s="348">
        <v>1126082948.5898676</v>
      </c>
      <c r="P294" s="369"/>
      <c r="Q294" s="350">
        <f t="shared" si="141"/>
        <v>30069771.943833441</v>
      </c>
      <c r="R294" s="350">
        <f t="shared" si="142"/>
        <v>60738037.486878514</v>
      </c>
      <c r="S294" s="350">
        <f t="shared" si="143"/>
        <v>91870205.232009903</v>
      </c>
      <c r="T294" s="350">
        <f t="shared" si="144"/>
        <v>123478861.31526691</v>
      </c>
      <c r="U294" s="350">
        <f t="shared" si="145"/>
        <v>155569385.11536309</v>
      </c>
      <c r="V294" s="350">
        <f t="shared" si="146"/>
        <v>461726261.09335196</v>
      </c>
      <c r="W294" s="365"/>
      <c r="X294" s="377">
        <f t="shared" si="124"/>
        <v>0</v>
      </c>
      <c r="Y294" s="377">
        <f t="shared" si="125"/>
        <v>0</v>
      </c>
      <c r="Z294" s="377">
        <f t="shared" si="126"/>
        <v>0</v>
      </c>
      <c r="AA294" s="377">
        <f t="shared" si="127"/>
        <v>0</v>
      </c>
      <c r="AB294" s="377">
        <f t="shared" si="128"/>
        <v>0</v>
      </c>
      <c r="AC294" s="377">
        <f t="shared" si="129"/>
        <v>0</v>
      </c>
      <c r="AD294" s="376"/>
      <c r="AE294" s="332">
        <v>279</v>
      </c>
      <c r="AF294" s="350">
        <v>125173182.7754931</v>
      </c>
      <c r="AG294" s="350">
        <v>126199853.27980609</v>
      </c>
      <c r="AH294" s="350">
        <v>127183504.79064099</v>
      </c>
      <c r="AI294" s="350">
        <v>128169493.72767846</v>
      </c>
      <c r="AJ294" s="350">
        <v>129160882.87276137</v>
      </c>
      <c r="AK294" s="348">
        <v>635886917.44638002</v>
      </c>
      <c r="AL294" s="369"/>
      <c r="AM294" s="350">
        <v>160595678.996838</v>
      </c>
      <c r="AN294" s="350">
        <v>197744766.42791653</v>
      </c>
      <c r="AO294" s="350">
        <v>235397236.6914494</v>
      </c>
      <c r="AP294" s="350">
        <v>273613272.51899761</v>
      </c>
      <c r="AQ294" s="350">
        <v>312402272.87494296</v>
      </c>
      <c r="AR294" s="348">
        <v>1179753227.5101445</v>
      </c>
      <c r="AS294" s="369"/>
      <c r="AT294" s="350">
        <f t="shared" si="147"/>
        <v>35422496.221344903</v>
      </c>
      <c r="AU294" s="350">
        <f t="shared" si="130"/>
        <v>71544913.148110434</v>
      </c>
      <c r="AV294" s="350">
        <f t="shared" si="131"/>
        <v>108213731.90080841</v>
      </c>
      <c r="AW294" s="350">
        <f t="shared" si="132"/>
        <v>145443778.79131913</v>
      </c>
      <c r="AX294" s="350">
        <f t="shared" si="133"/>
        <v>183241390.00218159</v>
      </c>
      <c r="AY294" s="350">
        <f t="shared" si="134"/>
        <v>543866310.06376445</v>
      </c>
      <c r="AZ294" s="365"/>
      <c r="BA294" s="377">
        <f t="shared" si="135"/>
        <v>0</v>
      </c>
      <c r="BB294" s="377">
        <f t="shared" si="136"/>
        <v>0</v>
      </c>
      <c r="BC294" s="377">
        <f t="shared" si="137"/>
        <v>0</v>
      </c>
      <c r="BD294" s="377">
        <f t="shared" si="138"/>
        <v>0</v>
      </c>
      <c r="BE294" s="377">
        <f t="shared" si="139"/>
        <v>0</v>
      </c>
      <c r="BF294" s="377">
        <f t="shared" si="140"/>
        <v>0</v>
      </c>
      <c r="BG294" s="328"/>
    </row>
    <row r="295" spans="2:59">
      <c r="B295" s="332">
        <v>280</v>
      </c>
      <c r="C295" s="350">
        <v>172039461.27204263</v>
      </c>
      <c r="D295" s="350">
        <v>173450529.01474521</v>
      </c>
      <c r="E295" s="350">
        <v>174802470.95830816</v>
      </c>
      <c r="F295" s="350">
        <v>176157625.4873127</v>
      </c>
      <c r="G295" s="350">
        <v>177520202.12433028</v>
      </c>
      <c r="H295" s="348">
        <v>873970288.85673904</v>
      </c>
      <c r="I295" s="369"/>
      <c r="J295" s="350">
        <v>216242931.63768631</v>
      </c>
      <c r="K295" s="350">
        <v>262720066.98387754</v>
      </c>
      <c r="L295" s="350">
        <v>309819758.51267982</v>
      </c>
      <c r="M295" s="350">
        <v>357622845.65163666</v>
      </c>
      <c r="N295" s="350">
        <v>406141443.14562213</v>
      </c>
      <c r="O295" s="348">
        <v>1552547045.9315023</v>
      </c>
      <c r="P295" s="369"/>
      <c r="Q295" s="350">
        <f t="shared" si="141"/>
        <v>44203470.36564368</v>
      </c>
      <c r="R295" s="350">
        <f t="shared" si="142"/>
        <v>89269537.969132334</v>
      </c>
      <c r="S295" s="350">
        <f t="shared" si="143"/>
        <v>135017287.55437165</v>
      </c>
      <c r="T295" s="350">
        <f t="shared" si="144"/>
        <v>181465220.16432396</v>
      </c>
      <c r="U295" s="350">
        <f t="shared" si="145"/>
        <v>228621241.02129185</v>
      </c>
      <c r="V295" s="350">
        <f t="shared" si="146"/>
        <v>678576757.0747633</v>
      </c>
      <c r="W295" s="365"/>
      <c r="X295" s="377">
        <f t="shared" si="124"/>
        <v>0</v>
      </c>
      <c r="Y295" s="377">
        <f t="shared" si="125"/>
        <v>0</v>
      </c>
      <c r="Z295" s="377">
        <f t="shared" si="126"/>
        <v>0</v>
      </c>
      <c r="AA295" s="377">
        <f t="shared" si="127"/>
        <v>0</v>
      </c>
      <c r="AB295" s="377">
        <f t="shared" si="128"/>
        <v>0</v>
      </c>
      <c r="AC295" s="377">
        <f t="shared" si="129"/>
        <v>0</v>
      </c>
      <c r="AD295" s="376"/>
      <c r="AE295" s="332">
        <v>280</v>
      </c>
      <c r="AF295" s="350">
        <v>116217624.0753497</v>
      </c>
      <c r="AG295" s="350">
        <v>117170841.08296949</v>
      </c>
      <c r="AH295" s="350">
        <v>118084116.90589394</v>
      </c>
      <c r="AI295" s="350">
        <v>118999562.92305398</v>
      </c>
      <c r="AJ295" s="350">
        <v>119920022.7885052</v>
      </c>
      <c r="AK295" s="348">
        <v>590392167.77577233</v>
      </c>
      <c r="AL295" s="369"/>
      <c r="AM295" s="350">
        <v>144300807.60746661</v>
      </c>
      <c r="AN295" s="350">
        <v>173908919.29105246</v>
      </c>
      <c r="AO295" s="350">
        <v>203910542.7223064</v>
      </c>
      <c r="AP295" s="350">
        <v>234359544.60988706</v>
      </c>
      <c r="AQ295" s="350">
        <v>265263794.54008007</v>
      </c>
      <c r="AR295" s="348">
        <v>1021743608.7707925</v>
      </c>
      <c r="AS295" s="369"/>
      <c r="AT295" s="350">
        <f t="shared" si="147"/>
        <v>28083183.532116905</v>
      </c>
      <c r="AU295" s="350">
        <f t="shared" si="130"/>
        <v>56738078.208082974</v>
      </c>
      <c r="AV295" s="350">
        <f t="shared" si="131"/>
        <v>85826425.816412464</v>
      </c>
      <c r="AW295" s="350">
        <f t="shared" si="132"/>
        <v>115359981.68683308</v>
      </c>
      <c r="AX295" s="350">
        <f t="shared" si="133"/>
        <v>145343771.75157487</v>
      </c>
      <c r="AY295" s="350">
        <f t="shared" si="134"/>
        <v>431351440.99502015</v>
      </c>
      <c r="AZ295" s="365"/>
      <c r="BA295" s="377">
        <f t="shared" si="135"/>
        <v>0</v>
      </c>
      <c r="BB295" s="377">
        <f t="shared" si="136"/>
        <v>0</v>
      </c>
      <c r="BC295" s="377">
        <f t="shared" si="137"/>
        <v>0</v>
      </c>
      <c r="BD295" s="377">
        <f t="shared" si="138"/>
        <v>0</v>
      </c>
      <c r="BE295" s="377">
        <f t="shared" si="139"/>
        <v>0</v>
      </c>
      <c r="BF295" s="377">
        <f t="shared" si="140"/>
        <v>0</v>
      </c>
      <c r="BG295" s="328"/>
    </row>
    <row r="296" spans="2:59">
      <c r="B296" s="332">
        <v>281</v>
      </c>
      <c r="C296" s="350">
        <v>115648324.92510471</v>
      </c>
      <c r="D296" s="350">
        <v>116596872.54082498</v>
      </c>
      <c r="E296" s="350">
        <v>117505674.62618965</v>
      </c>
      <c r="F296" s="350">
        <v>118416636.27496064</v>
      </c>
      <c r="G296" s="350">
        <v>119332587.21137971</v>
      </c>
      <c r="H296" s="348">
        <v>587500095.57845974</v>
      </c>
      <c r="I296" s="369"/>
      <c r="J296" s="350">
        <v>145926635.18527606</v>
      </c>
      <c r="K296" s="350">
        <v>177765829.5719195</v>
      </c>
      <c r="L296" s="350">
        <v>210032548.95144638</v>
      </c>
      <c r="M296" s="350">
        <v>242781372.37892261</v>
      </c>
      <c r="N296" s="350">
        <v>276020547.7435388</v>
      </c>
      <c r="O296" s="348">
        <v>1052526933.8311033</v>
      </c>
      <c r="P296" s="369"/>
      <c r="Q296" s="350">
        <f t="shared" si="141"/>
        <v>30278310.260171354</v>
      </c>
      <c r="R296" s="350">
        <f t="shared" si="142"/>
        <v>61168957.031094521</v>
      </c>
      <c r="S296" s="350">
        <f t="shared" si="143"/>
        <v>92526874.325256735</v>
      </c>
      <c r="T296" s="350">
        <f t="shared" si="144"/>
        <v>124364736.10396197</v>
      </c>
      <c r="U296" s="350">
        <f t="shared" si="145"/>
        <v>156687960.53215909</v>
      </c>
      <c r="V296" s="350">
        <f t="shared" si="146"/>
        <v>465026838.25264359</v>
      </c>
      <c r="W296" s="365"/>
      <c r="X296" s="377">
        <f t="shared" si="124"/>
        <v>0</v>
      </c>
      <c r="Y296" s="377">
        <f t="shared" si="125"/>
        <v>0</v>
      </c>
      <c r="Z296" s="377">
        <f t="shared" si="126"/>
        <v>0</v>
      </c>
      <c r="AA296" s="377">
        <f t="shared" si="127"/>
        <v>0</v>
      </c>
      <c r="AB296" s="377">
        <f t="shared" si="128"/>
        <v>0</v>
      </c>
      <c r="AC296" s="377">
        <f t="shared" si="129"/>
        <v>0</v>
      </c>
      <c r="AD296" s="376"/>
      <c r="AE296" s="332">
        <v>281</v>
      </c>
      <c r="AF296" s="350">
        <v>113733264.5751332</v>
      </c>
      <c r="AG296" s="350">
        <v>114666104.86495748</v>
      </c>
      <c r="AH296" s="350">
        <v>115559857.78432013</v>
      </c>
      <c r="AI296" s="350">
        <v>116455734.50613658</v>
      </c>
      <c r="AJ296" s="350">
        <v>117356517.89627266</v>
      </c>
      <c r="AK296" s="348">
        <v>577771479.62682009</v>
      </c>
      <c r="AL296" s="369"/>
      <c r="AM296" s="350">
        <v>144754678.4125545</v>
      </c>
      <c r="AN296" s="350">
        <v>177301804.02386081</v>
      </c>
      <c r="AO296" s="350">
        <v>210288043.03801644</v>
      </c>
      <c r="AP296" s="350">
        <v>243767589.72254694</v>
      </c>
      <c r="AQ296" s="350">
        <v>277748772.81812704</v>
      </c>
      <c r="AR296" s="348">
        <v>1053860888.0151057</v>
      </c>
      <c r="AS296" s="369"/>
      <c r="AT296" s="350">
        <f t="shared" si="147"/>
        <v>31021413.837421298</v>
      </c>
      <c r="AU296" s="350">
        <f t="shared" si="130"/>
        <v>62635699.158903331</v>
      </c>
      <c r="AV296" s="350">
        <f t="shared" si="131"/>
        <v>94728185.253696308</v>
      </c>
      <c r="AW296" s="350">
        <f t="shared" si="132"/>
        <v>127311855.21641035</v>
      </c>
      <c r="AX296" s="350">
        <f t="shared" si="133"/>
        <v>160392254.92185438</v>
      </c>
      <c r="AY296" s="350">
        <f t="shared" si="134"/>
        <v>476089408.38828564</v>
      </c>
      <c r="AZ296" s="365"/>
      <c r="BA296" s="377">
        <f t="shared" si="135"/>
        <v>0</v>
      </c>
      <c r="BB296" s="377">
        <f t="shared" si="136"/>
        <v>0</v>
      </c>
      <c r="BC296" s="377">
        <f t="shared" si="137"/>
        <v>0</v>
      </c>
      <c r="BD296" s="377">
        <f t="shared" si="138"/>
        <v>0</v>
      </c>
      <c r="BE296" s="377">
        <f t="shared" si="139"/>
        <v>0</v>
      </c>
      <c r="BF296" s="377">
        <f t="shared" si="140"/>
        <v>0</v>
      </c>
      <c r="BG296" s="328"/>
    </row>
    <row r="297" spans="2:59">
      <c r="B297" s="332">
        <v>282</v>
      </c>
      <c r="C297" s="350">
        <v>139606826.58772147</v>
      </c>
      <c r="D297" s="350">
        <v>140751881.84540737</v>
      </c>
      <c r="E297" s="350">
        <v>141848957.61555994</v>
      </c>
      <c r="F297" s="350">
        <v>142948640.33911338</v>
      </c>
      <c r="G297" s="350">
        <v>144054345.96542773</v>
      </c>
      <c r="H297" s="348">
        <v>709210652.35322988</v>
      </c>
      <c r="I297" s="369"/>
      <c r="J297" s="350">
        <v>173419584.4139818</v>
      </c>
      <c r="K297" s="350">
        <v>209054430.29698509</v>
      </c>
      <c r="L297" s="350">
        <v>245163006.89777887</v>
      </c>
      <c r="M297" s="350">
        <v>281810053.69849527</v>
      </c>
      <c r="N297" s="350">
        <v>319005036.25128078</v>
      </c>
      <c r="O297" s="348">
        <v>1228452111.5585217</v>
      </c>
      <c r="P297" s="369"/>
      <c r="Q297" s="350">
        <f t="shared" si="141"/>
        <v>33812757.826260328</v>
      </c>
      <c r="R297" s="350">
        <f t="shared" si="142"/>
        <v>68302548.451577723</v>
      </c>
      <c r="S297" s="350">
        <f t="shared" si="143"/>
        <v>103314049.28221893</v>
      </c>
      <c r="T297" s="350">
        <f t="shared" si="144"/>
        <v>138861413.35938188</v>
      </c>
      <c r="U297" s="350">
        <f t="shared" si="145"/>
        <v>174950690.28585306</v>
      </c>
      <c r="V297" s="350">
        <f t="shared" si="146"/>
        <v>519241459.20529187</v>
      </c>
      <c r="W297" s="365"/>
      <c r="X297" s="377">
        <f t="shared" si="124"/>
        <v>0</v>
      </c>
      <c r="Y297" s="377">
        <f t="shared" si="125"/>
        <v>0</v>
      </c>
      <c r="Z297" s="377">
        <f t="shared" si="126"/>
        <v>0</v>
      </c>
      <c r="AA297" s="377">
        <f t="shared" si="127"/>
        <v>0</v>
      </c>
      <c r="AB297" s="377">
        <f t="shared" si="128"/>
        <v>0</v>
      </c>
      <c r="AC297" s="377">
        <f t="shared" si="129"/>
        <v>0</v>
      </c>
      <c r="AD297" s="376"/>
      <c r="AE297" s="332">
        <v>282</v>
      </c>
      <c r="AF297" s="350">
        <v>134167108.80774753</v>
      </c>
      <c r="AG297" s="350">
        <v>135267547.49762985</v>
      </c>
      <c r="AH297" s="350">
        <v>136321876.19932789</v>
      </c>
      <c r="AI297" s="350">
        <v>137378710.27564925</v>
      </c>
      <c r="AJ297" s="350">
        <v>138441332.57500964</v>
      </c>
      <c r="AK297" s="348">
        <v>681576575.35536408</v>
      </c>
      <c r="AL297" s="369"/>
      <c r="AM297" s="350">
        <v>173114418.6573531</v>
      </c>
      <c r="AN297" s="350">
        <v>213901995.91682425</v>
      </c>
      <c r="AO297" s="350">
        <v>255243772.63823742</v>
      </c>
      <c r="AP297" s="350">
        <v>297204664.17704833</v>
      </c>
      <c r="AQ297" s="350">
        <v>339794915.52410638</v>
      </c>
      <c r="AR297" s="348">
        <v>1279259766.9135695</v>
      </c>
      <c r="AS297" s="369"/>
      <c r="AT297" s="350">
        <f t="shared" si="147"/>
        <v>38947309.849605575</v>
      </c>
      <c r="AU297" s="350">
        <f t="shared" si="130"/>
        <v>78634448.4191944</v>
      </c>
      <c r="AV297" s="350">
        <f t="shared" si="131"/>
        <v>118921896.43890953</v>
      </c>
      <c r="AW297" s="350">
        <f t="shared" si="132"/>
        <v>159825953.90139908</v>
      </c>
      <c r="AX297" s="350">
        <f t="shared" si="133"/>
        <v>201353582.94909674</v>
      </c>
      <c r="AY297" s="350">
        <f t="shared" si="134"/>
        <v>597683191.55820537</v>
      </c>
      <c r="AZ297" s="365"/>
      <c r="BA297" s="377">
        <f t="shared" si="135"/>
        <v>0</v>
      </c>
      <c r="BB297" s="377">
        <f t="shared" si="136"/>
        <v>0</v>
      </c>
      <c r="BC297" s="377">
        <f t="shared" si="137"/>
        <v>0</v>
      </c>
      <c r="BD297" s="377">
        <f t="shared" si="138"/>
        <v>0</v>
      </c>
      <c r="BE297" s="377">
        <f t="shared" si="139"/>
        <v>0</v>
      </c>
      <c r="BF297" s="377">
        <f t="shared" si="140"/>
        <v>0</v>
      </c>
      <c r="BG297" s="328"/>
    </row>
    <row r="298" spans="2:59">
      <c r="B298" s="332">
        <v>283</v>
      </c>
      <c r="C298" s="350">
        <v>140803223.94011593</v>
      </c>
      <c r="D298" s="350">
        <v>141958092.04945186</v>
      </c>
      <c r="E298" s="350">
        <v>143064569.49843967</v>
      </c>
      <c r="F298" s="350">
        <v>144173676.24180001</v>
      </c>
      <c r="G298" s="350">
        <v>145288857.50276762</v>
      </c>
      <c r="H298" s="348">
        <v>715288419.23257494</v>
      </c>
      <c r="I298" s="369"/>
      <c r="J298" s="350">
        <v>172731057.81775346</v>
      </c>
      <c r="K298" s="350">
        <v>206463121.64974037</v>
      </c>
      <c r="L298" s="350">
        <v>240639578.79397595</v>
      </c>
      <c r="M298" s="350">
        <v>275324813.83138877</v>
      </c>
      <c r="N298" s="350">
        <v>310527985.88444895</v>
      </c>
      <c r="O298" s="348">
        <v>1205686557.9773076</v>
      </c>
      <c r="P298" s="369"/>
      <c r="Q298" s="350">
        <f t="shared" si="141"/>
        <v>31927833.877637535</v>
      </c>
      <c r="R298" s="350">
        <f t="shared" si="142"/>
        <v>64505029.60028851</v>
      </c>
      <c r="S298" s="350">
        <f t="shared" si="143"/>
        <v>97575009.29553628</v>
      </c>
      <c r="T298" s="350">
        <f t="shared" si="144"/>
        <v>131151137.58958876</v>
      </c>
      <c r="U298" s="350">
        <f t="shared" si="145"/>
        <v>165239128.38168132</v>
      </c>
      <c r="V298" s="350">
        <f t="shared" si="146"/>
        <v>490398138.74473262</v>
      </c>
      <c r="W298" s="365"/>
      <c r="X298" s="377">
        <f t="shared" si="124"/>
        <v>0</v>
      </c>
      <c r="Y298" s="377">
        <f t="shared" si="125"/>
        <v>0</v>
      </c>
      <c r="Z298" s="377">
        <f t="shared" si="126"/>
        <v>0</v>
      </c>
      <c r="AA298" s="377">
        <f t="shared" si="127"/>
        <v>0</v>
      </c>
      <c r="AB298" s="377">
        <f t="shared" si="128"/>
        <v>0</v>
      </c>
      <c r="AC298" s="377">
        <f t="shared" si="129"/>
        <v>0</v>
      </c>
      <c r="AD298" s="376"/>
      <c r="AE298" s="332">
        <v>283</v>
      </c>
      <c r="AF298" s="350">
        <v>109146363.86696553</v>
      </c>
      <c r="AG298" s="350">
        <v>110041582.39501253</v>
      </c>
      <c r="AH298" s="350">
        <v>110899289.95935906</v>
      </c>
      <c r="AI298" s="350">
        <v>111759035.67249408</v>
      </c>
      <c r="AJ298" s="350">
        <v>112623490.16636959</v>
      </c>
      <c r="AK298" s="348">
        <v>554469762.06020081</v>
      </c>
      <c r="AL298" s="369"/>
      <c r="AM298" s="350">
        <v>134955806.96846032</v>
      </c>
      <c r="AN298" s="350">
        <v>162182931.67097375</v>
      </c>
      <c r="AO298" s="350">
        <v>189770857.91036206</v>
      </c>
      <c r="AP298" s="350">
        <v>217769938.2001906</v>
      </c>
      <c r="AQ298" s="350">
        <v>246187461.73085201</v>
      </c>
      <c r="AR298" s="348">
        <v>950866996.48083878</v>
      </c>
      <c r="AS298" s="369"/>
      <c r="AT298" s="350">
        <f t="shared" si="147"/>
        <v>25809443.101494789</v>
      </c>
      <c r="AU298" s="350">
        <f t="shared" si="130"/>
        <v>52141349.27596122</v>
      </c>
      <c r="AV298" s="350">
        <f t="shared" si="131"/>
        <v>78871567.951003</v>
      </c>
      <c r="AW298" s="350">
        <f t="shared" si="132"/>
        <v>106010902.52769652</v>
      </c>
      <c r="AX298" s="350">
        <f t="shared" si="133"/>
        <v>133563971.56448242</v>
      </c>
      <c r="AY298" s="350">
        <f t="shared" si="134"/>
        <v>396397234.42063797</v>
      </c>
      <c r="AZ298" s="365"/>
      <c r="BA298" s="377">
        <f t="shared" si="135"/>
        <v>0</v>
      </c>
      <c r="BB298" s="377">
        <f t="shared" si="136"/>
        <v>0</v>
      </c>
      <c r="BC298" s="377">
        <f t="shared" si="137"/>
        <v>0</v>
      </c>
      <c r="BD298" s="377">
        <f t="shared" si="138"/>
        <v>0</v>
      </c>
      <c r="BE298" s="377">
        <f t="shared" si="139"/>
        <v>0</v>
      </c>
      <c r="BF298" s="377">
        <f t="shared" si="140"/>
        <v>0</v>
      </c>
      <c r="BG298" s="328"/>
    </row>
    <row r="299" spans="2:59">
      <c r="B299" s="332">
        <v>284</v>
      </c>
      <c r="C299" s="350">
        <v>126217536.53477447</v>
      </c>
      <c r="D299" s="350">
        <v>127252772.82911494</v>
      </c>
      <c r="E299" s="350">
        <v>128244631.21086568</v>
      </c>
      <c r="F299" s="350">
        <v>129238846.52059875</v>
      </c>
      <c r="G299" s="350">
        <v>130238507.0937753</v>
      </c>
      <c r="H299" s="348">
        <v>641192294.18912911</v>
      </c>
      <c r="I299" s="369"/>
      <c r="J299" s="350">
        <v>161300112.01962566</v>
      </c>
      <c r="K299" s="350">
        <v>198139018.49823499</v>
      </c>
      <c r="L299" s="350">
        <v>235476140.29867321</v>
      </c>
      <c r="M299" s="350">
        <v>273371897.84713417</v>
      </c>
      <c r="N299" s="350">
        <v>311835659.11572701</v>
      </c>
      <c r="O299" s="348">
        <v>1180122827.7793949</v>
      </c>
      <c r="P299" s="369"/>
      <c r="Q299" s="350">
        <f t="shared" si="141"/>
        <v>35082575.484851196</v>
      </c>
      <c r="R299" s="350">
        <f t="shared" si="142"/>
        <v>70886245.669120044</v>
      </c>
      <c r="S299" s="350">
        <f t="shared" si="143"/>
        <v>107231509.08780754</v>
      </c>
      <c r="T299" s="350">
        <f t="shared" si="144"/>
        <v>144133051.3265354</v>
      </c>
      <c r="U299" s="350">
        <f t="shared" si="145"/>
        <v>181597152.02195171</v>
      </c>
      <c r="V299" s="350">
        <f t="shared" si="146"/>
        <v>538930533.59026575</v>
      </c>
      <c r="W299" s="365"/>
      <c r="X299" s="377">
        <f t="shared" si="124"/>
        <v>0</v>
      </c>
      <c r="Y299" s="377">
        <f t="shared" si="125"/>
        <v>0</v>
      </c>
      <c r="Z299" s="377">
        <f t="shared" si="126"/>
        <v>0</v>
      </c>
      <c r="AA299" s="377">
        <f t="shared" si="127"/>
        <v>0</v>
      </c>
      <c r="AB299" s="377">
        <f t="shared" si="128"/>
        <v>0</v>
      </c>
      <c r="AC299" s="377">
        <f t="shared" si="129"/>
        <v>0</v>
      </c>
      <c r="AD299" s="376"/>
      <c r="AE299" s="332">
        <v>284</v>
      </c>
      <c r="AF299" s="350">
        <v>124577039.60768223</v>
      </c>
      <c r="AG299" s="350">
        <v>125598820.54545096</v>
      </c>
      <c r="AH299" s="350">
        <v>126577787.36972049</v>
      </c>
      <c r="AI299" s="350">
        <v>127559080.48809046</v>
      </c>
      <c r="AJ299" s="350">
        <v>128545748.09576115</v>
      </c>
      <c r="AK299" s="348">
        <v>632858476.10670531</v>
      </c>
      <c r="AL299" s="369"/>
      <c r="AM299" s="350">
        <v>157327733.89186388</v>
      </c>
      <c r="AN299" s="350">
        <v>191749262.44158226</v>
      </c>
      <c r="AO299" s="350">
        <v>226633195.43160293</v>
      </c>
      <c r="AP299" s="350">
        <v>262038381.38863233</v>
      </c>
      <c r="AQ299" s="350">
        <v>297973727.06696719</v>
      </c>
      <c r="AR299" s="348">
        <v>1135722300.2206485</v>
      </c>
      <c r="AS299" s="369"/>
      <c r="AT299" s="350">
        <f t="shared" si="147"/>
        <v>32750694.284181654</v>
      </c>
      <c r="AU299" s="350">
        <f t="shared" si="130"/>
        <v>66150441.896131307</v>
      </c>
      <c r="AV299" s="350">
        <f t="shared" si="131"/>
        <v>100055408.06188244</v>
      </c>
      <c r="AW299" s="350">
        <f t="shared" si="132"/>
        <v>134479300.90054187</v>
      </c>
      <c r="AX299" s="350">
        <f t="shared" si="133"/>
        <v>169427978.97120604</v>
      </c>
      <c r="AY299" s="350">
        <f t="shared" si="134"/>
        <v>502863824.11394322</v>
      </c>
      <c r="AZ299" s="365"/>
      <c r="BA299" s="377">
        <f t="shared" si="135"/>
        <v>0</v>
      </c>
      <c r="BB299" s="377">
        <f t="shared" si="136"/>
        <v>0</v>
      </c>
      <c r="BC299" s="377">
        <f t="shared" si="137"/>
        <v>0</v>
      </c>
      <c r="BD299" s="377">
        <f t="shared" si="138"/>
        <v>0</v>
      </c>
      <c r="BE299" s="377">
        <f t="shared" si="139"/>
        <v>0</v>
      </c>
      <c r="BF299" s="377">
        <f t="shared" si="140"/>
        <v>0</v>
      </c>
      <c r="BG299" s="328"/>
    </row>
    <row r="300" spans="2:59">
      <c r="B300" s="332">
        <v>285</v>
      </c>
      <c r="C300" s="350">
        <v>107365233.85715115</v>
      </c>
      <c r="D300" s="350">
        <v>108245843.55601537</v>
      </c>
      <c r="E300" s="350">
        <v>109089554.42245667</v>
      </c>
      <c r="F300" s="350">
        <v>109935270.17768729</v>
      </c>
      <c r="G300" s="350">
        <v>110785617.87233827</v>
      </c>
      <c r="H300" s="348">
        <v>545421519.88564873</v>
      </c>
      <c r="I300" s="369"/>
      <c r="J300" s="350">
        <v>135932650.08403966</v>
      </c>
      <c r="K300" s="350">
        <v>165928809.08582094</v>
      </c>
      <c r="L300" s="350">
        <v>196328474.90313074</v>
      </c>
      <c r="M300" s="350">
        <v>227182507.42383385</v>
      </c>
      <c r="N300" s="350">
        <v>258498641.18819687</v>
      </c>
      <c r="O300" s="348">
        <v>983871082.68502212</v>
      </c>
      <c r="P300" s="369"/>
      <c r="Q300" s="350">
        <f t="shared" si="141"/>
        <v>28567416.226888508</v>
      </c>
      <c r="R300" s="350">
        <f t="shared" si="142"/>
        <v>57682965.529805571</v>
      </c>
      <c r="S300" s="350">
        <f t="shared" si="143"/>
        <v>87238920.480674073</v>
      </c>
      <c r="T300" s="350">
        <f t="shared" si="144"/>
        <v>117247237.24614656</v>
      </c>
      <c r="U300" s="350">
        <f t="shared" si="145"/>
        <v>147713023.3158586</v>
      </c>
      <c r="V300" s="350">
        <f t="shared" si="146"/>
        <v>438449562.79937339</v>
      </c>
      <c r="W300" s="365"/>
      <c r="X300" s="377">
        <f t="shared" si="124"/>
        <v>0</v>
      </c>
      <c r="Y300" s="377">
        <f t="shared" si="125"/>
        <v>0</v>
      </c>
      <c r="Z300" s="377">
        <f t="shared" si="126"/>
        <v>0</v>
      </c>
      <c r="AA300" s="377">
        <f t="shared" si="127"/>
        <v>0</v>
      </c>
      <c r="AB300" s="377">
        <f t="shared" si="128"/>
        <v>0</v>
      </c>
      <c r="AC300" s="377">
        <f t="shared" si="129"/>
        <v>0</v>
      </c>
      <c r="AD300" s="376"/>
      <c r="AE300" s="332">
        <v>285</v>
      </c>
      <c r="AF300" s="350">
        <v>129646513.04002582</v>
      </c>
      <c r="AG300" s="350">
        <v>130709873.80128373</v>
      </c>
      <c r="AH300" s="350">
        <v>131728678.19371516</v>
      </c>
      <c r="AI300" s="350">
        <v>132749903.54525252</v>
      </c>
      <c r="AJ300" s="350">
        <v>133776722.09277052</v>
      </c>
      <c r="AK300" s="348">
        <v>658611690.67304778</v>
      </c>
      <c r="AL300" s="369"/>
      <c r="AM300" s="350">
        <v>159526642.68033355</v>
      </c>
      <c r="AN300" s="350">
        <v>191096787.77151483</v>
      </c>
      <c r="AO300" s="350">
        <v>223083850.82221714</v>
      </c>
      <c r="AP300" s="350">
        <v>255547317.69339445</v>
      </c>
      <c r="AQ300" s="350">
        <v>288495710.94900119</v>
      </c>
      <c r="AR300" s="348">
        <v>1117750309.916461</v>
      </c>
      <c r="AS300" s="369"/>
      <c r="AT300" s="350">
        <f t="shared" si="147"/>
        <v>29880129.640307739</v>
      </c>
      <c r="AU300" s="350">
        <f t="shared" si="130"/>
        <v>60386913.970231101</v>
      </c>
      <c r="AV300" s="350">
        <f t="shared" si="131"/>
        <v>91355172.628501981</v>
      </c>
      <c r="AW300" s="350">
        <f t="shared" si="132"/>
        <v>122797414.14814194</v>
      </c>
      <c r="AX300" s="350">
        <f t="shared" si="133"/>
        <v>154718988.85623068</v>
      </c>
      <c r="AY300" s="350">
        <f t="shared" si="134"/>
        <v>459138619.24341321</v>
      </c>
      <c r="AZ300" s="365"/>
      <c r="BA300" s="377">
        <f t="shared" si="135"/>
        <v>0</v>
      </c>
      <c r="BB300" s="377">
        <f t="shared" si="136"/>
        <v>0</v>
      </c>
      <c r="BC300" s="377">
        <f t="shared" si="137"/>
        <v>0</v>
      </c>
      <c r="BD300" s="377">
        <f t="shared" si="138"/>
        <v>0</v>
      </c>
      <c r="BE300" s="377">
        <f t="shared" si="139"/>
        <v>0</v>
      </c>
      <c r="BF300" s="377">
        <f t="shared" si="140"/>
        <v>0</v>
      </c>
      <c r="BG300" s="328"/>
    </row>
    <row r="301" spans="2:59">
      <c r="B301" s="332">
        <v>286</v>
      </c>
      <c r="C301" s="350">
        <v>134235553.48623112</v>
      </c>
      <c r="D301" s="350">
        <v>135336553.55939871</v>
      </c>
      <c r="E301" s="350">
        <v>136391420.12160251</v>
      </c>
      <c r="F301" s="350">
        <v>137448793.33653396</v>
      </c>
      <c r="G301" s="350">
        <v>138511957.72733751</v>
      </c>
      <c r="H301" s="348">
        <v>681924278.23110378</v>
      </c>
      <c r="I301" s="369"/>
      <c r="J301" s="350">
        <v>170311292.1985001</v>
      </c>
      <c r="K301" s="350">
        <v>208179269.57616159</v>
      </c>
      <c r="L301" s="350">
        <v>246557255.15847981</v>
      </c>
      <c r="M301" s="350">
        <v>285508987.64021307</v>
      </c>
      <c r="N301" s="350">
        <v>325044201.27999938</v>
      </c>
      <c r="O301" s="348">
        <v>1235601005.853354</v>
      </c>
      <c r="P301" s="369"/>
      <c r="Q301" s="350">
        <f t="shared" si="141"/>
        <v>36075738.712268978</v>
      </c>
      <c r="R301" s="350">
        <f t="shared" si="142"/>
        <v>72842716.016762882</v>
      </c>
      <c r="S301" s="350">
        <f t="shared" si="143"/>
        <v>110165835.0368773</v>
      </c>
      <c r="T301" s="350">
        <f t="shared" si="144"/>
        <v>148060194.30367911</v>
      </c>
      <c r="U301" s="350">
        <f t="shared" si="145"/>
        <v>186532243.55266187</v>
      </c>
      <c r="V301" s="350">
        <f t="shared" si="146"/>
        <v>553676727.6222502</v>
      </c>
      <c r="W301" s="365"/>
      <c r="X301" s="377">
        <f t="shared" si="124"/>
        <v>0</v>
      </c>
      <c r="Y301" s="377">
        <f t="shared" si="125"/>
        <v>0</v>
      </c>
      <c r="Z301" s="377">
        <f t="shared" si="126"/>
        <v>0</v>
      </c>
      <c r="AA301" s="377">
        <f t="shared" si="127"/>
        <v>0</v>
      </c>
      <c r="AB301" s="377">
        <f t="shared" si="128"/>
        <v>0</v>
      </c>
      <c r="AC301" s="377">
        <f t="shared" si="129"/>
        <v>0</v>
      </c>
      <c r="AD301" s="376"/>
      <c r="AE301" s="332">
        <v>286</v>
      </c>
      <c r="AF301" s="350">
        <v>123709853.01044694</v>
      </c>
      <c r="AG301" s="350">
        <v>124724521.28333509</v>
      </c>
      <c r="AH301" s="350">
        <v>125696673.47376986</v>
      </c>
      <c r="AI301" s="350">
        <v>126671135.76486307</v>
      </c>
      <c r="AJ301" s="350">
        <v>127650935.13318571</v>
      </c>
      <c r="AK301" s="348">
        <v>628453118.66560066</v>
      </c>
      <c r="AL301" s="369"/>
      <c r="AM301" s="350">
        <v>159281440.26136386</v>
      </c>
      <c r="AN301" s="350">
        <v>196562162.78591633</v>
      </c>
      <c r="AO301" s="350">
        <v>234348939.88440651</v>
      </c>
      <c r="AP301" s="350">
        <v>272701485.98810434</v>
      </c>
      <c r="AQ301" s="350">
        <v>311629189.64257187</v>
      </c>
      <c r="AR301" s="348">
        <v>1174523218.5623629</v>
      </c>
      <c r="AS301" s="369"/>
      <c r="AT301" s="350">
        <f t="shared" si="147"/>
        <v>35571587.250916928</v>
      </c>
      <c r="AU301" s="350">
        <f t="shared" si="130"/>
        <v>71837641.502581239</v>
      </c>
      <c r="AV301" s="350">
        <f t="shared" si="131"/>
        <v>108652266.41063665</v>
      </c>
      <c r="AW301" s="350">
        <f t="shared" si="132"/>
        <v>146030350.22324127</v>
      </c>
      <c r="AX301" s="350">
        <f t="shared" si="133"/>
        <v>183978254.50938615</v>
      </c>
      <c r="AY301" s="350">
        <f t="shared" si="134"/>
        <v>546070099.89676225</v>
      </c>
      <c r="AZ301" s="365"/>
      <c r="BA301" s="377">
        <f t="shared" si="135"/>
        <v>0</v>
      </c>
      <c r="BB301" s="377">
        <f t="shared" si="136"/>
        <v>0</v>
      </c>
      <c r="BC301" s="377">
        <f t="shared" si="137"/>
        <v>0</v>
      </c>
      <c r="BD301" s="377">
        <f t="shared" si="138"/>
        <v>0</v>
      </c>
      <c r="BE301" s="377">
        <f t="shared" si="139"/>
        <v>0</v>
      </c>
      <c r="BF301" s="377">
        <f t="shared" si="140"/>
        <v>0</v>
      </c>
      <c r="BG301" s="328"/>
    </row>
    <row r="302" spans="2:59">
      <c r="B302" s="332">
        <v>287</v>
      </c>
      <c r="C302" s="350">
        <v>110603898.5146431</v>
      </c>
      <c r="D302" s="350">
        <v>111511071.74255949</v>
      </c>
      <c r="E302" s="350">
        <v>112380233.08739235</v>
      </c>
      <c r="F302" s="350">
        <v>113251459.7983425</v>
      </c>
      <c r="G302" s="350">
        <v>114127458.17083688</v>
      </c>
      <c r="H302" s="348">
        <v>561874121.31377435</v>
      </c>
      <c r="I302" s="369"/>
      <c r="J302" s="350">
        <v>141373675.74442756</v>
      </c>
      <c r="K302" s="350">
        <v>173637834.61554801</v>
      </c>
      <c r="L302" s="350">
        <v>206338290.04170513</v>
      </c>
      <c r="M302" s="350">
        <v>239527997.00421053</v>
      </c>
      <c r="N302" s="350">
        <v>273215162.55645394</v>
      </c>
      <c r="O302" s="348">
        <v>1034092959.9623451</v>
      </c>
      <c r="P302" s="369"/>
      <c r="Q302" s="350">
        <f t="shared" si="141"/>
        <v>30769777.229784459</v>
      </c>
      <c r="R302" s="350">
        <f t="shared" si="142"/>
        <v>62126762.872988522</v>
      </c>
      <c r="S302" s="350">
        <f t="shared" si="143"/>
        <v>93958056.954312786</v>
      </c>
      <c r="T302" s="350">
        <f t="shared" si="144"/>
        <v>126276537.20586804</v>
      </c>
      <c r="U302" s="350">
        <f t="shared" si="145"/>
        <v>159087704.38561708</v>
      </c>
      <c r="V302" s="350">
        <f t="shared" si="146"/>
        <v>472218838.64857078</v>
      </c>
      <c r="W302" s="365"/>
      <c r="X302" s="377">
        <f t="shared" si="124"/>
        <v>0</v>
      </c>
      <c r="Y302" s="377">
        <f t="shared" si="125"/>
        <v>0</v>
      </c>
      <c r="Z302" s="377">
        <f t="shared" si="126"/>
        <v>0</v>
      </c>
      <c r="AA302" s="377">
        <f t="shared" si="127"/>
        <v>0</v>
      </c>
      <c r="AB302" s="377">
        <f t="shared" si="128"/>
        <v>0</v>
      </c>
      <c r="AC302" s="377">
        <f t="shared" si="129"/>
        <v>0</v>
      </c>
      <c r="AD302" s="376"/>
      <c r="AE302" s="332">
        <v>287</v>
      </c>
      <c r="AF302" s="350">
        <v>134578374.11559796</v>
      </c>
      <c r="AG302" s="350">
        <v>135682186.00372973</v>
      </c>
      <c r="AH302" s="350">
        <v>136739746.56174433</v>
      </c>
      <c r="AI302" s="350">
        <v>137799820.17416069</v>
      </c>
      <c r="AJ302" s="350">
        <v>138865699.75237998</v>
      </c>
      <c r="AK302" s="348">
        <v>683665826.60761273</v>
      </c>
      <c r="AL302" s="369"/>
      <c r="AM302" s="350">
        <v>172229241.05506742</v>
      </c>
      <c r="AN302" s="350">
        <v>211712565.7316657</v>
      </c>
      <c r="AO302" s="350">
        <v>251730175.54274759</v>
      </c>
      <c r="AP302" s="350">
        <v>292346593.03303909</v>
      </c>
      <c r="AQ302" s="350">
        <v>333571843.55896068</v>
      </c>
      <c r="AR302" s="348">
        <v>1261590418.9214807</v>
      </c>
      <c r="AS302" s="369"/>
      <c r="AT302" s="350">
        <f t="shared" si="147"/>
        <v>37650866.939469457</v>
      </c>
      <c r="AU302" s="350">
        <f t="shared" si="130"/>
        <v>76030379.72793597</v>
      </c>
      <c r="AV302" s="350">
        <f t="shared" si="131"/>
        <v>114990428.98100325</v>
      </c>
      <c r="AW302" s="350">
        <f t="shared" si="132"/>
        <v>154546772.8588784</v>
      </c>
      <c r="AX302" s="350">
        <f t="shared" si="133"/>
        <v>194706143.80658069</v>
      </c>
      <c r="AY302" s="350">
        <f t="shared" si="134"/>
        <v>577924592.31386793</v>
      </c>
      <c r="AZ302" s="365"/>
      <c r="BA302" s="377">
        <f t="shared" si="135"/>
        <v>0</v>
      </c>
      <c r="BB302" s="377">
        <f t="shared" si="136"/>
        <v>0</v>
      </c>
      <c r="BC302" s="377">
        <f t="shared" si="137"/>
        <v>0</v>
      </c>
      <c r="BD302" s="377">
        <f t="shared" si="138"/>
        <v>0</v>
      </c>
      <c r="BE302" s="377">
        <f t="shared" si="139"/>
        <v>0</v>
      </c>
      <c r="BF302" s="377">
        <f t="shared" si="140"/>
        <v>0</v>
      </c>
      <c r="BG302" s="328"/>
    </row>
    <row r="303" spans="2:59">
      <c r="B303" s="332">
        <v>288</v>
      </c>
      <c r="C303" s="350">
        <v>100529652.34449103</v>
      </c>
      <c r="D303" s="350">
        <v>101354196.60055622</v>
      </c>
      <c r="E303" s="350">
        <v>102144191.24812958</v>
      </c>
      <c r="F303" s="350">
        <v>102936063.14000019</v>
      </c>
      <c r="G303" s="350">
        <v>103732272.07136565</v>
      </c>
      <c r="H303" s="348">
        <v>510696375.40454274</v>
      </c>
      <c r="I303" s="369"/>
      <c r="J303" s="350">
        <v>128530684.27344796</v>
      </c>
      <c r="K303" s="350">
        <v>157912811.89799136</v>
      </c>
      <c r="L303" s="350">
        <v>187692364.61822227</v>
      </c>
      <c r="M303" s="350">
        <v>217917489.47942805</v>
      </c>
      <c r="N303" s="350">
        <v>248595655.4479748</v>
      </c>
      <c r="O303" s="348">
        <v>940649005.71706438</v>
      </c>
      <c r="P303" s="369"/>
      <c r="Q303" s="350">
        <f t="shared" si="141"/>
        <v>28001031.928956926</v>
      </c>
      <c r="R303" s="350">
        <f t="shared" si="142"/>
        <v>56558615.297435135</v>
      </c>
      <c r="S303" s="350">
        <f t="shared" si="143"/>
        <v>85548173.37009269</v>
      </c>
      <c r="T303" s="350">
        <f t="shared" si="144"/>
        <v>114981426.33942786</v>
      </c>
      <c r="U303" s="350">
        <f t="shared" si="145"/>
        <v>144863383.37660915</v>
      </c>
      <c r="V303" s="350">
        <f t="shared" si="146"/>
        <v>429952630.31252164</v>
      </c>
      <c r="W303" s="365"/>
      <c r="X303" s="377">
        <f t="shared" si="124"/>
        <v>0</v>
      </c>
      <c r="Y303" s="377">
        <f t="shared" si="125"/>
        <v>0</v>
      </c>
      <c r="Z303" s="377">
        <f t="shared" si="126"/>
        <v>0</v>
      </c>
      <c r="AA303" s="377">
        <f t="shared" si="127"/>
        <v>0</v>
      </c>
      <c r="AB303" s="377">
        <f t="shared" si="128"/>
        <v>0</v>
      </c>
      <c r="AC303" s="377">
        <f t="shared" si="129"/>
        <v>0</v>
      </c>
      <c r="AD303" s="376"/>
      <c r="AE303" s="332">
        <v>288</v>
      </c>
      <c r="AF303" s="350">
        <v>129122813.20310226</v>
      </c>
      <c r="AG303" s="350">
        <v>130181878.57805009</v>
      </c>
      <c r="AH303" s="350">
        <v>131196567.56713086</v>
      </c>
      <c r="AI303" s="350">
        <v>132213667.73598859</v>
      </c>
      <c r="AJ303" s="350">
        <v>133236338.50742468</v>
      </c>
      <c r="AK303" s="348">
        <v>655951265.5916965</v>
      </c>
      <c r="AL303" s="369"/>
      <c r="AM303" s="350">
        <v>166829589.48779228</v>
      </c>
      <c r="AN303" s="350">
        <v>206337818.93812218</v>
      </c>
      <c r="AO303" s="350">
        <v>246383267.88326001</v>
      </c>
      <c r="AP303" s="350">
        <v>287028506.15245593</v>
      </c>
      <c r="AQ303" s="350">
        <v>328283437.54325932</v>
      </c>
      <c r="AR303" s="348">
        <v>1234862620.0048897</v>
      </c>
      <c r="AS303" s="369"/>
      <c r="AT303" s="350">
        <f t="shared" si="147"/>
        <v>37706776.284690022</v>
      </c>
      <c r="AU303" s="350">
        <f t="shared" si="130"/>
        <v>76155940.360072091</v>
      </c>
      <c r="AV303" s="350">
        <f t="shared" si="131"/>
        <v>115186700.31612915</v>
      </c>
      <c r="AW303" s="350">
        <f t="shared" si="132"/>
        <v>154814838.41646734</v>
      </c>
      <c r="AX303" s="350">
        <f t="shared" si="133"/>
        <v>195047099.03583464</v>
      </c>
      <c r="AY303" s="350">
        <f t="shared" si="134"/>
        <v>578911354.41319323</v>
      </c>
      <c r="AZ303" s="365"/>
      <c r="BA303" s="377">
        <f t="shared" si="135"/>
        <v>0</v>
      </c>
      <c r="BB303" s="377">
        <f t="shared" si="136"/>
        <v>0</v>
      </c>
      <c r="BC303" s="377">
        <f t="shared" si="137"/>
        <v>0</v>
      </c>
      <c r="BD303" s="377">
        <f t="shared" si="138"/>
        <v>0</v>
      </c>
      <c r="BE303" s="377">
        <f t="shared" si="139"/>
        <v>0</v>
      </c>
      <c r="BF303" s="377">
        <f t="shared" si="140"/>
        <v>0</v>
      </c>
      <c r="BG303" s="328"/>
    </row>
    <row r="304" spans="2:59">
      <c r="B304" s="332">
        <v>289</v>
      </c>
      <c r="C304" s="350">
        <v>121623823.17308593</v>
      </c>
      <c r="D304" s="350">
        <v>122621381.82826167</v>
      </c>
      <c r="E304" s="350">
        <v>123577141.31895301</v>
      </c>
      <c r="F304" s="350">
        <v>124535171.95674506</v>
      </c>
      <c r="G304" s="350">
        <v>125498449.67649072</v>
      </c>
      <c r="H304" s="348">
        <v>617855967.95353627</v>
      </c>
      <c r="I304" s="369"/>
      <c r="J304" s="350">
        <v>149573294.01837131</v>
      </c>
      <c r="K304" s="350">
        <v>179080775.63730472</v>
      </c>
      <c r="L304" s="350">
        <v>208977714.14074707</v>
      </c>
      <c r="M304" s="350">
        <v>239319878.72491196</v>
      </c>
      <c r="N304" s="350">
        <v>270115246.02377629</v>
      </c>
      <c r="O304" s="348">
        <v>1047066908.5451113</v>
      </c>
      <c r="P304" s="369"/>
      <c r="Q304" s="350">
        <f t="shared" si="141"/>
        <v>27949470.845285386</v>
      </c>
      <c r="R304" s="350">
        <f t="shared" si="142"/>
        <v>56459393.80904305</v>
      </c>
      <c r="S304" s="350">
        <f t="shared" si="143"/>
        <v>85400572.821794063</v>
      </c>
      <c r="T304" s="350">
        <f t="shared" si="144"/>
        <v>114784706.7681669</v>
      </c>
      <c r="U304" s="350">
        <f t="shared" si="145"/>
        <v>144616796.34728557</v>
      </c>
      <c r="V304" s="350">
        <f t="shared" si="146"/>
        <v>429210940.59157503</v>
      </c>
      <c r="W304" s="365"/>
      <c r="X304" s="377">
        <f t="shared" si="124"/>
        <v>0</v>
      </c>
      <c r="Y304" s="377">
        <f t="shared" si="125"/>
        <v>0</v>
      </c>
      <c r="Z304" s="377">
        <f t="shared" si="126"/>
        <v>0</v>
      </c>
      <c r="AA304" s="377">
        <f t="shared" si="127"/>
        <v>0</v>
      </c>
      <c r="AB304" s="377">
        <f t="shared" si="128"/>
        <v>0</v>
      </c>
      <c r="AC304" s="377">
        <f t="shared" si="129"/>
        <v>0</v>
      </c>
      <c r="AD304" s="376"/>
      <c r="AE304" s="332">
        <v>289</v>
      </c>
      <c r="AF304" s="350">
        <v>128349672.48721981</v>
      </c>
      <c r="AG304" s="350">
        <v>129402396.56165044</v>
      </c>
      <c r="AH304" s="350">
        <v>130411009.95996639</v>
      </c>
      <c r="AI304" s="350">
        <v>131422020.10078678</v>
      </c>
      <c r="AJ304" s="350">
        <v>132438567.48943149</v>
      </c>
      <c r="AK304" s="348">
        <v>652023666.59905493</v>
      </c>
      <c r="AL304" s="369"/>
      <c r="AM304" s="350">
        <v>157364126.79582718</v>
      </c>
      <c r="AN304" s="350">
        <v>188031144.93590689</v>
      </c>
      <c r="AO304" s="350">
        <v>219102022.0811066</v>
      </c>
      <c r="AP304" s="350">
        <v>250635411.30960426</v>
      </c>
      <c r="AQ304" s="350">
        <v>282639647.12439287</v>
      </c>
      <c r="AR304" s="348">
        <v>1097772352.2468379</v>
      </c>
      <c r="AS304" s="369"/>
      <c r="AT304" s="350">
        <f t="shared" si="147"/>
        <v>29014454.30860737</v>
      </c>
      <c r="AU304" s="350">
        <f t="shared" si="130"/>
        <v>58628748.374256447</v>
      </c>
      <c r="AV304" s="350">
        <f t="shared" si="131"/>
        <v>88691012.121140212</v>
      </c>
      <c r="AW304" s="350">
        <f t="shared" si="132"/>
        <v>119213391.20881748</v>
      </c>
      <c r="AX304" s="350">
        <f t="shared" si="133"/>
        <v>150201079.63496137</v>
      </c>
      <c r="AY304" s="350">
        <f t="shared" si="134"/>
        <v>445748685.64778292</v>
      </c>
      <c r="AZ304" s="365"/>
      <c r="BA304" s="377">
        <f t="shared" si="135"/>
        <v>0</v>
      </c>
      <c r="BB304" s="377">
        <f t="shared" si="136"/>
        <v>0</v>
      </c>
      <c r="BC304" s="377">
        <f t="shared" si="137"/>
        <v>0</v>
      </c>
      <c r="BD304" s="377">
        <f t="shared" si="138"/>
        <v>0</v>
      </c>
      <c r="BE304" s="377">
        <f t="shared" si="139"/>
        <v>0</v>
      </c>
      <c r="BF304" s="377">
        <f t="shared" si="140"/>
        <v>0</v>
      </c>
      <c r="BG304" s="328"/>
    </row>
    <row r="305" spans="2:59">
      <c r="B305" s="332">
        <v>290</v>
      </c>
      <c r="C305" s="350">
        <v>177037931.16308394</v>
      </c>
      <c r="D305" s="350">
        <v>178489996.35819632</v>
      </c>
      <c r="E305" s="350">
        <v>179881217.90104061</v>
      </c>
      <c r="F305" s="350">
        <v>181275745.36844459</v>
      </c>
      <c r="G305" s="350">
        <v>182677910.58731437</v>
      </c>
      <c r="H305" s="348">
        <v>899362801.37807989</v>
      </c>
      <c r="I305" s="369"/>
      <c r="J305" s="350">
        <v>215315967.29264897</v>
      </c>
      <c r="K305" s="350">
        <v>255789441.3704946</v>
      </c>
      <c r="L305" s="350">
        <v>296792318.91188073</v>
      </c>
      <c r="M305" s="350">
        <v>338404770.2892279</v>
      </c>
      <c r="N305" s="350">
        <v>380637972.31540662</v>
      </c>
      <c r="O305" s="348">
        <v>1486940470.1796589</v>
      </c>
      <c r="P305" s="369"/>
      <c r="Q305" s="350">
        <f t="shared" si="141"/>
        <v>38278036.12956503</v>
      </c>
      <c r="R305" s="350">
        <f t="shared" si="142"/>
        <v>77299445.012298286</v>
      </c>
      <c r="S305" s="350">
        <f t="shared" si="143"/>
        <v>116911101.01084012</v>
      </c>
      <c r="T305" s="350">
        <f t="shared" si="144"/>
        <v>157129024.92078331</v>
      </c>
      <c r="U305" s="350">
        <f t="shared" si="145"/>
        <v>197960061.72809225</v>
      </c>
      <c r="V305" s="350">
        <f t="shared" si="146"/>
        <v>587577668.801579</v>
      </c>
      <c r="W305" s="365"/>
      <c r="X305" s="377">
        <f t="shared" si="124"/>
        <v>0</v>
      </c>
      <c r="Y305" s="377">
        <f t="shared" si="125"/>
        <v>0</v>
      </c>
      <c r="Z305" s="377">
        <f t="shared" si="126"/>
        <v>0</v>
      </c>
      <c r="AA305" s="377">
        <f t="shared" si="127"/>
        <v>0</v>
      </c>
      <c r="AB305" s="377">
        <f t="shared" si="128"/>
        <v>0</v>
      </c>
      <c r="AC305" s="377">
        <f t="shared" si="129"/>
        <v>0</v>
      </c>
      <c r="AD305" s="376"/>
      <c r="AE305" s="332">
        <v>290</v>
      </c>
      <c r="AF305" s="350">
        <v>106094132.34365359</v>
      </c>
      <c r="AG305" s="350">
        <v>106964316.46730305</v>
      </c>
      <c r="AH305" s="350">
        <v>107798038.60535659</v>
      </c>
      <c r="AI305" s="350">
        <v>108633741.89623682</v>
      </c>
      <c r="AJ305" s="350">
        <v>109474022.2888121</v>
      </c>
      <c r="AK305" s="348">
        <v>538964251.60136223</v>
      </c>
      <c r="AL305" s="369"/>
      <c r="AM305" s="350">
        <v>138310880.0713197</v>
      </c>
      <c r="AN305" s="350">
        <v>172024085.00987694</v>
      </c>
      <c r="AO305" s="350">
        <v>206197619.59398776</v>
      </c>
      <c r="AP305" s="350">
        <v>240883410.914891</v>
      </c>
      <c r="AQ305" s="350">
        <v>276089816.104316</v>
      </c>
      <c r="AR305" s="348">
        <v>1033505811.6943915</v>
      </c>
      <c r="AS305" s="369"/>
      <c r="AT305" s="350">
        <f t="shared" si="147"/>
        <v>32216747.72766611</v>
      </c>
      <c r="AU305" s="350">
        <f t="shared" si="130"/>
        <v>65059768.542573884</v>
      </c>
      <c r="AV305" s="350">
        <f t="shared" si="131"/>
        <v>98399580.988631174</v>
      </c>
      <c r="AW305" s="350">
        <f t="shared" si="132"/>
        <v>132249669.01865418</v>
      </c>
      <c r="AX305" s="350">
        <f t="shared" si="133"/>
        <v>166615793.8155039</v>
      </c>
      <c r="AY305" s="350">
        <f t="shared" si="134"/>
        <v>494541560.09302926</v>
      </c>
      <c r="AZ305" s="365"/>
      <c r="BA305" s="377">
        <f t="shared" si="135"/>
        <v>0</v>
      </c>
      <c r="BB305" s="377">
        <f t="shared" si="136"/>
        <v>0</v>
      </c>
      <c r="BC305" s="377">
        <f t="shared" si="137"/>
        <v>0</v>
      </c>
      <c r="BD305" s="377">
        <f t="shared" si="138"/>
        <v>0</v>
      </c>
      <c r="BE305" s="377">
        <f t="shared" si="139"/>
        <v>0</v>
      </c>
      <c r="BF305" s="377">
        <f t="shared" si="140"/>
        <v>0</v>
      </c>
      <c r="BG305" s="328"/>
    </row>
    <row r="306" spans="2:59">
      <c r="B306" s="332">
        <v>291</v>
      </c>
      <c r="C306" s="350">
        <v>120810484.10988423</v>
      </c>
      <c r="D306" s="350">
        <v>121801371.75767902</v>
      </c>
      <c r="E306" s="350">
        <v>122750739.76594098</v>
      </c>
      <c r="F306" s="350">
        <v>123702363.73338562</v>
      </c>
      <c r="G306" s="350">
        <v>124659199.69379711</v>
      </c>
      <c r="H306" s="348">
        <v>613724159.06068695</v>
      </c>
      <c r="I306" s="369"/>
      <c r="J306" s="350">
        <v>155580368.55204412</v>
      </c>
      <c r="K306" s="350">
        <v>192014981.73096621</v>
      </c>
      <c r="L306" s="350">
        <v>228944204.84792382</v>
      </c>
      <c r="M306" s="350">
        <v>266426365.92609084</v>
      </c>
      <c r="N306" s="350">
        <v>304470638.43364942</v>
      </c>
      <c r="O306" s="348">
        <v>1147436559.4906745</v>
      </c>
      <c r="P306" s="369"/>
      <c r="Q306" s="350">
        <f t="shared" si="141"/>
        <v>34769884.442159891</v>
      </c>
      <c r="R306" s="350">
        <f t="shared" si="142"/>
        <v>70213609.973287195</v>
      </c>
      <c r="S306" s="350">
        <f t="shared" si="143"/>
        <v>106193465.08198284</v>
      </c>
      <c r="T306" s="350">
        <f t="shared" si="144"/>
        <v>142724002.19270521</v>
      </c>
      <c r="U306" s="350">
        <f t="shared" si="145"/>
        <v>179811438.73985231</v>
      </c>
      <c r="V306" s="350">
        <f t="shared" si="146"/>
        <v>533712400.42998755</v>
      </c>
      <c r="W306" s="365"/>
      <c r="X306" s="377">
        <f t="shared" si="124"/>
        <v>0</v>
      </c>
      <c r="Y306" s="377">
        <f t="shared" si="125"/>
        <v>0</v>
      </c>
      <c r="Z306" s="377">
        <f t="shared" si="126"/>
        <v>0</v>
      </c>
      <c r="AA306" s="377">
        <f t="shared" si="127"/>
        <v>0</v>
      </c>
      <c r="AB306" s="377">
        <f t="shared" si="128"/>
        <v>0</v>
      </c>
      <c r="AC306" s="377">
        <f t="shared" si="129"/>
        <v>0</v>
      </c>
      <c r="AD306" s="376"/>
      <c r="AE306" s="332">
        <v>291</v>
      </c>
      <c r="AF306" s="350">
        <v>137023463.2132718</v>
      </c>
      <c r="AG306" s="350">
        <v>138147329.7233389</v>
      </c>
      <c r="AH306" s="350">
        <v>139224104.58534193</v>
      </c>
      <c r="AI306" s="350">
        <v>140303438.16021129</v>
      </c>
      <c r="AJ306" s="350">
        <v>141388683.18665558</v>
      </c>
      <c r="AK306" s="348">
        <v>696087018.86881948</v>
      </c>
      <c r="AL306" s="369"/>
      <c r="AM306" s="350">
        <v>175105498.69746044</v>
      </c>
      <c r="AN306" s="350">
        <v>215049842.90514761</v>
      </c>
      <c r="AO306" s="350">
        <v>255534302.72768927</v>
      </c>
      <c r="AP306" s="350">
        <v>296624467.22551513</v>
      </c>
      <c r="AQ306" s="350">
        <v>338330498.90232158</v>
      </c>
      <c r="AR306" s="348">
        <v>1280644610.4581342</v>
      </c>
      <c r="AS306" s="369"/>
      <c r="AT306" s="350">
        <f t="shared" si="147"/>
        <v>38082035.484188646</v>
      </c>
      <c r="AU306" s="350">
        <f t="shared" si="130"/>
        <v>76902513.18180871</v>
      </c>
      <c r="AV306" s="350">
        <f t="shared" si="131"/>
        <v>116310198.14234734</v>
      </c>
      <c r="AW306" s="350">
        <f t="shared" si="132"/>
        <v>156321029.06530383</v>
      </c>
      <c r="AX306" s="350">
        <f t="shared" si="133"/>
        <v>196941815.715666</v>
      </c>
      <c r="AY306" s="350">
        <f t="shared" si="134"/>
        <v>584557591.5893147</v>
      </c>
      <c r="AZ306" s="365"/>
      <c r="BA306" s="377">
        <f t="shared" si="135"/>
        <v>0</v>
      </c>
      <c r="BB306" s="377">
        <f t="shared" si="136"/>
        <v>0</v>
      </c>
      <c r="BC306" s="377">
        <f t="shared" si="137"/>
        <v>0</v>
      </c>
      <c r="BD306" s="377">
        <f t="shared" si="138"/>
        <v>0</v>
      </c>
      <c r="BE306" s="377">
        <f t="shared" si="139"/>
        <v>0</v>
      </c>
      <c r="BF306" s="377">
        <f t="shared" si="140"/>
        <v>0</v>
      </c>
      <c r="BG306" s="328"/>
    </row>
    <row r="307" spans="2:59">
      <c r="B307" s="332">
        <v>292</v>
      </c>
      <c r="C307" s="350">
        <v>133376063.57668498</v>
      </c>
      <c r="D307" s="350">
        <v>134470014.11320809</v>
      </c>
      <c r="E307" s="350">
        <v>135518126.52464789</v>
      </c>
      <c r="F307" s="350">
        <v>136568729.53909776</v>
      </c>
      <c r="G307" s="350">
        <v>137625086.64939812</v>
      </c>
      <c r="H307" s="348">
        <v>677558020.40303683</v>
      </c>
      <c r="I307" s="369"/>
      <c r="J307" s="350">
        <v>166723205.82489336</v>
      </c>
      <c r="K307" s="350">
        <v>201823153.32467255</v>
      </c>
      <c r="L307" s="350">
        <v>237391650.70091957</v>
      </c>
      <c r="M307" s="350">
        <v>273490984.337699</v>
      </c>
      <c r="N307" s="350">
        <v>310130382.67346442</v>
      </c>
      <c r="O307" s="348">
        <v>1189559376.861649</v>
      </c>
      <c r="P307" s="369"/>
      <c r="Q307" s="350">
        <f t="shared" si="141"/>
        <v>33347142.248208374</v>
      </c>
      <c r="R307" s="350">
        <f t="shared" si="142"/>
        <v>67353139.211464465</v>
      </c>
      <c r="S307" s="350">
        <f t="shared" si="143"/>
        <v>101873524.17627168</v>
      </c>
      <c r="T307" s="350">
        <f t="shared" si="144"/>
        <v>136922254.79860124</v>
      </c>
      <c r="U307" s="350">
        <f t="shared" si="145"/>
        <v>172505296.0240663</v>
      </c>
      <c r="V307" s="350">
        <f t="shared" si="146"/>
        <v>512001356.4586122</v>
      </c>
      <c r="W307" s="365"/>
      <c r="X307" s="377">
        <f t="shared" si="124"/>
        <v>0</v>
      </c>
      <c r="Y307" s="377">
        <f t="shared" si="125"/>
        <v>0</v>
      </c>
      <c r="Z307" s="377">
        <f t="shared" si="126"/>
        <v>0</v>
      </c>
      <c r="AA307" s="377">
        <f t="shared" si="127"/>
        <v>0</v>
      </c>
      <c r="AB307" s="377">
        <f t="shared" si="128"/>
        <v>0</v>
      </c>
      <c r="AC307" s="377">
        <f t="shared" si="129"/>
        <v>0</v>
      </c>
      <c r="AD307" s="376"/>
      <c r="AE307" s="332">
        <v>292</v>
      </c>
      <c r="AF307" s="350">
        <v>135854770.57913825</v>
      </c>
      <c r="AG307" s="350">
        <v>136969051.47166759</v>
      </c>
      <c r="AH307" s="350">
        <v>138036642.36750647</v>
      </c>
      <c r="AI307" s="350">
        <v>139106770.15258527</v>
      </c>
      <c r="AJ307" s="350">
        <v>140182758.96962646</v>
      </c>
      <c r="AK307" s="348">
        <v>690149993.54052401</v>
      </c>
      <c r="AL307" s="369"/>
      <c r="AM307" s="350">
        <v>173781663.73955882</v>
      </c>
      <c r="AN307" s="350">
        <v>213566581.38066676</v>
      </c>
      <c r="AO307" s="350">
        <v>253889753.60394722</v>
      </c>
      <c r="AP307" s="350">
        <v>294816281.52392381</v>
      </c>
      <c r="AQ307" s="350">
        <v>336356272.57443118</v>
      </c>
      <c r="AR307" s="348">
        <v>1272410552.8225279</v>
      </c>
      <c r="AS307" s="369"/>
      <c r="AT307" s="350">
        <f t="shared" si="147"/>
        <v>37926893.160420567</v>
      </c>
      <c r="AU307" s="350">
        <f t="shared" si="130"/>
        <v>76597529.908999175</v>
      </c>
      <c r="AV307" s="350">
        <f t="shared" si="131"/>
        <v>115853111.23644075</v>
      </c>
      <c r="AW307" s="350">
        <f t="shared" si="132"/>
        <v>155709511.37133855</v>
      </c>
      <c r="AX307" s="350">
        <f t="shared" si="133"/>
        <v>196173513.60480472</v>
      </c>
      <c r="AY307" s="350">
        <f t="shared" si="134"/>
        <v>582260559.28200388</v>
      </c>
      <c r="AZ307" s="365"/>
      <c r="BA307" s="377">
        <f t="shared" si="135"/>
        <v>0</v>
      </c>
      <c r="BB307" s="377">
        <f t="shared" si="136"/>
        <v>0</v>
      </c>
      <c r="BC307" s="377">
        <f t="shared" si="137"/>
        <v>0</v>
      </c>
      <c r="BD307" s="377">
        <f t="shared" si="138"/>
        <v>0</v>
      </c>
      <c r="BE307" s="377">
        <f t="shared" si="139"/>
        <v>0</v>
      </c>
      <c r="BF307" s="377">
        <f t="shared" si="140"/>
        <v>0</v>
      </c>
      <c r="BG307" s="328"/>
    </row>
    <row r="308" spans="2:59">
      <c r="B308" s="332">
        <v>293</v>
      </c>
      <c r="C308" s="350">
        <v>140934689.22150818</v>
      </c>
      <c r="D308" s="350">
        <v>142090635.60914424</v>
      </c>
      <c r="E308" s="350">
        <v>143198146.15499678</v>
      </c>
      <c r="F308" s="350">
        <v>144308288.45014364</v>
      </c>
      <c r="G308" s="350">
        <v>145424510.93455893</v>
      </c>
      <c r="H308" s="348">
        <v>715956270.37035179</v>
      </c>
      <c r="I308" s="369"/>
      <c r="J308" s="350">
        <v>174728418.05875474</v>
      </c>
      <c r="K308" s="350">
        <v>210356593.09075654</v>
      </c>
      <c r="L308" s="350">
        <v>246457777.68909943</v>
      </c>
      <c r="M308" s="350">
        <v>283097184.62376112</v>
      </c>
      <c r="N308" s="350">
        <v>320284308.81502056</v>
      </c>
      <c r="O308" s="348">
        <v>1234924282.2773924</v>
      </c>
      <c r="P308" s="369"/>
      <c r="Q308" s="350">
        <f t="shared" si="141"/>
        <v>33793728.837246567</v>
      </c>
      <c r="R308" s="350">
        <f t="shared" si="142"/>
        <v>68265957.481612295</v>
      </c>
      <c r="S308" s="350">
        <f t="shared" si="143"/>
        <v>103259631.53410265</v>
      </c>
      <c r="T308" s="350">
        <f t="shared" si="144"/>
        <v>138788896.17361748</v>
      </c>
      <c r="U308" s="350">
        <f t="shared" si="145"/>
        <v>174859797.88046163</v>
      </c>
      <c r="V308" s="350">
        <f t="shared" si="146"/>
        <v>518968011.9070406</v>
      </c>
      <c r="W308" s="365"/>
      <c r="X308" s="377">
        <f t="shared" si="124"/>
        <v>0</v>
      </c>
      <c r="Y308" s="377">
        <f t="shared" si="125"/>
        <v>0</v>
      </c>
      <c r="Z308" s="377">
        <f t="shared" si="126"/>
        <v>0</v>
      </c>
      <c r="AA308" s="377">
        <f t="shared" si="127"/>
        <v>0</v>
      </c>
      <c r="AB308" s="377">
        <f t="shared" si="128"/>
        <v>0</v>
      </c>
      <c r="AC308" s="377">
        <f t="shared" si="129"/>
        <v>0</v>
      </c>
      <c r="AD308" s="376"/>
      <c r="AE308" s="332">
        <v>293</v>
      </c>
      <c r="AF308" s="350">
        <v>129335721.96021575</v>
      </c>
      <c r="AG308" s="350">
        <v>130396533.61289012</v>
      </c>
      <c r="AH308" s="350">
        <v>131412895.70811038</v>
      </c>
      <c r="AI308" s="350">
        <v>132431672.95886742</v>
      </c>
      <c r="AJ308" s="350">
        <v>133456029.99748963</v>
      </c>
      <c r="AK308" s="348">
        <v>657032854.23757339</v>
      </c>
      <c r="AL308" s="369"/>
      <c r="AM308" s="350">
        <v>161764339.26136863</v>
      </c>
      <c r="AN308" s="350">
        <v>195905304.64290023</v>
      </c>
      <c r="AO308" s="350">
        <v>230502208.80941275</v>
      </c>
      <c r="AP308" s="350">
        <v>265615490.27721456</v>
      </c>
      <c r="AQ308" s="350">
        <v>301254115.97679776</v>
      </c>
      <c r="AR308" s="348">
        <v>1155041458.9676938</v>
      </c>
      <c r="AS308" s="369"/>
      <c r="AT308" s="350">
        <f t="shared" si="147"/>
        <v>32428617.301152885</v>
      </c>
      <c r="AU308" s="350">
        <f t="shared" si="130"/>
        <v>65508771.030010104</v>
      </c>
      <c r="AV308" s="350">
        <f t="shared" si="131"/>
        <v>99089313.10130237</v>
      </c>
      <c r="AW308" s="350">
        <f t="shared" si="132"/>
        <v>133183817.31834714</v>
      </c>
      <c r="AX308" s="350">
        <f t="shared" si="133"/>
        <v>167798085.97930813</v>
      </c>
      <c r="AY308" s="350">
        <f t="shared" si="134"/>
        <v>498008604.73012042</v>
      </c>
      <c r="AZ308" s="365"/>
      <c r="BA308" s="377">
        <f t="shared" si="135"/>
        <v>0</v>
      </c>
      <c r="BB308" s="377">
        <f t="shared" si="136"/>
        <v>0</v>
      </c>
      <c r="BC308" s="377">
        <f t="shared" si="137"/>
        <v>0</v>
      </c>
      <c r="BD308" s="377">
        <f t="shared" si="138"/>
        <v>0</v>
      </c>
      <c r="BE308" s="377">
        <f t="shared" si="139"/>
        <v>0</v>
      </c>
      <c r="BF308" s="377">
        <f t="shared" si="140"/>
        <v>0</v>
      </c>
      <c r="BG308" s="328"/>
    </row>
    <row r="309" spans="2:59">
      <c r="B309" s="332">
        <v>294</v>
      </c>
      <c r="C309" s="350">
        <v>121792986.85679799</v>
      </c>
      <c r="D309" s="350">
        <v>122791932.99258751</v>
      </c>
      <c r="E309" s="350">
        <v>123749021.82642864</v>
      </c>
      <c r="F309" s="350">
        <v>124708384.96625502</v>
      </c>
      <c r="G309" s="350">
        <v>125673002.48607647</v>
      </c>
      <c r="H309" s="348">
        <v>618715329.12814569</v>
      </c>
      <c r="I309" s="369"/>
      <c r="J309" s="350">
        <v>157842551.8368313</v>
      </c>
      <c r="K309" s="350">
        <v>195600915.99333641</v>
      </c>
      <c r="L309" s="350">
        <v>233873459.06525815</v>
      </c>
      <c r="M309" s="350">
        <v>272719401.29946011</v>
      </c>
      <c r="N309" s="350">
        <v>312148170.74392182</v>
      </c>
      <c r="O309" s="348">
        <v>1172184498.9388077</v>
      </c>
      <c r="P309" s="369"/>
      <c r="Q309" s="350">
        <f t="shared" si="141"/>
        <v>36049564.980033308</v>
      </c>
      <c r="R309" s="350">
        <f t="shared" si="142"/>
        <v>72808983.000748903</v>
      </c>
      <c r="S309" s="350">
        <f t="shared" si="143"/>
        <v>110124437.23882951</v>
      </c>
      <c r="T309" s="350">
        <f t="shared" si="144"/>
        <v>148011016.3332051</v>
      </c>
      <c r="U309" s="350">
        <f t="shared" si="145"/>
        <v>186475168.25784534</v>
      </c>
      <c r="V309" s="350">
        <f t="shared" si="146"/>
        <v>553469169.81066203</v>
      </c>
      <c r="W309" s="365"/>
      <c r="X309" s="377">
        <f t="shared" si="124"/>
        <v>0</v>
      </c>
      <c r="Y309" s="377">
        <f t="shared" si="125"/>
        <v>0</v>
      </c>
      <c r="Z309" s="377">
        <f t="shared" si="126"/>
        <v>0</v>
      </c>
      <c r="AA309" s="377">
        <f t="shared" si="127"/>
        <v>0</v>
      </c>
      <c r="AB309" s="377">
        <f t="shared" si="128"/>
        <v>0</v>
      </c>
      <c r="AC309" s="377">
        <f t="shared" si="129"/>
        <v>0</v>
      </c>
      <c r="AD309" s="376"/>
      <c r="AE309" s="332">
        <v>294</v>
      </c>
      <c r="AF309" s="350">
        <v>121126314.88748455</v>
      </c>
      <c r="AG309" s="350">
        <v>122119792.97946656</v>
      </c>
      <c r="AH309" s="350">
        <v>123071642.88852122</v>
      </c>
      <c r="AI309" s="350">
        <v>124025754.65443662</v>
      </c>
      <c r="AJ309" s="350">
        <v>124985092.03885648</v>
      </c>
      <c r="AK309" s="348">
        <v>615328597.4487654</v>
      </c>
      <c r="AL309" s="369"/>
      <c r="AM309" s="350">
        <v>155070071.99944863</v>
      </c>
      <c r="AN309" s="350">
        <v>190692079.50435385</v>
      </c>
      <c r="AO309" s="350">
        <v>226796270.03073606</v>
      </c>
      <c r="AP309" s="350">
        <v>263440741.77638629</v>
      </c>
      <c r="AQ309" s="350">
        <v>300634532.32443953</v>
      </c>
      <c r="AR309" s="348">
        <v>1136633695.6353643</v>
      </c>
      <c r="AS309" s="369"/>
      <c r="AT309" s="350">
        <f t="shared" si="147"/>
        <v>33943757.111964077</v>
      </c>
      <c r="AU309" s="350">
        <f t="shared" si="130"/>
        <v>68572286.524887294</v>
      </c>
      <c r="AV309" s="350">
        <f t="shared" si="131"/>
        <v>103724627.14221483</v>
      </c>
      <c r="AW309" s="350">
        <f t="shared" si="132"/>
        <v>139414987.12194967</v>
      </c>
      <c r="AX309" s="350">
        <f t="shared" si="133"/>
        <v>175649440.28558305</v>
      </c>
      <c r="AY309" s="350">
        <f t="shared" si="134"/>
        <v>521305098.1865989</v>
      </c>
      <c r="AZ309" s="365"/>
      <c r="BA309" s="377">
        <f t="shared" si="135"/>
        <v>0</v>
      </c>
      <c r="BB309" s="377">
        <f t="shared" si="136"/>
        <v>0</v>
      </c>
      <c r="BC309" s="377">
        <f t="shared" si="137"/>
        <v>0</v>
      </c>
      <c r="BD309" s="377">
        <f t="shared" si="138"/>
        <v>0</v>
      </c>
      <c r="BE309" s="377">
        <f t="shared" si="139"/>
        <v>0</v>
      </c>
      <c r="BF309" s="377">
        <f t="shared" si="140"/>
        <v>0</v>
      </c>
      <c r="BG309" s="328"/>
    </row>
    <row r="310" spans="2:59">
      <c r="B310" s="332">
        <v>295</v>
      </c>
      <c r="C310" s="350">
        <v>121073177.21244031</v>
      </c>
      <c r="D310" s="350">
        <v>122066219.46918646</v>
      </c>
      <c r="E310" s="350">
        <v>123017651.80513817</v>
      </c>
      <c r="F310" s="350">
        <v>123971345.00568226</v>
      </c>
      <c r="G310" s="350">
        <v>124930261.5322708</v>
      </c>
      <c r="H310" s="348">
        <v>615058655.02471793</v>
      </c>
      <c r="I310" s="369"/>
      <c r="J310" s="350">
        <v>152459821.49511087</v>
      </c>
      <c r="K310" s="350">
        <v>185454256.41118366</v>
      </c>
      <c r="L310" s="350">
        <v>218891144.49584261</v>
      </c>
      <c r="M310" s="350">
        <v>252827493.31321251</v>
      </c>
      <c r="N310" s="350">
        <v>287271878.76774758</v>
      </c>
      <c r="O310" s="348">
        <v>1096904594.4830973</v>
      </c>
      <c r="P310" s="369"/>
      <c r="Q310" s="350">
        <f t="shared" si="141"/>
        <v>31386644.282670557</v>
      </c>
      <c r="R310" s="350">
        <f t="shared" si="142"/>
        <v>63388036.9419972</v>
      </c>
      <c r="S310" s="350">
        <f t="shared" si="143"/>
        <v>95873492.690704435</v>
      </c>
      <c r="T310" s="350">
        <f t="shared" si="144"/>
        <v>128856148.30753025</v>
      </c>
      <c r="U310" s="350">
        <f t="shared" si="145"/>
        <v>162341617.23547679</v>
      </c>
      <c r="V310" s="350">
        <f t="shared" si="146"/>
        <v>481845939.45837939</v>
      </c>
      <c r="W310" s="365"/>
      <c r="X310" s="377">
        <f t="shared" si="124"/>
        <v>0</v>
      </c>
      <c r="Y310" s="377">
        <f t="shared" si="125"/>
        <v>0</v>
      </c>
      <c r="Z310" s="377">
        <f t="shared" si="126"/>
        <v>0</v>
      </c>
      <c r="AA310" s="377">
        <f t="shared" si="127"/>
        <v>0</v>
      </c>
      <c r="AB310" s="377">
        <f t="shared" si="128"/>
        <v>0</v>
      </c>
      <c r="AC310" s="377">
        <f t="shared" si="129"/>
        <v>0</v>
      </c>
      <c r="AD310" s="376"/>
      <c r="AE310" s="332">
        <v>295</v>
      </c>
      <c r="AF310" s="350">
        <v>130147049.43637061</v>
      </c>
      <c r="AG310" s="350">
        <v>131214515.59738803</v>
      </c>
      <c r="AH310" s="350">
        <v>132237253.36733352</v>
      </c>
      <c r="AI310" s="350">
        <v>133262421.4431704</v>
      </c>
      <c r="AJ310" s="350">
        <v>134293204.30907553</v>
      </c>
      <c r="AK310" s="348">
        <v>661154444.15333819</v>
      </c>
      <c r="AL310" s="369"/>
      <c r="AM310" s="350">
        <v>158999194.49549985</v>
      </c>
      <c r="AN310" s="350">
        <v>189510043.701828</v>
      </c>
      <c r="AO310" s="350">
        <v>220421546.43680146</v>
      </c>
      <c r="AP310" s="350">
        <v>251792938.82161599</v>
      </c>
      <c r="AQ310" s="350">
        <v>283632569.48167682</v>
      </c>
      <c r="AR310" s="348">
        <v>1104356292.937422</v>
      </c>
      <c r="AS310" s="369"/>
      <c r="AT310" s="350">
        <f t="shared" si="147"/>
        <v>28852145.059129238</v>
      </c>
      <c r="AU310" s="350">
        <f t="shared" si="130"/>
        <v>58295528.104439974</v>
      </c>
      <c r="AV310" s="350">
        <f t="shared" si="131"/>
        <v>88184293.069467947</v>
      </c>
      <c r="AW310" s="350">
        <f t="shared" si="132"/>
        <v>118530517.3784456</v>
      </c>
      <c r="AX310" s="350">
        <f t="shared" si="133"/>
        <v>149339365.17260128</v>
      </c>
      <c r="AY310" s="350">
        <f t="shared" si="134"/>
        <v>443201848.78408384</v>
      </c>
      <c r="AZ310" s="365"/>
      <c r="BA310" s="377">
        <f t="shared" si="135"/>
        <v>0</v>
      </c>
      <c r="BB310" s="377">
        <f t="shared" si="136"/>
        <v>0</v>
      </c>
      <c r="BC310" s="377">
        <f t="shared" si="137"/>
        <v>0</v>
      </c>
      <c r="BD310" s="377">
        <f t="shared" si="138"/>
        <v>0</v>
      </c>
      <c r="BE310" s="377">
        <f t="shared" si="139"/>
        <v>0</v>
      </c>
      <c r="BF310" s="377">
        <f t="shared" si="140"/>
        <v>0</v>
      </c>
      <c r="BG310" s="328"/>
    </row>
    <row r="311" spans="2:59">
      <c r="B311" s="332">
        <v>296</v>
      </c>
      <c r="C311" s="350">
        <v>137790808.36914405</v>
      </c>
      <c r="D311" s="350">
        <v>138920968.64454246</v>
      </c>
      <c r="E311" s="350">
        <v>140003773.55391803</v>
      </c>
      <c r="F311" s="350">
        <v>141089151.50520897</v>
      </c>
      <c r="G311" s="350">
        <v>142180474.01279739</v>
      </c>
      <c r="H311" s="348">
        <v>699985176.08561087</v>
      </c>
      <c r="I311" s="369"/>
      <c r="J311" s="350">
        <v>171088437.45754129</v>
      </c>
      <c r="K311" s="350">
        <v>206176967.63006988</v>
      </c>
      <c r="L311" s="350">
        <v>241731811.33698151</v>
      </c>
      <c r="M311" s="350">
        <v>277816834.07729828</v>
      </c>
      <c r="N311" s="350">
        <v>314441363.8916052</v>
      </c>
      <c r="O311" s="348">
        <v>1211255414.3934963</v>
      </c>
      <c r="P311" s="369"/>
      <c r="Q311" s="350">
        <f t="shared" si="141"/>
        <v>33297629.088397235</v>
      </c>
      <c r="R311" s="350">
        <f t="shared" si="142"/>
        <v>67255998.985527426</v>
      </c>
      <c r="S311" s="350">
        <f t="shared" si="143"/>
        <v>101728037.78306347</v>
      </c>
      <c r="T311" s="350">
        <f t="shared" si="144"/>
        <v>136727682.57208931</v>
      </c>
      <c r="U311" s="350">
        <f t="shared" si="145"/>
        <v>172260889.87880781</v>
      </c>
      <c r="V311" s="350">
        <f t="shared" si="146"/>
        <v>511270238.30788541</v>
      </c>
      <c r="W311" s="365"/>
      <c r="X311" s="377">
        <f t="shared" si="124"/>
        <v>0</v>
      </c>
      <c r="Y311" s="377">
        <f t="shared" si="125"/>
        <v>0</v>
      </c>
      <c r="Z311" s="377">
        <f t="shared" si="126"/>
        <v>0</v>
      </c>
      <c r="AA311" s="377">
        <f t="shared" si="127"/>
        <v>0</v>
      </c>
      <c r="AB311" s="377">
        <f t="shared" si="128"/>
        <v>0</v>
      </c>
      <c r="AC311" s="377">
        <f t="shared" si="129"/>
        <v>0</v>
      </c>
      <c r="AD311" s="376"/>
      <c r="AE311" s="332">
        <v>296</v>
      </c>
      <c r="AF311" s="350">
        <v>133776286.47495198</v>
      </c>
      <c r="AG311" s="350">
        <v>134873519.63987595</v>
      </c>
      <c r="AH311" s="350">
        <v>135924777.13279259</v>
      </c>
      <c r="AI311" s="350">
        <v>136978532.702297</v>
      </c>
      <c r="AJ311" s="350">
        <v>138038059.63402519</v>
      </c>
      <c r="AK311" s="348">
        <v>679591175.58394277</v>
      </c>
      <c r="AL311" s="369"/>
      <c r="AM311" s="350">
        <v>171388092.03382409</v>
      </c>
      <c r="AN311" s="350">
        <v>210859453.6510542</v>
      </c>
      <c r="AO311" s="350">
        <v>250865310.54440236</v>
      </c>
      <c r="AP311" s="350">
        <v>291469880.18742692</v>
      </c>
      <c r="AQ311" s="350">
        <v>332683166.58204335</v>
      </c>
      <c r="AR311" s="348">
        <v>1257265902.9987509</v>
      </c>
      <c r="AS311" s="369"/>
      <c r="AT311" s="350">
        <f t="shared" si="147"/>
        <v>37611805.558872104</v>
      </c>
      <c r="AU311" s="350">
        <f t="shared" si="130"/>
        <v>75985934.011178255</v>
      </c>
      <c r="AV311" s="350">
        <f t="shared" si="131"/>
        <v>114940533.41160977</v>
      </c>
      <c r="AW311" s="350">
        <f t="shared" si="132"/>
        <v>154491347.48512992</v>
      </c>
      <c r="AX311" s="350">
        <f t="shared" si="133"/>
        <v>194645106.94801816</v>
      </c>
      <c r="AY311" s="350">
        <f t="shared" si="134"/>
        <v>577674727.41480815</v>
      </c>
      <c r="AZ311" s="365"/>
      <c r="BA311" s="377">
        <f t="shared" si="135"/>
        <v>0</v>
      </c>
      <c r="BB311" s="377">
        <f t="shared" si="136"/>
        <v>0</v>
      </c>
      <c r="BC311" s="377">
        <f t="shared" si="137"/>
        <v>0</v>
      </c>
      <c r="BD311" s="377">
        <f t="shared" si="138"/>
        <v>0</v>
      </c>
      <c r="BE311" s="377">
        <f t="shared" si="139"/>
        <v>0</v>
      </c>
      <c r="BF311" s="377">
        <f t="shared" si="140"/>
        <v>0</v>
      </c>
      <c r="BG311" s="328"/>
    </row>
    <row r="312" spans="2:59">
      <c r="B312" s="332">
        <v>297</v>
      </c>
      <c r="C312" s="350">
        <v>121593754.01656215</v>
      </c>
      <c r="D312" s="350">
        <v>122591066.04450187</v>
      </c>
      <c r="E312" s="350">
        <v>123546589.24199855</v>
      </c>
      <c r="F312" s="350">
        <v>124504383.02509841</v>
      </c>
      <c r="G312" s="350">
        <v>125467422.59291151</v>
      </c>
      <c r="H312" s="348">
        <v>617703214.92107248</v>
      </c>
      <c r="I312" s="369"/>
      <c r="J312" s="350">
        <v>154735726.52105203</v>
      </c>
      <c r="K312" s="350">
        <v>189532325.90685996</v>
      </c>
      <c r="L312" s="350">
        <v>224798398.85585675</v>
      </c>
      <c r="M312" s="350">
        <v>260591876.70465106</v>
      </c>
      <c r="N312" s="350">
        <v>296921663.28208607</v>
      </c>
      <c r="O312" s="348">
        <v>1126579991.2705059</v>
      </c>
      <c r="P312" s="369"/>
      <c r="Q312" s="350">
        <f t="shared" si="141"/>
        <v>33141972.504489884</v>
      </c>
      <c r="R312" s="350">
        <f t="shared" si="142"/>
        <v>66941259.862358093</v>
      </c>
      <c r="S312" s="350">
        <f t="shared" si="143"/>
        <v>101251809.61385819</v>
      </c>
      <c r="T312" s="350">
        <f t="shared" si="144"/>
        <v>136087493.67955264</v>
      </c>
      <c r="U312" s="350">
        <f t="shared" si="145"/>
        <v>171454240.68917456</v>
      </c>
      <c r="V312" s="350">
        <f t="shared" si="146"/>
        <v>508876776.34943342</v>
      </c>
      <c r="W312" s="365"/>
      <c r="X312" s="377">
        <f t="shared" si="124"/>
        <v>0</v>
      </c>
      <c r="Y312" s="377">
        <f t="shared" si="125"/>
        <v>0</v>
      </c>
      <c r="Z312" s="377">
        <f t="shared" si="126"/>
        <v>0</v>
      </c>
      <c r="AA312" s="377">
        <f t="shared" si="127"/>
        <v>0</v>
      </c>
      <c r="AB312" s="377">
        <f t="shared" si="128"/>
        <v>0</v>
      </c>
      <c r="AC312" s="377">
        <f t="shared" si="129"/>
        <v>0</v>
      </c>
      <c r="AD312" s="376"/>
      <c r="AE312" s="332">
        <v>297</v>
      </c>
      <c r="AF312" s="350">
        <v>139492278.33683866</v>
      </c>
      <c r="AG312" s="350">
        <v>140636394.06971663</v>
      </c>
      <c r="AH312" s="350">
        <v>141732569.68252286</v>
      </c>
      <c r="AI312" s="350">
        <v>142831350.10970879</v>
      </c>
      <c r="AJ312" s="350">
        <v>143936148.49782729</v>
      </c>
      <c r="AK312" s="348">
        <v>708628740.69661427</v>
      </c>
      <c r="AL312" s="369"/>
      <c r="AM312" s="350">
        <v>172475075.74077219</v>
      </c>
      <c r="AN312" s="350">
        <v>207274328.741027</v>
      </c>
      <c r="AO312" s="350">
        <v>242534731.94598117</v>
      </c>
      <c r="AP312" s="350">
        <v>278320636.59651852</v>
      </c>
      <c r="AQ312" s="350">
        <v>314641358.7700873</v>
      </c>
      <c r="AR312" s="348">
        <v>1215246131.7943861</v>
      </c>
      <c r="AS312" s="369"/>
      <c r="AT312" s="350">
        <f t="shared" si="147"/>
        <v>32982797.403933525</v>
      </c>
      <c r="AU312" s="350">
        <f t="shared" si="130"/>
        <v>66637934.671310365</v>
      </c>
      <c r="AV312" s="350">
        <f t="shared" si="131"/>
        <v>100802162.26345831</v>
      </c>
      <c r="AW312" s="350">
        <f t="shared" si="132"/>
        <v>135489286.48680973</v>
      </c>
      <c r="AX312" s="350">
        <f t="shared" si="133"/>
        <v>170705210.27226001</v>
      </c>
      <c r="AY312" s="350">
        <f t="shared" si="134"/>
        <v>506617391.09777188</v>
      </c>
      <c r="AZ312" s="365"/>
      <c r="BA312" s="377">
        <f t="shared" si="135"/>
        <v>0</v>
      </c>
      <c r="BB312" s="377">
        <f t="shared" si="136"/>
        <v>0</v>
      </c>
      <c r="BC312" s="377">
        <f t="shared" si="137"/>
        <v>0</v>
      </c>
      <c r="BD312" s="377">
        <f t="shared" si="138"/>
        <v>0</v>
      </c>
      <c r="BE312" s="377">
        <f t="shared" si="139"/>
        <v>0</v>
      </c>
      <c r="BF312" s="377">
        <f t="shared" si="140"/>
        <v>0</v>
      </c>
      <c r="BG312" s="328"/>
    </row>
    <row r="313" spans="2:59">
      <c r="B313" s="332">
        <v>298</v>
      </c>
      <c r="C313" s="350">
        <v>137272954.75937629</v>
      </c>
      <c r="D313" s="350">
        <v>138398867.59922251</v>
      </c>
      <c r="E313" s="350">
        <v>139477603.04679847</v>
      </c>
      <c r="F313" s="350">
        <v>140558901.86613065</v>
      </c>
      <c r="G313" s="350">
        <v>141646122.90057537</v>
      </c>
      <c r="H313" s="348">
        <v>697354450.1721034</v>
      </c>
      <c r="I313" s="369"/>
      <c r="J313" s="350">
        <v>172061815.54311955</v>
      </c>
      <c r="K313" s="350">
        <v>208682944.92251939</v>
      </c>
      <c r="L313" s="350">
        <v>245793820.22172862</v>
      </c>
      <c r="M313" s="350">
        <v>283458744.35773975</v>
      </c>
      <c r="N313" s="350">
        <v>321687301.90856308</v>
      </c>
      <c r="O313" s="348">
        <v>1231684626.9536705</v>
      </c>
      <c r="P313" s="369"/>
      <c r="Q313" s="350">
        <f t="shared" si="141"/>
        <v>34788860.783743262</v>
      </c>
      <c r="R313" s="350">
        <f t="shared" si="142"/>
        <v>70284077.323296875</v>
      </c>
      <c r="S313" s="350">
        <f t="shared" si="143"/>
        <v>106316217.17493016</v>
      </c>
      <c r="T313" s="350">
        <f t="shared" si="144"/>
        <v>142899842.4916091</v>
      </c>
      <c r="U313" s="350">
        <f t="shared" si="145"/>
        <v>180041179.00798771</v>
      </c>
      <c r="V313" s="350">
        <f t="shared" si="146"/>
        <v>534330176.7815671</v>
      </c>
      <c r="W313" s="365"/>
      <c r="X313" s="377">
        <f t="shared" si="124"/>
        <v>0</v>
      </c>
      <c r="Y313" s="377">
        <f t="shared" si="125"/>
        <v>0</v>
      </c>
      <c r="Z313" s="377">
        <f t="shared" si="126"/>
        <v>0</v>
      </c>
      <c r="AA313" s="377">
        <f t="shared" si="127"/>
        <v>0</v>
      </c>
      <c r="AB313" s="377">
        <f t="shared" si="128"/>
        <v>0</v>
      </c>
      <c r="AC313" s="377">
        <f t="shared" si="129"/>
        <v>0</v>
      </c>
      <c r="AD313" s="376"/>
      <c r="AE313" s="332">
        <v>298</v>
      </c>
      <c r="AF313" s="350">
        <v>112966858.32704091</v>
      </c>
      <c r="AG313" s="350">
        <v>113893412.5524559</v>
      </c>
      <c r="AH313" s="350">
        <v>114781142.80268823</v>
      </c>
      <c r="AI313" s="350">
        <v>115670982.54385805</v>
      </c>
      <c r="AJ313" s="350">
        <v>116565695.88913117</v>
      </c>
      <c r="AK313" s="348">
        <v>573878092.11517429</v>
      </c>
      <c r="AL313" s="369"/>
      <c r="AM313" s="350">
        <v>140123681.89871216</v>
      </c>
      <c r="AN313" s="350">
        <v>168763419.81486025</v>
      </c>
      <c r="AO313" s="350">
        <v>197783543.3645196</v>
      </c>
      <c r="AP313" s="350">
        <v>227236353.7737537</v>
      </c>
      <c r="AQ313" s="350">
        <v>257129475.8365221</v>
      </c>
      <c r="AR313" s="348">
        <v>991036474.68836784</v>
      </c>
      <c r="AS313" s="369"/>
      <c r="AT313" s="350">
        <f t="shared" si="147"/>
        <v>27156823.571671247</v>
      </c>
      <c r="AU313" s="350">
        <f t="shared" si="130"/>
        <v>54870007.262404352</v>
      </c>
      <c r="AV313" s="350">
        <f t="shared" si="131"/>
        <v>83002400.56183137</v>
      </c>
      <c r="AW313" s="350">
        <f t="shared" si="132"/>
        <v>111565371.22989565</v>
      </c>
      <c r="AX313" s="350">
        <f t="shared" si="133"/>
        <v>140563779.94739091</v>
      </c>
      <c r="AY313" s="350">
        <f t="shared" si="134"/>
        <v>417158382.57319355</v>
      </c>
      <c r="AZ313" s="365"/>
      <c r="BA313" s="377">
        <f t="shared" si="135"/>
        <v>0</v>
      </c>
      <c r="BB313" s="377">
        <f t="shared" si="136"/>
        <v>0</v>
      </c>
      <c r="BC313" s="377">
        <f t="shared" si="137"/>
        <v>0</v>
      </c>
      <c r="BD313" s="377">
        <f t="shared" si="138"/>
        <v>0</v>
      </c>
      <c r="BE313" s="377">
        <f t="shared" si="139"/>
        <v>0</v>
      </c>
      <c r="BF313" s="377">
        <f t="shared" si="140"/>
        <v>0</v>
      </c>
      <c r="BG313" s="328"/>
    </row>
    <row r="314" spans="2:59">
      <c r="B314" s="332">
        <v>299</v>
      </c>
      <c r="C314" s="350">
        <v>149887089.04764107</v>
      </c>
      <c r="D314" s="350">
        <v>151116463.02288419</v>
      </c>
      <c r="E314" s="350">
        <v>152294324.4331896</v>
      </c>
      <c r="F314" s="350">
        <v>153474984.76576892</v>
      </c>
      <c r="G314" s="350">
        <v>154662111.51109123</v>
      </c>
      <c r="H314" s="348">
        <v>761434972.78057504</v>
      </c>
      <c r="I314" s="369"/>
      <c r="J314" s="350">
        <v>189645374.10650298</v>
      </c>
      <c r="K314" s="350">
        <v>231433459.79533622</v>
      </c>
      <c r="L314" s="350">
        <v>273783546.73689896</v>
      </c>
      <c r="M314" s="350">
        <v>316766588.32663327</v>
      </c>
      <c r="N314" s="350">
        <v>360393366.06407702</v>
      </c>
      <c r="O314" s="348">
        <v>1372022335.0294485</v>
      </c>
      <c r="P314" s="369"/>
      <c r="Q314" s="350">
        <f t="shared" si="141"/>
        <v>39758285.058861911</v>
      </c>
      <c r="R314" s="350">
        <f t="shared" si="142"/>
        <v>80316996.772452027</v>
      </c>
      <c r="S314" s="350">
        <f t="shared" si="143"/>
        <v>121489222.30370936</v>
      </c>
      <c r="T314" s="350">
        <f t="shared" si="144"/>
        <v>163291603.56086436</v>
      </c>
      <c r="U314" s="350">
        <f t="shared" si="145"/>
        <v>205731254.55298579</v>
      </c>
      <c r="V314" s="350">
        <f t="shared" si="146"/>
        <v>610587362.24887347</v>
      </c>
      <c r="W314" s="365"/>
      <c r="X314" s="377">
        <f t="shared" si="124"/>
        <v>0</v>
      </c>
      <c r="Y314" s="377">
        <f t="shared" si="125"/>
        <v>0</v>
      </c>
      <c r="Z314" s="377">
        <f t="shared" si="126"/>
        <v>0</v>
      </c>
      <c r="AA314" s="377">
        <f t="shared" si="127"/>
        <v>0</v>
      </c>
      <c r="AB314" s="377">
        <f t="shared" si="128"/>
        <v>0</v>
      </c>
      <c r="AC314" s="377">
        <f t="shared" si="129"/>
        <v>0</v>
      </c>
      <c r="AD314" s="376"/>
      <c r="AE314" s="332">
        <v>299</v>
      </c>
      <c r="AF314" s="350">
        <v>128670886.88081808</v>
      </c>
      <c r="AG314" s="350">
        <v>129726245.55585687</v>
      </c>
      <c r="AH314" s="350">
        <v>130737383.1611679</v>
      </c>
      <c r="AI314" s="350">
        <v>131750923.50719267</v>
      </c>
      <c r="AJ314" s="350">
        <v>132770014.95883872</v>
      </c>
      <c r="AK314" s="348">
        <v>653655454.06387424</v>
      </c>
      <c r="AL314" s="369"/>
      <c r="AM314" s="350">
        <v>156153290.98804173</v>
      </c>
      <c r="AN314" s="350">
        <v>185231289.04399255</v>
      </c>
      <c r="AO314" s="350">
        <v>214688946.15606669</v>
      </c>
      <c r="AP314" s="350">
        <v>244584388.91502449</v>
      </c>
      <c r="AQ314" s="350">
        <v>274925681.1613251</v>
      </c>
      <c r="AR314" s="348">
        <v>1075583596.2644506</v>
      </c>
      <c r="AS314" s="369"/>
      <c r="AT314" s="350">
        <f t="shared" si="147"/>
        <v>27482404.107223645</v>
      </c>
      <c r="AU314" s="350">
        <f t="shared" si="130"/>
        <v>55505043.488135681</v>
      </c>
      <c r="AV314" s="350">
        <f t="shared" si="131"/>
        <v>83951562.994898781</v>
      </c>
      <c r="AW314" s="350">
        <f t="shared" si="132"/>
        <v>112833465.40783182</v>
      </c>
      <c r="AX314" s="350">
        <f t="shared" si="133"/>
        <v>142155666.2024864</v>
      </c>
      <c r="AY314" s="350">
        <f t="shared" si="134"/>
        <v>421928142.20057631</v>
      </c>
      <c r="AZ314" s="365"/>
      <c r="BA314" s="377">
        <f t="shared" si="135"/>
        <v>0</v>
      </c>
      <c r="BB314" s="377">
        <f t="shared" si="136"/>
        <v>0</v>
      </c>
      <c r="BC314" s="377">
        <f t="shared" si="137"/>
        <v>0</v>
      </c>
      <c r="BD314" s="377">
        <f t="shared" si="138"/>
        <v>0</v>
      </c>
      <c r="BE314" s="377">
        <f t="shared" si="139"/>
        <v>0</v>
      </c>
      <c r="BF314" s="377">
        <f t="shared" si="140"/>
        <v>0</v>
      </c>
      <c r="BG314" s="328"/>
    </row>
    <row r="315" spans="2:59">
      <c r="B315" s="332">
        <v>300</v>
      </c>
      <c r="C315" s="350">
        <v>122785487.59365806</v>
      </c>
      <c r="D315" s="350">
        <v>123792574.22096063</v>
      </c>
      <c r="E315" s="350">
        <v>124757462.44783208</v>
      </c>
      <c r="F315" s="350">
        <v>125724643.51418903</v>
      </c>
      <c r="G315" s="350">
        <v>126697121.77890167</v>
      </c>
      <c r="H315" s="348">
        <v>623757289.55554152</v>
      </c>
      <c r="I315" s="369"/>
      <c r="J315" s="350">
        <v>148593553.18279767</v>
      </c>
      <c r="K315" s="350">
        <v>175937245.2037259</v>
      </c>
      <c r="L315" s="350">
        <v>203637125.22948471</v>
      </c>
      <c r="M315" s="350">
        <v>231748487.66366583</v>
      </c>
      <c r="N315" s="350">
        <v>260278956.10889766</v>
      </c>
      <c r="O315" s="348">
        <v>1020195367.3885717</v>
      </c>
      <c r="P315" s="369"/>
      <c r="Q315" s="350">
        <f t="shared" si="141"/>
        <v>25808065.589139611</v>
      </c>
      <c r="R315" s="350">
        <f t="shared" si="142"/>
        <v>52144670.982765272</v>
      </c>
      <c r="S315" s="350">
        <f t="shared" si="143"/>
        <v>78879662.781652629</v>
      </c>
      <c r="T315" s="350">
        <f t="shared" si="144"/>
        <v>106023844.1494768</v>
      </c>
      <c r="U315" s="350">
        <f t="shared" si="145"/>
        <v>133581834.32999599</v>
      </c>
      <c r="V315" s="350">
        <f t="shared" si="146"/>
        <v>396438077.83303022</v>
      </c>
      <c r="W315" s="365"/>
      <c r="X315" s="377">
        <f t="shared" si="124"/>
        <v>0</v>
      </c>
      <c r="Y315" s="377">
        <f t="shared" si="125"/>
        <v>0</v>
      </c>
      <c r="Z315" s="377">
        <f t="shared" si="126"/>
        <v>0</v>
      </c>
      <c r="AA315" s="377">
        <f t="shared" si="127"/>
        <v>0</v>
      </c>
      <c r="AB315" s="377">
        <f t="shared" si="128"/>
        <v>0</v>
      </c>
      <c r="AC315" s="377">
        <f t="shared" si="129"/>
        <v>0</v>
      </c>
      <c r="AD315" s="376"/>
      <c r="AE315" s="332">
        <v>300</v>
      </c>
      <c r="AF315" s="350">
        <v>149990626.36296207</v>
      </c>
      <c r="AG315" s="350">
        <v>151220849.5513145</v>
      </c>
      <c r="AH315" s="350">
        <v>152399524.59145963</v>
      </c>
      <c r="AI315" s="350">
        <v>153581000.48728669</v>
      </c>
      <c r="AJ315" s="350">
        <v>154768947.26265255</v>
      </c>
      <c r="AK315" s="348">
        <v>761960948.25567544</v>
      </c>
      <c r="AL315" s="369"/>
      <c r="AM315" s="350">
        <v>189726880.85131741</v>
      </c>
      <c r="AN315" s="350">
        <v>231457087.31585529</v>
      </c>
      <c r="AO315" s="350">
        <v>273748354.33275694</v>
      </c>
      <c r="AP315" s="350">
        <v>316671661.57818139</v>
      </c>
      <c r="AQ315" s="350">
        <v>360237783.60915411</v>
      </c>
      <c r="AR315" s="348">
        <v>1371841767.6872652</v>
      </c>
      <c r="AS315" s="369"/>
      <c r="AT315" s="350">
        <f t="shared" si="147"/>
        <v>39736254.488355339</v>
      </c>
      <c r="AU315" s="350">
        <f t="shared" si="130"/>
        <v>80236237.764540792</v>
      </c>
      <c r="AV315" s="350">
        <f t="shared" si="131"/>
        <v>121348829.7412973</v>
      </c>
      <c r="AW315" s="350">
        <f t="shared" si="132"/>
        <v>163090661.0908947</v>
      </c>
      <c r="AX315" s="350">
        <f t="shared" si="133"/>
        <v>205468836.34650156</v>
      </c>
      <c r="AY315" s="350">
        <f t="shared" si="134"/>
        <v>609880819.43158972</v>
      </c>
      <c r="AZ315" s="365"/>
      <c r="BA315" s="377">
        <f t="shared" si="135"/>
        <v>0</v>
      </c>
      <c r="BB315" s="377">
        <f t="shared" si="136"/>
        <v>0</v>
      </c>
      <c r="BC315" s="377">
        <f t="shared" si="137"/>
        <v>0</v>
      </c>
      <c r="BD315" s="377">
        <f t="shared" si="138"/>
        <v>0</v>
      </c>
      <c r="BE315" s="377">
        <f t="shared" si="139"/>
        <v>0</v>
      </c>
      <c r="BF315" s="377">
        <f t="shared" si="140"/>
        <v>0</v>
      </c>
      <c r="BG315" s="328"/>
    </row>
    <row r="316" spans="2:59">
      <c r="B316" s="332">
        <v>301</v>
      </c>
      <c r="C316" s="350">
        <v>158528450.81650752</v>
      </c>
      <c r="D316" s="350">
        <v>159828701.24506503</v>
      </c>
      <c r="E316" s="350">
        <v>161074469.28178304</v>
      </c>
      <c r="F316" s="350">
        <v>162323197.60557359</v>
      </c>
      <c r="G316" s="350">
        <v>163578765.1468111</v>
      </c>
      <c r="H316" s="348">
        <v>805333584.09574032</v>
      </c>
      <c r="I316" s="369"/>
      <c r="J316" s="350">
        <v>189826689.90055844</v>
      </c>
      <c r="K316" s="350">
        <v>223071308.34011692</v>
      </c>
      <c r="L316" s="350">
        <v>256744660.21809497</v>
      </c>
      <c r="M316" s="350">
        <v>290917289.83030021</v>
      </c>
      <c r="N316" s="350">
        <v>325598678.79330003</v>
      </c>
      <c r="O316" s="348">
        <v>1286158627.0823705</v>
      </c>
      <c r="P316" s="369"/>
      <c r="Q316" s="350">
        <f t="shared" si="141"/>
        <v>31298239.084050924</v>
      </c>
      <c r="R316" s="350">
        <f t="shared" si="142"/>
        <v>63242607.095051885</v>
      </c>
      <c r="S316" s="350">
        <f t="shared" si="143"/>
        <v>95670190.93631193</v>
      </c>
      <c r="T316" s="350">
        <f t="shared" si="144"/>
        <v>128594092.22472662</v>
      </c>
      <c r="U316" s="350">
        <f t="shared" si="145"/>
        <v>162019913.64648893</v>
      </c>
      <c r="V316" s="350">
        <f t="shared" si="146"/>
        <v>480825042.9866302</v>
      </c>
      <c r="W316" s="365"/>
      <c r="X316" s="377">
        <f t="shared" si="124"/>
        <v>0</v>
      </c>
      <c r="Y316" s="377">
        <f t="shared" si="125"/>
        <v>0</v>
      </c>
      <c r="Z316" s="377">
        <f t="shared" si="126"/>
        <v>0</v>
      </c>
      <c r="AA316" s="377">
        <f t="shared" si="127"/>
        <v>0</v>
      </c>
      <c r="AB316" s="377">
        <f t="shared" si="128"/>
        <v>0</v>
      </c>
      <c r="AC316" s="377">
        <f t="shared" si="129"/>
        <v>0</v>
      </c>
      <c r="AD316" s="376"/>
      <c r="AE316" s="332">
        <v>301</v>
      </c>
      <c r="AF316" s="350">
        <v>136458013.01067734</v>
      </c>
      <c r="AG316" s="350">
        <v>137577241.69791538</v>
      </c>
      <c r="AH316" s="350">
        <v>138649573.06863898</v>
      </c>
      <c r="AI316" s="350">
        <v>139724452.59327298</v>
      </c>
      <c r="AJ316" s="350">
        <v>140805219.1748898</v>
      </c>
      <c r="AK316" s="348">
        <v>693214499.54539442</v>
      </c>
      <c r="AL316" s="369"/>
      <c r="AM316" s="350">
        <v>169215390.04786268</v>
      </c>
      <c r="AN316" s="350">
        <v>203738191.7433998</v>
      </c>
      <c r="AO316" s="350">
        <v>238719371.15837228</v>
      </c>
      <c r="AP316" s="350">
        <v>274222084.51331496</v>
      </c>
      <c r="AQ316" s="350">
        <v>310255530.00946254</v>
      </c>
      <c r="AR316" s="348">
        <v>1196150567.4724123</v>
      </c>
      <c r="AS316" s="369"/>
      <c r="AT316" s="350">
        <f t="shared" si="147"/>
        <v>32757377.037185341</v>
      </c>
      <c r="AU316" s="350">
        <f t="shared" si="130"/>
        <v>66160950.045484424</v>
      </c>
      <c r="AV316" s="350">
        <f t="shared" si="131"/>
        <v>100069798.0897333</v>
      </c>
      <c r="AW316" s="350">
        <f t="shared" si="132"/>
        <v>134497631.92004198</v>
      </c>
      <c r="AX316" s="350">
        <f t="shared" si="133"/>
        <v>169450310.83457273</v>
      </c>
      <c r="AY316" s="350">
        <f t="shared" si="134"/>
        <v>502936067.92701793</v>
      </c>
      <c r="AZ316" s="365"/>
      <c r="BA316" s="377">
        <f t="shared" si="135"/>
        <v>0</v>
      </c>
      <c r="BB316" s="377">
        <f t="shared" si="136"/>
        <v>0</v>
      </c>
      <c r="BC316" s="377">
        <f t="shared" si="137"/>
        <v>0</v>
      </c>
      <c r="BD316" s="377">
        <f t="shared" si="138"/>
        <v>0</v>
      </c>
      <c r="BE316" s="377">
        <f t="shared" si="139"/>
        <v>0</v>
      </c>
      <c r="BF316" s="377">
        <f t="shared" si="140"/>
        <v>0</v>
      </c>
      <c r="BG316" s="328"/>
    </row>
    <row r="317" spans="2:59">
      <c r="B317" s="332">
        <v>302</v>
      </c>
      <c r="C317" s="350">
        <v>153204175.54098716</v>
      </c>
      <c r="D317" s="350">
        <v>154460756.2612173</v>
      </c>
      <c r="E317" s="350">
        <v>155664684.41416198</v>
      </c>
      <c r="F317" s="350">
        <v>156871473.43112171</v>
      </c>
      <c r="G317" s="350">
        <v>158084871.96621475</v>
      </c>
      <c r="H317" s="348">
        <v>778285961.61370289</v>
      </c>
      <c r="I317" s="369"/>
      <c r="J317" s="350">
        <v>189638945.27869385</v>
      </c>
      <c r="K317" s="350">
        <v>228054975.03215533</v>
      </c>
      <c r="L317" s="350">
        <v>266980442.79762924</v>
      </c>
      <c r="M317" s="350">
        <v>306486112.27615154</v>
      </c>
      <c r="N317" s="350">
        <v>346582250.10043114</v>
      </c>
      <c r="O317" s="348">
        <v>1337742725.4850612</v>
      </c>
      <c r="P317" s="369"/>
      <c r="Q317" s="350">
        <f t="shared" si="141"/>
        <v>36434769.737706691</v>
      </c>
      <c r="R317" s="350">
        <f t="shared" si="142"/>
        <v>73594218.770938039</v>
      </c>
      <c r="S317" s="350">
        <f t="shared" si="143"/>
        <v>111315758.38346726</v>
      </c>
      <c r="T317" s="350">
        <f t="shared" si="144"/>
        <v>149614638.84502983</v>
      </c>
      <c r="U317" s="350">
        <f t="shared" si="145"/>
        <v>188497378.1342164</v>
      </c>
      <c r="V317" s="350">
        <f t="shared" si="146"/>
        <v>559456763.87135828</v>
      </c>
      <c r="W317" s="365"/>
      <c r="X317" s="377">
        <f t="shared" si="124"/>
        <v>0</v>
      </c>
      <c r="Y317" s="377">
        <f t="shared" si="125"/>
        <v>0</v>
      </c>
      <c r="Z317" s="377">
        <f t="shared" si="126"/>
        <v>0</v>
      </c>
      <c r="AA317" s="377">
        <f t="shared" si="127"/>
        <v>0</v>
      </c>
      <c r="AB317" s="377">
        <f t="shared" si="128"/>
        <v>0</v>
      </c>
      <c r="AC317" s="377">
        <f t="shared" si="129"/>
        <v>0</v>
      </c>
      <c r="AD317" s="376"/>
      <c r="AE317" s="332">
        <v>302</v>
      </c>
      <c r="AF317" s="350">
        <v>125400081.85934713</v>
      </c>
      <c r="AG317" s="350">
        <v>126428613.39005317</v>
      </c>
      <c r="AH317" s="350">
        <v>127414047.94755742</v>
      </c>
      <c r="AI317" s="350">
        <v>128401824.16827297</v>
      </c>
      <c r="AJ317" s="350">
        <v>129395010.38588987</v>
      </c>
      <c r="AK317" s="348">
        <v>637039577.75112057</v>
      </c>
      <c r="AL317" s="369"/>
      <c r="AM317" s="350">
        <v>156160935.97365582</v>
      </c>
      <c r="AN317" s="350">
        <v>188583508.25671053</v>
      </c>
      <c r="AO317" s="350">
        <v>221437873.85656357</v>
      </c>
      <c r="AP317" s="350">
        <v>254782347.97148281</v>
      </c>
      <c r="AQ317" s="350">
        <v>288625505.14212704</v>
      </c>
      <c r="AR317" s="348">
        <v>1109590171.2005398</v>
      </c>
      <c r="AS317" s="369"/>
      <c r="AT317" s="350">
        <f t="shared" si="147"/>
        <v>30760854.114308685</v>
      </c>
      <c r="AU317" s="350">
        <f t="shared" si="130"/>
        <v>62154894.866657361</v>
      </c>
      <c r="AV317" s="350">
        <f t="shared" si="131"/>
        <v>94023825.909006149</v>
      </c>
      <c r="AW317" s="350">
        <f t="shared" si="132"/>
        <v>126380523.80320984</v>
      </c>
      <c r="AX317" s="350">
        <f t="shared" si="133"/>
        <v>159230494.75623715</v>
      </c>
      <c r="AY317" s="350">
        <f t="shared" si="134"/>
        <v>472550593.44941926</v>
      </c>
      <c r="AZ317" s="365"/>
      <c r="BA317" s="377">
        <f t="shared" si="135"/>
        <v>0</v>
      </c>
      <c r="BB317" s="377">
        <f t="shared" si="136"/>
        <v>0</v>
      </c>
      <c r="BC317" s="377">
        <f t="shared" si="137"/>
        <v>0</v>
      </c>
      <c r="BD317" s="377">
        <f t="shared" si="138"/>
        <v>0</v>
      </c>
      <c r="BE317" s="377">
        <f t="shared" si="139"/>
        <v>0</v>
      </c>
      <c r="BF317" s="377">
        <f t="shared" si="140"/>
        <v>0</v>
      </c>
      <c r="BG317" s="328"/>
    </row>
    <row r="318" spans="2:59">
      <c r="B318" s="332">
        <v>303</v>
      </c>
      <c r="C318" s="350">
        <v>123222553.98532327</v>
      </c>
      <c r="D318" s="350">
        <v>124233225.43137693</v>
      </c>
      <c r="E318" s="350">
        <v>125201548.26785854</v>
      </c>
      <c r="F318" s="350">
        <v>126172172.10540166</v>
      </c>
      <c r="G318" s="350">
        <v>127148111.99717183</v>
      </c>
      <c r="H318" s="348">
        <v>625977611.78713226</v>
      </c>
      <c r="I318" s="369"/>
      <c r="J318" s="350">
        <v>154005321.80387866</v>
      </c>
      <c r="K318" s="350">
        <v>186402351.70224378</v>
      </c>
      <c r="L318" s="350">
        <v>219231793.19019428</v>
      </c>
      <c r="M318" s="350">
        <v>252551179.94378188</v>
      </c>
      <c r="N318" s="350">
        <v>286369032.55925554</v>
      </c>
      <c r="O318" s="348">
        <v>1098559679.1993542</v>
      </c>
      <c r="P318" s="369"/>
      <c r="Q318" s="350">
        <f t="shared" si="141"/>
        <v>30782767.8185554</v>
      </c>
      <c r="R318" s="350">
        <f t="shared" si="142"/>
        <v>62169126.270866841</v>
      </c>
      <c r="S318" s="350">
        <f t="shared" si="143"/>
        <v>94030244.922335744</v>
      </c>
      <c r="T318" s="350">
        <f t="shared" si="144"/>
        <v>126379007.83838022</v>
      </c>
      <c r="U318" s="350">
        <f t="shared" si="145"/>
        <v>159220920.56208372</v>
      </c>
      <c r="V318" s="350">
        <f t="shared" si="146"/>
        <v>472582067.41222191</v>
      </c>
      <c r="W318" s="365"/>
      <c r="X318" s="377">
        <f t="shared" si="124"/>
        <v>0</v>
      </c>
      <c r="Y318" s="377">
        <f t="shared" si="125"/>
        <v>0</v>
      </c>
      <c r="Z318" s="377">
        <f t="shared" si="126"/>
        <v>0</v>
      </c>
      <c r="AA318" s="377">
        <f t="shared" si="127"/>
        <v>0</v>
      </c>
      <c r="AB318" s="377">
        <f t="shared" si="128"/>
        <v>0</v>
      </c>
      <c r="AC318" s="377">
        <f t="shared" si="129"/>
        <v>0</v>
      </c>
      <c r="AD318" s="376"/>
      <c r="AE318" s="332">
        <v>303</v>
      </c>
      <c r="AF318" s="350">
        <v>104842721.03192934</v>
      </c>
      <c r="AG318" s="350">
        <v>105702641.07940836</v>
      </c>
      <c r="AH318" s="350">
        <v>106526529.2210726</v>
      </c>
      <c r="AI318" s="350">
        <v>107352375.14728665</v>
      </c>
      <c r="AJ318" s="350">
        <v>108182744.18694296</v>
      </c>
      <c r="AK318" s="348">
        <v>532607010.66663992</v>
      </c>
      <c r="AL318" s="369"/>
      <c r="AM318" s="350">
        <v>132346438.06190328</v>
      </c>
      <c r="AN318" s="350">
        <v>161265567.77656585</v>
      </c>
      <c r="AO318" s="350">
        <v>190573105.74799055</v>
      </c>
      <c r="AP318" s="350">
        <v>220318554.19189414</v>
      </c>
      <c r="AQ318" s="350">
        <v>250509399.98969361</v>
      </c>
      <c r="AR318" s="348">
        <v>955013065.76804745</v>
      </c>
      <c r="AS318" s="369"/>
      <c r="AT318" s="350">
        <f t="shared" si="147"/>
        <v>27503717.029973939</v>
      </c>
      <c r="AU318" s="350">
        <f t="shared" si="130"/>
        <v>55562926.697157487</v>
      </c>
      <c r="AV318" s="350">
        <f t="shared" si="131"/>
        <v>84046576.526917949</v>
      </c>
      <c r="AW318" s="350">
        <f t="shared" si="132"/>
        <v>112966179.04460749</v>
      </c>
      <c r="AX318" s="350">
        <f t="shared" si="133"/>
        <v>142326655.80275065</v>
      </c>
      <c r="AY318" s="350">
        <f t="shared" si="134"/>
        <v>422406055.10140753</v>
      </c>
      <c r="AZ318" s="365"/>
      <c r="BA318" s="377">
        <f t="shared" si="135"/>
        <v>0</v>
      </c>
      <c r="BB318" s="377">
        <f t="shared" si="136"/>
        <v>0</v>
      </c>
      <c r="BC318" s="377">
        <f t="shared" si="137"/>
        <v>0</v>
      </c>
      <c r="BD318" s="377">
        <f t="shared" si="138"/>
        <v>0</v>
      </c>
      <c r="BE318" s="377">
        <f t="shared" si="139"/>
        <v>0</v>
      </c>
      <c r="BF318" s="377">
        <f t="shared" si="140"/>
        <v>0</v>
      </c>
      <c r="BG318" s="328"/>
    </row>
    <row r="319" spans="2:59">
      <c r="B319" s="332">
        <v>304</v>
      </c>
      <c r="C319" s="350">
        <v>128672574.82434042</v>
      </c>
      <c r="D319" s="350">
        <v>129727947.34389278</v>
      </c>
      <c r="E319" s="350">
        <v>130739098.21361217</v>
      </c>
      <c r="F319" s="350">
        <v>131752651.855565</v>
      </c>
      <c r="G319" s="350">
        <v>132771756.67596023</v>
      </c>
      <c r="H319" s="348">
        <v>653664028.91337061</v>
      </c>
      <c r="I319" s="369"/>
      <c r="J319" s="350">
        <v>157194929.22926229</v>
      </c>
      <c r="K319" s="350">
        <v>187349917.43386391</v>
      </c>
      <c r="L319" s="350">
        <v>217900862.49898881</v>
      </c>
      <c r="M319" s="350">
        <v>248906327.82042179</v>
      </c>
      <c r="N319" s="350">
        <v>280374565.81569439</v>
      </c>
      <c r="O319" s="348">
        <v>1091726602.7982314</v>
      </c>
      <c r="P319" s="369"/>
      <c r="Q319" s="350">
        <f t="shared" si="141"/>
        <v>28522354.404921874</v>
      </c>
      <c r="R319" s="350">
        <f t="shared" si="142"/>
        <v>57621970.089971125</v>
      </c>
      <c r="S319" s="350">
        <f t="shared" si="143"/>
        <v>87161764.285376638</v>
      </c>
      <c r="T319" s="350">
        <f t="shared" si="144"/>
        <v>117153675.96485679</v>
      </c>
      <c r="U319" s="350">
        <f t="shared" si="145"/>
        <v>147602809.13973415</v>
      </c>
      <c r="V319" s="350">
        <f t="shared" si="146"/>
        <v>438062573.88486075</v>
      </c>
      <c r="W319" s="365"/>
      <c r="X319" s="377">
        <f t="shared" si="124"/>
        <v>0</v>
      </c>
      <c r="Y319" s="377">
        <f t="shared" si="125"/>
        <v>0</v>
      </c>
      <c r="Z319" s="377">
        <f t="shared" si="126"/>
        <v>0</v>
      </c>
      <c r="AA319" s="377">
        <f t="shared" si="127"/>
        <v>0</v>
      </c>
      <c r="AB319" s="377">
        <f t="shared" si="128"/>
        <v>0</v>
      </c>
      <c r="AC319" s="377">
        <f t="shared" si="129"/>
        <v>0</v>
      </c>
      <c r="AD319" s="376"/>
      <c r="AE319" s="332">
        <v>304</v>
      </c>
      <c r="AF319" s="350">
        <v>154846724.95851177</v>
      </c>
      <c r="AG319" s="350">
        <v>156116777.86984107</v>
      </c>
      <c r="AH319" s="350">
        <v>157333613.70940316</v>
      </c>
      <c r="AI319" s="350">
        <v>158553341.08518952</v>
      </c>
      <c r="AJ319" s="350">
        <v>159779748.84180021</v>
      </c>
      <c r="AK319" s="348">
        <v>786630206.46474576</v>
      </c>
      <c r="AL319" s="369"/>
      <c r="AM319" s="350">
        <v>193082500.7962679</v>
      </c>
      <c r="AN319" s="350">
        <v>233365364.72300357</v>
      </c>
      <c r="AO319" s="350">
        <v>274185144.59064108</v>
      </c>
      <c r="AP319" s="350">
        <v>315613954.03129613</v>
      </c>
      <c r="AQ319" s="350">
        <v>357662424.5820061</v>
      </c>
      <c r="AR319" s="348">
        <v>1373909388.7232149</v>
      </c>
      <c r="AS319" s="369"/>
      <c r="AT319" s="350">
        <f t="shared" si="147"/>
        <v>38235775.837756127</v>
      </c>
      <c r="AU319" s="350">
        <f t="shared" si="130"/>
        <v>77248586.853162497</v>
      </c>
      <c r="AV319" s="350">
        <f t="shared" si="131"/>
        <v>116851530.88123792</v>
      </c>
      <c r="AW319" s="350">
        <f t="shared" si="132"/>
        <v>157060612.94610661</v>
      </c>
      <c r="AX319" s="350">
        <f t="shared" si="133"/>
        <v>197882675.74020588</v>
      </c>
      <c r="AY319" s="350">
        <f t="shared" si="134"/>
        <v>587279182.2584691</v>
      </c>
      <c r="AZ319" s="365"/>
      <c r="BA319" s="377">
        <f t="shared" si="135"/>
        <v>0</v>
      </c>
      <c r="BB319" s="377">
        <f t="shared" si="136"/>
        <v>0</v>
      </c>
      <c r="BC319" s="377">
        <f t="shared" si="137"/>
        <v>0</v>
      </c>
      <c r="BD319" s="377">
        <f t="shared" si="138"/>
        <v>0</v>
      </c>
      <c r="BE319" s="377">
        <f t="shared" si="139"/>
        <v>0</v>
      </c>
      <c r="BF319" s="377">
        <f t="shared" si="140"/>
        <v>0</v>
      </c>
      <c r="BG319" s="328"/>
    </row>
    <row r="320" spans="2:59">
      <c r="B320" s="332">
        <v>305</v>
      </c>
      <c r="C320" s="350">
        <v>128982069.4231699</v>
      </c>
      <c r="D320" s="350">
        <v>130039980.41756816</v>
      </c>
      <c r="E320" s="350">
        <v>131053563.39633022</v>
      </c>
      <c r="F320" s="350">
        <v>132069554.92668492</v>
      </c>
      <c r="G320" s="350">
        <v>133091110.98766497</v>
      </c>
      <c r="H320" s="348">
        <v>655236279.15141821</v>
      </c>
      <c r="I320" s="369"/>
      <c r="J320" s="350">
        <v>163290157.75886348</v>
      </c>
      <c r="K320" s="350">
        <v>199319075.93458691</v>
      </c>
      <c r="L320" s="350">
        <v>235832644.31817317</v>
      </c>
      <c r="M320" s="350">
        <v>272891958.5137229</v>
      </c>
      <c r="N320" s="350">
        <v>310506309.05672657</v>
      </c>
      <c r="O320" s="348">
        <v>1181840145.5820732</v>
      </c>
      <c r="P320" s="369"/>
      <c r="Q320" s="350">
        <f t="shared" si="141"/>
        <v>34308088.335693583</v>
      </c>
      <c r="R320" s="350">
        <f t="shared" si="142"/>
        <v>69279095.51701875</v>
      </c>
      <c r="S320" s="350">
        <f t="shared" si="143"/>
        <v>104779080.92184295</v>
      </c>
      <c r="T320" s="350">
        <f t="shared" si="144"/>
        <v>140822403.58703798</v>
      </c>
      <c r="U320" s="350">
        <f t="shared" si="145"/>
        <v>177415198.06906161</v>
      </c>
      <c r="V320" s="350">
        <f t="shared" si="146"/>
        <v>526603866.430655</v>
      </c>
      <c r="W320" s="365"/>
      <c r="X320" s="377">
        <f t="shared" si="124"/>
        <v>0</v>
      </c>
      <c r="Y320" s="377">
        <f t="shared" si="125"/>
        <v>0</v>
      </c>
      <c r="Z320" s="377">
        <f t="shared" si="126"/>
        <v>0</v>
      </c>
      <c r="AA320" s="377">
        <f t="shared" si="127"/>
        <v>0</v>
      </c>
      <c r="AB320" s="377">
        <f t="shared" si="128"/>
        <v>0</v>
      </c>
      <c r="AC320" s="377">
        <f t="shared" si="129"/>
        <v>0</v>
      </c>
      <c r="AD320" s="376"/>
      <c r="AE320" s="332">
        <v>305</v>
      </c>
      <c r="AF320" s="350">
        <v>133892217.1868636</v>
      </c>
      <c r="AG320" s="350">
        <v>134990401.21554148</v>
      </c>
      <c r="AH320" s="350">
        <v>136042569.72963214</v>
      </c>
      <c r="AI320" s="350">
        <v>137097238.48514706</v>
      </c>
      <c r="AJ320" s="350">
        <v>138157683.60435617</v>
      </c>
      <c r="AK320" s="348">
        <v>680180110.22154045</v>
      </c>
      <c r="AL320" s="369"/>
      <c r="AM320" s="350">
        <v>166573419.50128859</v>
      </c>
      <c r="AN320" s="350">
        <v>201011933.31092796</v>
      </c>
      <c r="AO320" s="350">
        <v>235908756.67558709</v>
      </c>
      <c r="AP320" s="350">
        <v>271326085.02014178</v>
      </c>
      <c r="AQ320" s="350">
        <v>307273042.34294558</v>
      </c>
      <c r="AR320" s="348">
        <v>1182093236.8508909</v>
      </c>
      <c r="AS320" s="369"/>
      <c r="AT320" s="350">
        <f t="shared" si="147"/>
        <v>32681202.314424992</v>
      </c>
      <c r="AU320" s="350">
        <f t="shared" si="130"/>
        <v>66021532.095386475</v>
      </c>
      <c r="AV320" s="350">
        <f t="shared" si="131"/>
        <v>99866186.945954949</v>
      </c>
      <c r="AW320" s="350">
        <f t="shared" si="132"/>
        <v>134228846.53499472</v>
      </c>
      <c r="AX320" s="350">
        <f t="shared" si="133"/>
        <v>169115358.73858941</v>
      </c>
      <c r="AY320" s="350">
        <f t="shared" si="134"/>
        <v>501913126.62935042</v>
      </c>
      <c r="AZ320" s="365"/>
      <c r="BA320" s="377">
        <f t="shared" si="135"/>
        <v>0</v>
      </c>
      <c r="BB320" s="377">
        <f t="shared" si="136"/>
        <v>0</v>
      </c>
      <c r="BC320" s="377">
        <f t="shared" si="137"/>
        <v>0</v>
      </c>
      <c r="BD320" s="377">
        <f t="shared" si="138"/>
        <v>0</v>
      </c>
      <c r="BE320" s="377">
        <f t="shared" si="139"/>
        <v>0</v>
      </c>
      <c r="BF320" s="377">
        <f t="shared" si="140"/>
        <v>0</v>
      </c>
      <c r="BG320" s="328"/>
    </row>
    <row r="321" spans="2:59">
      <c r="B321" s="332">
        <v>306</v>
      </c>
      <c r="C321" s="350">
        <v>124675088.02999797</v>
      </c>
      <c r="D321" s="350">
        <v>125697673.16097295</v>
      </c>
      <c r="E321" s="350">
        <v>126677410.48157886</v>
      </c>
      <c r="F321" s="350">
        <v>127659475.9271962</v>
      </c>
      <c r="G321" s="350">
        <v>128646920.09210879</v>
      </c>
      <c r="H321" s="348">
        <v>633356567.69185472</v>
      </c>
      <c r="I321" s="369"/>
      <c r="J321" s="350">
        <v>157360534.8645221</v>
      </c>
      <c r="K321" s="350">
        <v>191709985.42127421</v>
      </c>
      <c r="L321" s="350">
        <v>226520701.34281766</v>
      </c>
      <c r="M321" s="350">
        <v>261851539.02131656</v>
      </c>
      <c r="N321" s="350">
        <v>297711394.97045392</v>
      </c>
      <c r="O321" s="348">
        <v>1135154155.6203845</v>
      </c>
      <c r="P321" s="369"/>
      <c r="Q321" s="350">
        <f t="shared" si="141"/>
        <v>32685446.834524125</v>
      </c>
      <c r="R321" s="350">
        <f t="shared" si="142"/>
        <v>66012312.260301262</v>
      </c>
      <c r="S321" s="350">
        <f t="shared" si="143"/>
        <v>99843290.861238807</v>
      </c>
      <c r="T321" s="350">
        <f t="shared" si="144"/>
        <v>134192063.09412035</v>
      </c>
      <c r="U321" s="350">
        <f t="shared" si="145"/>
        <v>169064474.87834513</v>
      </c>
      <c r="V321" s="350">
        <f t="shared" si="146"/>
        <v>501797587.92852974</v>
      </c>
      <c r="W321" s="365"/>
      <c r="X321" s="377">
        <f t="shared" si="124"/>
        <v>0</v>
      </c>
      <c r="Y321" s="377">
        <f t="shared" si="125"/>
        <v>0</v>
      </c>
      <c r="Z321" s="377">
        <f t="shared" si="126"/>
        <v>0</v>
      </c>
      <c r="AA321" s="377">
        <f t="shared" si="127"/>
        <v>0</v>
      </c>
      <c r="AB321" s="377">
        <f t="shared" si="128"/>
        <v>0</v>
      </c>
      <c r="AC321" s="377">
        <f t="shared" si="129"/>
        <v>0</v>
      </c>
      <c r="AD321" s="376"/>
      <c r="AE321" s="332">
        <v>306</v>
      </c>
      <c r="AF321" s="350">
        <v>141869530.01166955</v>
      </c>
      <c r="AG321" s="350">
        <v>143033143.96390855</v>
      </c>
      <c r="AH321" s="350">
        <v>144148000.79220948</v>
      </c>
      <c r="AI321" s="350">
        <v>145265506.82658985</v>
      </c>
      <c r="AJ321" s="350">
        <v>146389133.38103998</v>
      </c>
      <c r="AK321" s="348">
        <v>720705314.97541738</v>
      </c>
      <c r="AL321" s="369"/>
      <c r="AM321" s="350">
        <v>173890197.41964817</v>
      </c>
      <c r="AN321" s="350">
        <v>207716382.35704282</v>
      </c>
      <c r="AO321" s="350">
        <v>241987881.26587743</v>
      </c>
      <c r="AP321" s="350">
        <v>276769503.44210285</v>
      </c>
      <c r="AQ321" s="350">
        <v>312070449.28605992</v>
      </c>
      <c r="AR321" s="348">
        <v>1212434413.7707312</v>
      </c>
      <c r="AS321" s="369"/>
      <c r="AT321" s="350">
        <f t="shared" si="147"/>
        <v>32020667.407978624</v>
      </c>
      <c r="AU321" s="350">
        <f t="shared" si="130"/>
        <v>64683238.393134266</v>
      </c>
      <c r="AV321" s="350">
        <f t="shared" si="131"/>
        <v>97839880.473667949</v>
      </c>
      <c r="AW321" s="350">
        <f t="shared" si="132"/>
        <v>131503996.615513</v>
      </c>
      <c r="AX321" s="350">
        <f t="shared" si="133"/>
        <v>165681315.90501994</v>
      </c>
      <c r="AY321" s="350">
        <f t="shared" si="134"/>
        <v>491729098.79531384</v>
      </c>
      <c r="AZ321" s="365"/>
      <c r="BA321" s="377">
        <f t="shared" si="135"/>
        <v>0</v>
      </c>
      <c r="BB321" s="377">
        <f t="shared" si="136"/>
        <v>0</v>
      </c>
      <c r="BC321" s="377">
        <f t="shared" si="137"/>
        <v>0</v>
      </c>
      <c r="BD321" s="377">
        <f t="shared" si="138"/>
        <v>0</v>
      </c>
      <c r="BE321" s="377">
        <f t="shared" si="139"/>
        <v>0</v>
      </c>
      <c r="BF321" s="377">
        <f t="shared" si="140"/>
        <v>0</v>
      </c>
      <c r="BG321" s="328"/>
    </row>
    <row r="322" spans="2:59">
      <c r="B322" s="332">
        <v>307</v>
      </c>
      <c r="C322" s="350">
        <v>141082030.98711544</v>
      </c>
      <c r="D322" s="350">
        <v>142239185.87198269</v>
      </c>
      <c r="E322" s="350">
        <v>143347854.27726752</v>
      </c>
      <c r="F322" s="350">
        <v>144459157.1832388</v>
      </c>
      <c r="G322" s="350">
        <v>145576546.63508117</v>
      </c>
      <c r="H322" s="348">
        <v>716704774.95468557</v>
      </c>
      <c r="I322" s="369"/>
      <c r="J322" s="350">
        <v>186823418.80391291</v>
      </c>
      <c r="K322" s="350">
        <v>234594401.76234657</v>
      </c>
      <c r="L322" s="350">
        <v>283021982.75401974</v>
      </c>
      <c r="M322" s="350">
        <v>332176426.36574727</v>
      </c>
      <c r="N322" s="350">
        <v>382069361.82325077</v>
      </c>
      <c r="O322" s="348">
        <v>1418685591.5092773</v>
      </c>
      <c r="P322" s="369"/>
      <c r="Q322" s="350">
        <f t="shared" si="141"/>
        <v>45741387.816797465</v>
      </c>
      <c r="R322" s="350">
        <f t="shared" si="142"/>
        <v>92355215.890363872</v>
      </c>
      <c r="S322" s="350">
        <f t="shared" si="143"/>
        <v>139674128.47675222</v>
      </c>
      <c r="T322" s="350">
        <f t="shared" si="144"/>
        <v>187717269.18250847</v>
      </c>
      <c r="U322" s="350">
        <f t="shared" si="145"/>
        <v>236492815.1881696</v>
      </c>
      <c r="V322" s="350">
        <f t="shared" si="146"/>
        <v>701980816.55459177</v>
      </c>
      <c r="W322" s="365"/>
      <c r="X322" s="377">
        <f t="shared" si="124"/>
        <v>0</v>
      </c>
      <c r="Y322" s="377">
        <f t="shared" si="125"/>
        <v>0</v>
      </c>
      <c r="Z322" s="377">
        <f t="shared" si="126"/>
        <v>0</v>
      </c>
      <c r="AA322" s="377">
        <f t="shared" si="127"/>
        <v>0</v>
      </c>
      <c r="AB322" s="377">
        <f t="shared" si="128"/>
        <v>0</v>
      </c>
      <c r="AC322" s="377">
        <f t="shared" si="129"/>
        <v>0</v>
      </c>
      <c r="AD322" s="376"/>
      <c r="AE322" s="332">
        <v>307</v>
      </c>
      <c r="AF322" s="350">
        <v>121635071.20556039</v>
      </c>
      <c r="AG322" s="350">
        <v>122632722.11710379</v>
      </c>
      <c r="AH322" s="350">
        <v>123588569.9984863</v>
      </c>
      <c r="AI322" s="350">
        <v>124546689.23701003</v>
      </c>
      <c r="AJ322" s="350">
        <v>125510056.04274881</v>
      </c>
      <c r="AK322" s="348">
        <v>617913108.60090935</v>
      </c>
      <c r="AL322" s="369"/>
      <c r="AM322" s="350">
        <v>151137209.2407299</v>
      </c>
      <c r="AN322" s="350">
        <v>182226749.89529654</v>
      </c>
      <c r="AO322" s="350">
        <v>213729672.3797217</v>
      </c>
      <c r="AP322" s="350">
        <v>245702399.76802444</v>
      </c>
      <c r="AQ322" s="350">
        <v>278153186.49139416</v>
      </c>
      <c r="AR322" s="348">
        <v>1070949217.7751667</v>
      </c>
      <c r="AS322" s="369"/>
      <c r="AT322" s="350">
        <f t="shared" si="147"/>
        <v>29502138.035169512</v>
      </c>
      <c r="AU322" s="350">
        <f t="shared" si="130"/>
        <v>59594027.778192759</v>
      </c>
      <c r="AV322" s="350">
        <f t="shared" si="131"/>
        <v>90141102.381235406</v>
      </c>
      <c r="AW322" s="350">
        <f t="shared" si="132"/>
        <v>121155710.53101441</v>
      </c>
      <c r="AX322" s="350">
        <f t="shared" si="133"/>
        <v>152643130.44864535</v>
      </c>
      <c r="AY322" s="350">
        <f t="shared" si="134"/>
        <v>453036109.1742574</v>
      </c>
      <c r="AZ322" s="365"/>
      <c r="BA322" s="377">
        <f t="shared" si="135"/>
        <v>0</v>
      </c>
      <c r="BB322" s="377">
        <f t="shared" si="136"/>
        <v>0</v>
      </c>
      <c r="BC322" s="377">
        <f t="shared" si="137"/>
        <v>0</v>
      </c>
      <c r="BD322" s="377">
        <f t="shared" si="138"/>
        <v>0</v>
      </c>
      <c r="BE322" s="377">
        <f t="shared" si="139"/>
        <v>0</v>
      </c>
      <c r="BF322" s="377">
        <f t="shared" si="140"/>
        <v>0</v>
      </c>
      <c r="BG322" s="328"/>
    </row>
    <row r="323" spans="2:59">
      <c r="B323" s="332">
        <v>308</v>
      </c>
      <c r="C323" s="350">
        <v>117018356.08535989</v>
      </c>
      <c r="D323" s="350">
        <v>117978140.6973044</v>
      </c>
      <c r="E323" s="350">
        <v>118897708.93234102</v>
      </c>
      <c r="F323" s="350">
        <v>119819462.3141131</v>
      </c>
      <c r="G323" s="350">
        <v>120746264.08927085</v>
      </c>
      <c r="H323" s="348">
        <v>594459932.11838925</v>
      </c>
      <c r="I323" s="369"/>
      <c r="J323" s="350">
        <v>148173551.52201363</v>
      </c>
      <c r="K323" s="350">
        <v>180894538.56494009</v>
      </c>
      <c r="L323" s="350">
        <v>214055737.18153483</v>
      </c>
      <c r="M323" s="350">
        <v>247712588.56818542</v>
      </c>
      <c r="N323" s="350">
        <v>281873527.37800688</v>
      </c>
      <c r="O323" s="348">
        <v>1072709943.2146809</v>
      </c>
      <c r="P323" s="369"/>
      <c r="Q323" s="350">
        <f t="shared" si="141"/>
        <v>31155195.436653748</v>
      </c>
      <c r="R323" s="350">
        <f t="shared" si="142"/>
        <v>62916397.867635697</v>
      </c>
      <c r="S323" s="350">
        <f t="shared" si="143"/>
        <v>95158028.249193802</v>
      </c>
      <c r="T323" s="350">
        <f t="shared" si="144"/>
        <v>127893126.25407232</v>
      </c>
      <c r="U323" s="350">
        <f t="shared" si="145"/>
        <v>161127263.28873605</v>
      </c>
      <c r="V323" s="350">
        <f t="shared" si="146"/>
        <v>478250011.09629166</v>
      </c>
      <c r="W323" s="365"/>
      <c r="X323" s="377">
        <f t="shared" si="124"/>
        <v>0</v>
      </c>
      <c r="Y323" s="377">
        <f t="shared" si="125"/>
        <v>0</v>
      </c>
      <c r="Z323" s="377">
        <f t="shared" si="126"/>
        <v>0</v>
      </c>
      <c r="AA323" s="377">
        <f t="shared" si="127"/>
        <v>0</v>
      </c>
      <c r="AB323" s="377">
        <f t="shared" si="128"/>
        <v>0</v>
      </c>
      <c r="AC323" s="377">
        <f t="shared" si="129"/>
        <v>0</v>
      </c>
      <c r="AD323" s="376"/>
      <c r="AE323" s="332">
        <v>308</v>
      </c>
      <c r="AF323" s="350">
        <v>119703277.78203423</v>
      </c>
      <c r="AG323" s="350">
        <v>120685084.12300444</v>
      </c>
      <c r="AH323" s="350">
        <v>121625751.3444601</v>
      </c>
      <c r="AI323" s="350">
        <v>122568653.84963886</v>
      </c>
      <c r="AJ323" s="350">
        <v>123516720.58080769</v>
      </c>
      <c r="AK323" s="348">
        <v>608099487.67994523</v>
      </c>
      <c r="AL323" s="369"/>
      <c r="AM323" s="350">
        <v>148847985.41006631</v>
      </c>
      <c r="AN323" s="350">
        <v>179535470.20336393</v>
      </c>
      <c r="AO323" s="350">
        <v>210631148.71139595</v>
      </c>
      <c r="AP323" s="350">
        <v>242190593.21256205</v>
      </c>
      <c r="AQ323" s="350">
        <v>274221943.61991483</v>
      </c>
      <c r="AR323" s="348">
        <v>1055427141.1573031</v>
      </c>
      <c r="AS323" s="369"/>
      <c r="AT323" s="350">
        <f t="shared" si="147"/>
        <v>29144707.628032073</v>
      </c>
      <c r="AU323" s="350">
        <f t="shared" si="130"/>
        <v>58850386.080359489</v>
      </c>
      <c r="AV323" s="350">
        <f t="shared" si="131"/>
        <v>89005397.366935849</v>
      </c>
      <c r="AW323" s="350">
        <f t="shared" si="132"/>
        <v>119621939.36292319</v>
      </c>
      <c r="AX323" s="350">
        <f t="shared" si="133"/>
        <v>150705223.03910714</v>
      </c>
      <c r="AY323" s="350">
        <f t="shared" si="134"/>
        <v>447327653.47735786</v>
      </c>
      <c r="AZ323" s="365"/>
      <c r="BA323" s="377">
        <f t="shared" si="135"/>
        <v>0</v>
      </c>
      <c r="BB323" s="377">
        <f t="shared" si="136"/>
        <v>0</v>
      </c>
      <c r="BC323" s="377">
        <f t="shared" si="137"/>
        <v>0</v>
      </c>
      <c r="BD323" s="377">
        <f t="shared" si="138"/>
        <v>0</v>
      </c>
      <c r="BE323" s="377">
        <f t="shared" si="139"/>
        <v>0</v>
      </c>
      <c r="BF323" s="377">
        <f t="shared" si="140"/>
        <v>0</v>
      </c>
      <c r="BG323" s="328"/>
    </row>
    <row r="324" spans="2:59">
      <c r="B324" s="332">
        <v>309</v>
      </c>
      <c r="C324" s="350">
        <v>107902830.91306591</v>
      </c>
      <c r="D324" s="350">
        <v>108787849.98323698</v>
      </c>
      <c r="E324" s="350">
        <v>109635785.4618879</v>
      </c>
      <c r="F324" s="350">
        <v>110485735.86816725</v>
      </c>
      <c r="G324" s="350">
        <v>111340341.40682162</v>
      </c>
      <c r="H324" s="348">
        <v>548152543.63317966</v>
      </c>
      <c r="I324" s="369"/>
      <c r="J324" s="350">
        <v>139240574.07411128</v>
      </c>
      <c r="K324" s="350">
        <v>172064650.28912646</v>
      </c>
      <c r="L324" s="350">
        <v>205334757.3253454</v>
      </c>
      <c r="M324" s="350">
        <v>239103109.31998718</v>
      </c>
      <c r="N324" s="350">
        <v>273377949.27047151</v>
      </c>
      <c r="O324" s="348">
        <v>1029121040.2790418</v>
      </c>
      <c r="P324" s="369"/>
      <c r="Q324" s="350">
        <f t="shared" si="141"/>
        <v>31337743.161045372</v>
      </c>
      <c r="R324" s="350">
        <f t="shared" si="142"/>
        <v>63276800.305889472</v>
      </c>
      <c r="S324" s="350">
        <f t="shared" si="143"/>
        <v>95698971.863457501</v>
      </c>
      <c r="T324" s="350">
        <f t="shared" si="144"/>
        <v>128617373.45181993</v>
      </c>
      <c r="U324" s="350">
        <f t="shared" si="145"/>
        <v>162037607.8636499</v>
      </c>
      <c r="V324" s="350">
        <f t="shared" si="146"/>
        <v>480968496.6458621</v>
      </c>
      <c r="W324" s="365"/>
      <c r="X324" s="377">
        <f t="shared" si="124"/>
        <v>0</v>
      </c>
      <c r="Y324" s="377">
        <f t="shared" si="125"/>
        <v>0</v>
      </c>
      <c r="Z324" s="377">
        <f t="shared" si="126"/>
        <v>0</v>
      </c>
      <c r="AA324" s="377">
        <f t="shared" si="127"/>
        <v>0</v>
      </c>
      <c r="AB324" s="377">
        <f t="shared" si="128"/>
        <v>0</v>
      </c>
      <c r="AC324" s="377">
        <f t="shared" si="129"/>
        <v>0</v>
      </c>
      <c r="AD324" s="376"/>
      <c r="AE324" s="332">
        <v>309</v>
      </c>
      <c r="AF324" s="350">
        <v>138596373.14940226</v>
      </c>
      <c r="AG324" s="350">
        <v>139733140.66750926</v>
      </c>
      <c r="AH324" s="350">
        <v>140822275.96647465</v>
      </c>
      <c r="AI324" s="350">
        <v>141913999.35010016</v>
      </c>
      <c r="AJ324" s="350">
        <v>143011702.04361257</v>
      </c>
      <c r="AK324" s="348">
        <v>704077491.17709887</v>
      </c>
      <c r="AL324" s="369"/>
      <c r="AM324" s="350">
        <v>173354863.23523489</v>
      </c>
      <c r="AN324" s="350">
        <v>209942204.78026074</v>
      </c>
      <c r="AO324" s="350">
        <v>247018155.81631511</v>
      </c>
      <c r="AP324" s="350">
        <v>284647485.32864946</v>
      </c>
      <c r="AQ324" s="350">
        <v>322839802.75772119</v>
      </c>
      <c r="AR324" s="348">
        <v>1237802511.9181814</v>
      </c>
      <c r="AS324" s="369"/>
      <c r="AT324" s="350">
        <f t="shared" si="147"/>
        <v>34758490.085832626</v>
      </c>
      <c r="AU324" s="350">
        <f t="shared" si="130"/>
        <v>70209064.112751484</v>
      </c>
      <c r="AV324" s="350">
        <f t="shared" si="131"/>
        <v>106195879.84984046</v>
      </c>
      <c r="AW324" s="350">
        <f t="shared" si="132"/>
        <v>142733485.9785493</v>
      </c>
      <c r="AX324" s="350">
        <f t="shared" si="133"/>
        <v>179828100.71410862</v>
      </c>
      <c r="AY324" s="350">
        <f t="shared" si="134"/>
        <v>533725020.74108255</v>
      </c>
      <c r="AZ324" s="365"/>
      <c r="BA324" s="377">
        <f t="shared" si="135"/>
        <v>0</v>
      </c>
      <c r="BB324" s="377">
        <f t="shared" si="136"/>
        <v>0</v>
      </c>
      <c r="BC324" s="377">
        <f t="shared" si="137"/>
        <v>0</v>
      </c>
      <c r="BD324" s="377">
        <f t="shared" si="138"/>
        <v>0</v>
      </c>
      <c r="BE324" s="377">
        <f t="shared" si="139"/>
        <v>0</v>
      </c>
      <c r="BF324" s="377">
        <f t="shared" si="140"/>
        <v>0</v>
      </c>
      <c r="BG324" s="328"/>
    </row>
    <row r="325" spans="2:59">
      <c r="B325" s="332">
        <v>310</v>
      </c>
      <c r="C325" s="350">
        <v>154742731.03589511</v>
      </c>
      <c r="D325" s="350">
        <v>156011930.98902196</v>
      </c>
      <c r="E325" s="350">
        <v>157227949.61057588</v>
      </c>
      <c r="F325" s="350">
        <v>158446857.82641965</v>
      </c>
      <c r="G325" s="350">
        <v>159672441.936593</v>
      </c>
      <c r="H325" s="348">
        <v>786101911.39850569</v>
      </c>
      <c r="I325" s="369"/>
      <c r="J325" s="350">
        <v>196741969.29038835</v>
      </c>
      <c r="K325" s="350">
        <v>240845223.7796855</v>
      </c>
      <c r="L325" s="350">
        <v>285543223.90870899</v>
      </c>
      <c r="M325" s="350">
        <v>330909619.92728657</v>
      </c>
      <c r="N325" s="350">
        <v>376955711.48438066</v>
      </c>
      <c r="O325" s="348">
        <v>1430995748.3904502</v>
      </c>
      <c r="P325" s="369"/>
      <c r="Q325" s="350">
        <f t="shared" si="141"/>
        <v>41999238.254493237</v>
      </c>
      <c r="R325" s="350">
        <f t="shared" si="142"/>
        <v>84833292.79066354</v>
      </c>
      <c r="S325" s="350">
        <f t="shared" si="143"/>
        <v>128315274.29813311</v>
      </c>
      <c r="T325" s="350">
        <f t="shared" si="144"/>
        <v>172462762.10086691</v>
      </c>
      <c r="U325" s="350">
        <f t="shared" si="145"/>
        <v>217283269.54778767</v>
      </c>
      <c r="V325" s="350">
        <f t="shared" si="146"/>
        <v>644893836.99194455</v>
      </c>
      <c r="W325" s="365"/>
      <c r="X325" s="377">
        <f t="shared" si="124"/>
        <v>0</v>
      </c>
      <c r="Y325" s="377">
        <f t="shared" si="125"/>
        <v>0</v>
      </c>
      <c r="Z325" s="377">
        <f t="shared" si="126"/>
        <v>0</v>
      </c>
      <c r="AA325" s="377">
        <f t="shared" si="127"/>
        <v>0</v>
      </c>
      <c r="AB325" s="377">
        <f t="shared" si="128"/>
        <v>0</v>
      </c>
      <c r="AC325" s="377">
        <f t="shared" si="129"/>
        <v>0</v>
      </c>
      <c r="AD325" s="376"/>
      <c r="AE325" s="332">
        <v>310</v>
      </c>
      <c r="AF325" s="350">
        <v>134730041.21433213</v>
      </c>
      <c r="AG325" s="350">
        <v>135835097.07607949</v>
      </c>
      <c r="AH325" s="350">
        <v>136893849.48339841</v>
      </c>
      <c r="AI325" s="350">
        <v>137955117.77728051</v>
      </c>
      <c r="AJ325" s="350">
        <v>139022198.58017126</v>
      </c>
      <c r="AK325" s="348">
        <v>684436304.13126171</v>
      </c>
      <c r="AL325" s="369"/>
      <c r="AM325" s="350">
        <v>170440731.9444786</v>
      </c>
      <c r="AN325" s="350">
        <v>207943090.02058744</v>
      </c>
      <c r="AO325" s="350">
        <v>245949695.70343107</v>
      </c>
      <c r="AP325" s="350">
        <v>284524314.21559304</v>
      </c>
      <c r="AQ325" s="350">
        <v>323676627.01194996</v>
      </c>
      <c r="AR325" s="348">
        <v>1232534458.8960402</v>
      </c>
      <c r="AS325" s="369"/>
      <c r="AT325" s="350">
        <f t="shared" si="147"/>
        <v>35710690.730146468</v>
      </c>
      <c r="AU325" s="350">
        <f t="shared" si="130"/>
        <v>72107992.944507957</v>
      </c>
      <c r="AV325" s="350">
        <f t="shared" si="131"/>
        <v>109055846.22003266</v>
      </c>
      <c r="AW325" s="350">
        <f t="shared" si="132"/>
        <v>146569196.43831253</v>
      </c>
      <c r="AX325" s="350">
        <f t="shared" si="133"/>
        <v>184654428.4317787</v>
      </c>
      <c r="AY325" s="350">
        <f t="shared" si="134"/>
        <v>548098154.76477849</v>
      </c>
      <c r="AZ325" s="365"/>
      <c r="BA325" s="377">
        <f t="shared" si="135"/>
        <v>0</v>
      </c>
      <c r="BB325" s="377">
        <f t="shared" si="136"/>
        <v>0</v>
      </c>
      <c r="BC325" s="377">
        <f t="shared" si="137"/>
        <v>0</v>
      </c>
      <c r="BD325" s="377">
        <f t="shared" si="138"/>
        <v>0</v>
      </c>
      <c r="BE325" s="377">
        <f t="shared" si="139"/>
        <v>0</v>
      </c>
      <c r="BF325" s="377">
        <f t="shared" si="140"/>
        <v>0</v>
      </c>
      <c r="BG325" s="328"/>
    </row>
    <row r="326" spans="2:59">
      <c r="B326" s="332">
        <v>311</v>
      </c>
      <c r="C326" s="350">
        <v>144646526.63644579</v>
      </c>
      <c r="D326" s="350">
        <v>145832917.51631439</v>
      </c>
      <c r="E326" s="350">
        <v>146969596.88571376</v>
      </c>
      <c r="F326" s="350">
        <v>148108977.317545</v>
      </c>
      <c r="G326" s="350">
        <v>149254598.07433695</v>
      </c>
      <c r="H326" s="348">
        <v>734812616.43035579</v>
      </c>
      <c r="I326" s="369"/>
      <c r="J326" s="350">
        <v>176151018.52861881</v>
      </c>
      <c r="K326" s="350">
        <v>209473713.4426423</v>
      </c>
      <c r="L326" s="350">
        <v>243232807.47139984</v>
      </c>
      <c r="M326" s="350">
        <v>277493900.11115855</v>
      </c>
      <c r="N326" s="350">
        <v>312266167.39659506</v>
      </c>
      <c r="O326" s="348">
        <v>1218617606.9504147</v>
      </c>
      <c r="P326" s="369"/>
      <c r="Q326" s="350">
        <f t="shared" si="141"/>
        <v>31504491.892173022</v>
      </c>
      <c r="R326" s="350">
        <f t="shared" si="142"/>
        <v>63640795.926327914</v>
      </c>
      <c r="S326" s="350">
        <f t="shared" si="143"/>
        <v>96263210.585686088</v>
      </c>
      <c r="T326" s="350">
        <f t="shared" si="144"/>
        <v>129384922.79361355</v>
      </c>
      <c r="U326" s="350">
        <f t="shared" si="145"/>
        <v>163011569.32225811</v>
      </c>
      <c r="V326" s="350">
        <f t="shared" si="146"/>
        <v>483804990.52005887</v>
      </c>
      <c r="W326" s="365"/>
      <c r="X326" s="377">
        <f t="shared" si="124"/>
        <v>0</v>
      </c>
      <c r="Y326" s="377">
        <f t="shared" si="125"/>
        <v>0</v>
      </c>
      <c r="Z326" s="377">
        <f t="shared" si="126"/>
        <v>0</v>
      </c>
      <c r="AA326" s="377">
        <f t="shared" si="127"/>
        <v>0</v>
      </c>
      <c r="AB326" s="377">
        <f t="shared" si="128"/>
        <v>0</v>
      </c>
      <c r="AC326" s="377">
        <f t="shared" si="129"/>
        <v>0</v>
      </c>
      <c r="AD326" s="376"/>
      <c r="AE326" s="332">
        <v>311</v>
      </c>
      <c r="AF326" s="350">
        <v>104940150.33248343</v>
      </c>
      <c r="AG326" s="350">
        <v>105800869.49513164</v>
      </c>
      <c r="AH326" s="350">
        <v>106625523.26787244</v>
      </c>
      <c r="AI326" s="350">
        <v>107452136.64451289</v>
      </c>
      <c r="AJ326" s="350">
        <v>108283277.33788002</v>
      </c>
      <c r="AK326" s="348">
        <v>533101957.07788044</v>
      </c>
      <c r="AL326" s="369"/>
      <c r="AM326" s="350">
        <v>137238217.06739354</v>
      </c>
      <c r="AN326" s="350">
        <v>171040000.60442698</v>
      </c>
      <c r="AO326" s="350">
        <v>205304000.4184075</v>
      </c>
      <c r="AP326" s="350">
        <v>240081760.3325637</v>
      </c>
      <c r="AQ326" s="350">
        <v>275381626.09608817</v>
      </c>
      <c r="AR326" s="348">
        <v>1029045604.5188799</v>
      </c>
      <c r="AS326" s="369"/>
      <c r="AT326" s="350">
        <f t="shared" si="147"/>
        <v>32298066.734910116</v>
      </c>
      <c r="AU326" s="350">
        <f t="shared" si="130"/>
        <v>65239131.109295338</v>
      </c>
      <c r="AV326" s="350">
        <f t="shared" si="131"/>
        <v>98678477.150535062</v>
      </c>
      <c r="AW326" s="350">
        <f t="shared" si="132"/>
        <v>132629623.68805081</v>
      </c>
      <c r="AX326" s="350">
        <f t="shared" si="133"/>
        <v>167098348.75820816</v>
      </c>
      <c r="AY326" s="350">
        <f t="shared" si="134"/>
        <v>495943647.44099945</v>
      </c>
      <c r="AZ326" s="365"/>
      <c r="BA326" s="377">
        <f t="shared" si="135"/>
        <v>0</v>
      </c>
      <c r="BB326" s="377">
        <f t="shared" si="136"/>
        <v>0</v>
      </c>
      <c r="BC326" s="377">
        <f t="shared" si="137"/>
        <v>0</v>
      </c>
      <c r="BD326" s="377">
        <f t="shared" si="138"/>
        <v>0</v>
      </c>
      <c r="BE326" s="377">
        <f t="shared" si="139"/>
        <v>0</v>
      </c>
      <c r="BF326" s="377">
        <f t="shared" si="140"/>
        <v>0</v>
      </c>
      <c r="BG326" s="328"/>
    </row>
    <row r="327" spans="2:59">
      <c r="B327" s="332">
        <v>312</v>
      </c>
      <c r="C327" s="350">
        <v>155675316.41894531</v>
      </c>
      <c r="D327" s="350">
        <v>156952165.43782493</v>
      </c>
      <c r="E327" s="350">
        <v>158175512.61810589</v>
      </c>
      <c r="F327" s="350">
        <v>159401766.80734536</v>
      </c>
      <c r="G327" s="350">
        <v>160634737.12441322</v>
      </c>
      <c r="H327" s="348">
        <v>790839498.40663481</v>
      </c>
      <c r="I327" s="369"/>
      <c r="J327" s="350">
        <v>188800183.1757029</v>
      </c>
      <c r="K327" s="350">
        <v>223857565.36610937</v>
      </c>
      <c r="L327" s="350">
        <v>259372423.82243469</v>
      </c>
      <c r="M327" s="350">
        <v>295415032.08026421</v>
      </c>
      <c r="N327" s="350">
        <v>331995124.62838948</v>
      </c>
      <c r="O327" s="348">
        <v>1299440329.0729008</v>
      </c>
      <c r="P327" s="369"/>
      <c r="Q327" s="350">
        <f t="shared" si="141"/>
        <v>33124866.756757587</v>
      </c>
      <c r="R327" s="350">
        <f t="shared" si="142"/>
        <v>66905399.928284436</v>
      </c>
      <c r="S327" s="350">
        <f t="shared" si="143"/>
        <v>101196911.20432881</v>
      </c>
      <c r="T327" s="350">
        <f t="shared" si="144"/>
        <v>136013265.27291885</v>
      </c>
      <c r="U327" s="350">
        <f t="shared" si="145"/>
        <v>171360387.50397626</v>
      </c>
      <c r="V327" s="350">
        <f t="shared" si="146"/>
        <v>508600830.66626596</v>
      </c>
      <c r="W327" s="365"/>
      <c r="X327" s="377">
        <f t="shared" si="124"/>
        <v>0</v>
      </c>
      <c r="Y327" s="377">
        <f t="shared" si="125"/>
        <v>0</v>
      </c>
      <c r="Z327" s="377">
        <f t="shared" si="126"/>
        <v>0</v>
      </c>
      <c r="AA327" s="377">
        <f t="shared" si="127"/>
        <v>0</v>
      </c>
      <c r="AB327" s="377">
        <f t="shared" si="128"/>
        <v>0</v>
      </c>
      <c r="AC327" s="377">
        <f t="shared" si="129"/>
        <v>0</v>
      </c>
      <c r="AD327" s="376"/>
      <c r="AE327" s="332">
        <v>312</v>
      </c>
      <c r="AF327" s="350">
        <v>133289033.43798849</v>
      </c>
      <c r="AG327" s="350">
        <v>134382270.15327293</v>
      </c>
      <c r="AH327" s="350">
        <v>135429698.65362632</v>
      </c>
      <c r="AI327" s="350">
        <v>136479616.1318292</v>
      </c>
      <c r="AJ327" s="350">
        <v>137535283.95123765</v>
      </c>
      <c r="AK327" s="348">
        <v>677115902.32795453</v>
      </c>
      <c r="AL327" s="369"/>
      <c r="AM327" s="350">
        <v>169379003.36061206</v>
      </c>
      <c r="AN327" s="350">
        <v>207281697.09540385</v>
      </c>
      <c r="AO327" s="350">
        <v>245695379.82773086</v>
      </c>
      <c r="AP327" s="350">
        <v>284683454.79200393</v>
      </c>
      <c r="AQ327" s="350">
        <v>324255639.90166152</v>
      </c>
      <c r="AR327" s="348">
        <v>1231295174.9774122</v>
      </c>
      <c r="AS327" s="369"/>
      <c r="AT327" s="350">
        <f t="shared" si="147"/>
        <v>36089969.922623575</v>
      </c>
      <c r="AU327" s="350">
        <f t="shared" si="130"/>
        <v>72899426.942130923</v>
      </c>
      <c r="AV327" s="350">
        <f t="shared" si="131"/>
        <v>110265681.17410454</v>
      </c>
      <c r="AW327" s="350">
        <f t="shared" si="132"/>
        <v>148203838.66017473</v>
      </c>
      <c r="AX327" s="350">
        <f t="shared" si="133"/>
        <v>186720355.95042387</v>
      </c>
      <c r="AY327" s="350">
        <f t="shared" si="134"/>
        <v>554179272.64945769</v>
      </c>
      <c r="AZ327" s="365"/>
      <c r="BA327" s="377">
        <f t="shared" si="135"/>
        <v>0</v>
      </c>
      <c r="BB327" s="377">
        <f t="shared" si="136"/>
        <v>0</v>
      </c>
      <c r="BC327" s="377">
        <f t="shared" si="137"/>
        <v>0</v>
      </c>
      <c r="BD327" s="377">
        <f t="shared" si="138"/>
        <v>0</v>
      </c>
      <c r="BE327" s="377">
        <f t="shared" si="139"/>
        <v>0</v>
      </c>
      <c r="BF327" s="377">
        <f t="shared" si="140"/>
        <v>0</v>
      </c>
      <c r="BG327" s="328"/>
    </row>
    <row r="328" spans="2:59">
      <c r="B328" s="332">
        <v>313</v>
      </c>
      <c r="C328" s="350">
        <v>138207614.43835878</v>
      </c>
      <c r="D328" s="350">
        <v>139341193.35733396</v>
      </c>
      <c r="E328" s="350">
        <v>140427273.66412789</v>
      </c>
      <c r="F328" s="350">
        <v>141515934.79608116</v>
      </c>
      <c r="G328" s="350">
        <v>142610558.4661347</v>
      </c>
      <c r="H328" s="348">
        <v>702102574.72203648</v>
      </c>
      <c r="I328" s="369"/>
      <c r="J328" s="350">
        <v>173599644.72400761</v>
      </c>
      <c r="K328" s="350">
        <v>210830862.86980817</v>
      </c>
      <c r="L328" s="350">
        <v>248560612.34075382</v>
      </c>
      <c r="M328" s="350">
        <v>286853786.48386842</v>
      </c>
      <c r="N328" s="350">
        <v>325720098.70520395</v>
      </c>
      <c r="O328" s="348">
        <v>1245565005.123642</v>
      </c>
      <c r="P328" s="369"/>
      <c r="Q328" s="350">
        <f t="shared" si="141"/>
        <v>35392030.285648823</v>
      </c>
      <c r="R328" s="350">
        <f t="shared" si="142"/>
        <v>71489669.512474209</v>
      </c>
      <c r="S328" s="350">
        <f t="shared" si="143"/>
        <v>108133338.67662594</v>
      </c>
      <c r="T328" s="350">
        <f t="shared" si="144"/>
        <v>145337851.68778726</v>
      </c>
      <c r="U328" s="350">
        <f t="shared" si="145"/>
        <v>183109540.23906925</v>
      </c>
      <c r="V328" s="350">
        <f t="shared" si="146"/>
        <v>543462430.40160549</v>
      </c>
      <c r="W328" s="365"/>
      <c r="X328" s="377">
        <f t="shared" si="124"/>
        <v>0</v>
      </c>
      <c r="Y328" s="377">
        <f t="shared" si="125"/>
        <v>0</v>
      </c>
      <c r="Z328" s="377">
        <f t="shared" si="126"/>
        <v>0</v>
      </c>
      <c r="AA328" s="377">
        <f t="shared" si="127"/>
        <v>0</v>
      </c>
      <c r="AB328" s="377">
        <f t="shared" si="128"/>
        <v>0</v>
      </c>
      <c r="AC328" s="377">
        <f t="shared" si="129"/>
        <v>0</v>
      </c>
      <c r="AD328" s="376"/>
      <c r="AE328" s="332">
        <v>313</v>
      </c>
      <c r="AF328" s="350">
        <v>124622359.9792826</v>
      </c>
      <c r="AG328" s="350">
        <v>125644512.63476063</v>
      </c>
      <c r="AH328" s="350">
        <v>126623835.60122457</v>
      </c>
      <c r="AI328" s="350">
        <v>127605485.70808062</v>
      </c>
      <c r="AJ328" s="350">
        <v>128592512.25944403</v>
      </c>
      <c r="AK328" s="348">
        <v>633088706.18279243</v>
      </c>
      <c r="AL328" s="369"/>
      <c r="AM328" s="350">
        <v>159396056.12123972</v>
      </c>
      <c r="AN328" s="350">
        <v>195876407.94322571</v>
      </c>
      <c r="AO328" s="350">
        <v>232850283.48287961</v>
      </c>
      <c r="AP328" s="350">
        <v>270377394.17772138</v>
      </c>
      <c r="AQ328" s="350">
        <v>308467009.06404382</v>
      </c>
      <c r="AR328" s="348">
        <v>1166967150.7891102</v>
      </c>
      <c r="AS328" s="369"/>
      <c r="AT328" s="350">
        <f t="shared" si="147"/>
        <v>34773696.141957119</v>
      </c>
      <c r="AU328" s="350">
        <f t="shared" si="130"/>
        <v>70231895.308465078</v>
      </c>
      <c r="AV328" s="350">
        <f t="shared" si="131"/>
        <v>106226447.88165504</v>
      </c>
      <c r="AW328" s="350">
        <f t="shared" si="132"/>
        <v>142771908.46964076</v>
      </c>
      <c r="AX328" s="350">
        <f t="shared" si="133"/>
        <v>179874496.80459979</v>
      </c>
      <c r="AY328" s="350">
        <f t="shared" si="134"/>
        <v>533878444.60631776</v>
      </c>
      <c r="AZ328" s="365"/>
      <c r="BA328" s="377">
        <f t="shared" si="135"/>
        <v>0</v>
      </c>
      <c r="BB328" s="377">
        <f t="shared" si="136"/>
        <v>0</v>
      </c>
      <c r="BC328" s="377">
        <f t="shared" si="137"/>
        <v>0</v>
      </c>
      <c r="BD328" s="377">
        <f t="shared" si="138"/>
        <v>0</v>
      </c>
      <c r="BE328" s="377">
        <f t="shared" si="139"/>
        <v>0</v>
      </c>
      <c r="BF328" s="377">
        <f t="shared" si="140"/>
        <v>0</v>
      </c>
      <c r="BG328" s="328"/>
    </row>
    <row r="329" spans="2:59">
      <c r="B329" s="332">
        <v>314</v>
      </c>
      <c r="C329" s="350">
        <v>129379753.01483157</v>
      </c>
      <c r="D329" s="350">
        <v>130440925.81023669</v>
      </c>
      <c r="E329" s="350">
        <v>131457633.91577989</v>
      </c>
      <c r="F329" s="350">
        <v>132476757.99907552</v>
      </c>
      <c r="G329" s="350">
        <v>133501463.76981929</v>
      </c>
      <c r="H329" s="348">
        <v>657256534.50974298</v>
      </c>
      <c r="I329" s="369"/>
      <c r="J329" s="350">
        <v>165681832.81469372</v>
      </c>
      <c r="K329" s="350">
        <v>203763810.86516052</v>
      </c>
      <c r="L329" s="350">
        <v>242361316.08426666</v>
      </c>
      <c r="M329" s="350">
        <v>281536423.68600005</v>
      </c>
      <c r="N329" s="350">
        <v>321298793.11519372</v>
      </c>
      <c r="O329" s="348">
        <v>1214642176.5653148</v>
      </c>
      <c r="P329" s="369"/>
      <c r="Q329" s="350">
        <f t="shared" si="141"/>
        <v>36302079.799862146</v>
      </c>
      <c r="R329" s="350">
        <f t="shared" si="142"/>
        <v>73322885.054923832</v>
      </c>
      <c r="S329" s="350">
        <f t="shared" si="143"/>
        <v>110903682.16848677</v>
      </c>
      <c r="T329" s="350">
        <f t="shared" si="144"/>
        <v>149059665.68692452</v>
      </c>
      <c r="U329" s="350">
        <f t="shared" si="145"/>
        <v>187797329.34537444</v>
      </c>
      <c r="V329" s="350">
        <f t="shared" si="146"/>
        <v>557385642.05557179</v>
      </c>
      <c r="W329" s="365"/>
      <c r="X329" s="377">
        <f t="shared" si="124"/>
        <v>0</v>
      </c>
      <c r="Y329" s="377">
        <f t="shared" si="125"/>
        <v>0</v>
      </c>
      <c r="Z329" s="377">
        <f t="shared" si="126"/>
        <v>0</v>
      </c>
      <c r="AA329" s="377">
        <f t="shared" si="127"/>
        <v>0</v>
      </c>
      <c r="AB329" s="377">
        <f t="shared" si="128"/>
        <v>0</v>
      </c>
      <c r="AC329" s="377">
        <f t="shared" si="129"/>
        <v>0</v>
      </c>
      <c r="AD329" s="376"/>
      <c r="AE329" s="332">
        <v>314</v>
      </c>
      <c r="AF329" s="350">
        <v>128226535.18341386</v>
      </c>
      <c r="AG329" s="350">
        <v>129278249.28562042</v>
      </c>
      <c r="AH329" s="350">
        <v>130285895.0310235</v>
      </c>
      <c r="AI329" s="350">
        <v>131295935.21952182</v>
      </c>
      <c r="AJ329" s="350">
        <v>132311507.34346813</v>
      </c>
      <c r="AK329" s="348">
        <v>651398122.06304777</v>
      </c>
      <c r="AL329" s="369"/>
      <c r="AM329" s="350">
        <v>158993517.35992664</v>
      </c>
      <c r="AN329" s="350">
        <v>191432150.93087158</v>
      </c>
      <c r="AO329" s="350">
        <v>224301492.53322151</v>
      </c>
      <c r="AP329" s="350">
        <v>257660883.35074344</v>
      </c>
      <c r="AQ329" s="350">
        <v>291518966.13802254</v>
      </c>
      <c r="AR329" s="348">
        <v>1123907010.3127856</v>
      </c>
      <c r="AS329" s="369"/>
      <c r="AT329" s="350">
        <f t="shared" si="147"/>
        <v>30766982.176512778</v>
      </c>
      <c r="AU329" s="350">
        <f t="shared" si="130"/>
        <v>62153901.645251155</v>
      </c>
      <c r="AV329" s="350">
        <f t="shared" si="131"/>
        <v>94015597.502198011</v>
      </c>
      <c r="AW329" s="350">
        <f t="shared" si="132"/>
        <v>126364948.13122162</v>
      </c>
      <c r="AX329" s="350">
        <f t="shared" si="133"/>
        <v>159207458.79455441</v>
      </c>
      <c r="AY329" s="350">
        <f t="shared" si="134"/>
        <v>472508888.24973786</v>
      </c>
      <c r="AZ329" s="365"/>
      <c r="BA329" s="377">
        <f t="shared" si="135"/>
        <v>0</v>
      </c>
      <c r="BB329" s="377">
        <f t="shared" si="136"/>
        <v>0</v>
      </c>
      <c r="BC329" s="377">
        <f t="shared" si="137"/>
        <v>0</v>
      </c>
      <c r="BD329" s="377">
        <f t="shared" si="138"/>
        <v>0</v>
      </c>
      <c r="BE329" s="377">
        <f t="shared" si="139"/>
        <v>0</v>
      </c>
      <c r="BF329" s="377">
        <f t="shared" si="140"/>
        <v>0</v>
      </c>
      <c r="BG329" s="328"/>
    </row>
    <row r="330" spans="2:59">
      <c r="B330" s="332">
        <v>315</v>
      </c>
      <c r="C330" s="350">
        <v>141801369.00023067</v>
      </c>
      <c r="D330" s="350">
        <v>142964423.89582163</v>
      </c>
      <c r="E330" s="350">
        <v>144078745.0927645</v>
      </c>
      <c r="F330" s="350">
        <v>145195714.22297961</v>
      </c>
      <c r="G330" s="350">
        <v>146318800.93266934</v>
      </c>
      <c r="H330" s="348">
        <v>720359053.14446568</v>
      </c>
      <c r="I330" s="369"/>
      <c r="J330" s="350">
        <v>175077242.31060675</v>
      </c>
      <c r="K330" s="350">
        <v>210174717.71451479</v>
      </c>
      <c r="L330" s="350">
        <v>245736765.23679766</v>
      </c>
      <c r="M330" s="350">
        <v>281828694.39643842</v>
      </c>
      <c r="N330" s="350">
        <v>318459927.20506781</v>
      </c>
      <c r="O330" s="348">
        <v>1231277346.8634255</v>
      </c>
      <c r="P330" s="369"/>
      <c r="Q330" s="350">
        <f t="shared" si="141"/>
        <v>33275873.310376078</v>
      </c>
      <c r="R330" s="350">
        <f t="shared" si="142"/>
        <v>67210293.818693161</v>
      </c>
      <c r="S330" s="350">
        <f t="shared" si="143"/>
        <v>101658020.14403316</v>
      </c>
      <c r="T330" s="350">
        <f t="shared" si="144"/>
        <v>136632980.17345881</v>
      </c>
      <c r="U330" s="350">
        <f t="shared" si="145"/>
        <v>172141126.27239847</v>
      </c>
      <c r="V330" s="350">
        <f t="shared" si="146"/>
        <v>510918293.71895981</v>
      </c>
      <c r="W330" s="365"/>
      <c r="X330" s="377">
        <f t="shared" si="124"/>
        <v>0</v>
      </c>
      <c r="Y330" s="377">
        <f t="shared" si="125"/>
        <v>0</v>
      </c>
      <c r="Z330" s="377">
        <f t="shared" si="126"/>
        <v>0</v>
      </c>
      <c r="AA330" s="377">
        <f t="shared" si="127"/>
        <v>0</v>
      </c>
      <c r="AB330" s="377">
        <f t="shared" si="128"/>
        <v>0</v>
      </c>
      <c r="AC330" s="377">
        <f t="shared" si="129"/>
        <v>0</v>
      </c>
      <c r="AD330" s="376"/>
      <c r="AE330" s="332">
        <v>315</v>
      </c>
      <c r="AF330" s="350">
        <v>128432831.66415885</v>
      </c>
      <c r="AG330" s="350">
        <v>129486237.81019801</v>
      </c>
      <c r="AH330" s="350">
        <v>130495504.70032609</v>
      </c>
      <c r="AI330" s="350">
        <v>131507169.88583457</v>
      </c>
      <c r="AJ330" s="350">
        <v>132524375.90681174</v>
      </c>
      <c r="AK330" s="348">
        <v>652446119.96732926</v>
      </c>
      <c r="AL330" s="369"/>
      <c r="AM330" s="350">
        <v>158690839.95252746</v>
      </c>
      <c r="AN330" s="350">
        <v>190606223.13871422</v>
      </c>
      <c r="AO330" s="350">
        <v>222944300.23890567</v>
      </c>
      <c r="AP330" s="350">
        <v>255764273.82551363</v>
      </c>
      <c r="AQ330" s="350">
        <v>289074699.75603038</v>
      </c>
      <c r="AR330" s="348">
        <v>1117080336.9116914</v>
      </c>
      <c r="AS330" s="369"/>
      <c r="AT330" s="350">
        <f t="shared" si="147"/>
        <v>30258008.288368613</v>
      </c>
      <c r="AU330" s="350">
        <f t="shared" si="130"/>
        <v>61119985.328516215</v>
      </c>
      <c r="AV330" s="350">
        <f t="shared" si="131"/>
        <v>92448795.538579583</v>
      </c>
      <c r="AW330" s="350">
        <f t="shared" si="132"/>
        <v>124257103.93967906</v>
      </c>
      <c r="AX330" s="350">
        <f t="shared" si="133"/>
        <v>156550323.84921864</v>
      </c>
      <c r="AY330" s="350">
        <f t="shared" si="134"/>
        <v>464634216.94436216</v>
      </c>
      <c r="AZ330" s="365"/>
      <c r="BA330" s="377">
        <f t="shared" si="135"/>
        <v>0</v>
      </c>
      <c r="BB330" s="377">
        <f t="shared" si="136"/>
        <v>0</v>
      </c>
      <c r="BC330" s="377">
        <f t="shared" si="137"/>
        <v>0</v>
      </c>
      <c r="BD330" s="377">
        <f t="shared" si="138"/>
        <v>0</v>
      </c>
      <c r="BE330" s="377">
        <f t="shared" si="139"/>
        <v>0</v>
      </c>
      <c r="BF330" s="377">
        <f t="shared" si="140"/>
        <v>0</v>
      </c>
      <c r="BG330" s="328"/>
    </row>
    <row r="331" spans="2:59">
      <c r="B331" s="332">
        <v>316</v>
      </c>
      <c r="C331" s="350">
        <v>119956677.30678132</v>
      </c>
      <c r="D331" s="350">
        <v>120940562.0307733</v>
      </c>
      <c r="E331" s="350">
        <v>121883220.54796687</v>
      </c>
      <c r="F331" s="350">
        <v>122828119.08074924</v>
      </c>
      <c r="G331" s="350">
        <v>123778192.77165678</v>
      </c>
      <c r="H331" s="348">
        <v>609386771.73792756</v>
      </c>
      <c r="I331" s="369"/>
      <c r="J331" s="350">
        <v>149836939.94422689</v>
      </c>
      <c r="K331" s="350">
        <v>181287673.72115839</v>
      </c>
      <c r="L331" s="350">
        <v>213158033.01427621</v>
      </c>
      <c r="M331" s="350">
        <v>245503990.40812153</v>
      </c>
      <c r="N331" s="350">
        <v>278333825.27959496</v>
      </c>
      <c r="O331" s="348">
        <v>1068120462.367378</v>
      </c>
      <c r="P331" s="369"/>
      <c r="Q331" s="350">
        <f t="shared" si="141"/>
        <v>29880262.637445569</v>
      </c>
      <c r="R331" s="350">
        <f t="shared" si="142"/>
        <v>60347111.690385088</v>
      </c>
      <c r="S331" s="350">
        <f t="shared" si="143"/>
        <v>91274812.466309339</v>
      </c>
      <c r="T331" s="350">
        <f t="shared" si="144"/>
        <v>122675871.32737228</v>
      </c>
      <c r="U331" s="350">
        <f t="shared" si="145"/>
        <v>154555632.50793818</v>
      </c>
      <c r="V331" s="350">
        <f t="shared" si="146"/>
        <v>458733690.62945044</v>
      </c>
      <c r="W331" s="365"/>
      <c r="X331" s="377">
        <f t="shared" si="124"/>
        <v>0</v>
      </c>
      <c r="Y331" s="377">
        <f t="shared" si="125"/>
        <v>0</v>
      </c>
      <c r="Z331" s="377">
        <f t="shared" si="126"/>
        <v>0</v>
      </c>
      <c r="AA331" s="377">
        <f t="shared" si="127"/>
        <v>0</v>
      </c>
      <c r="AB331" s="377">
        <f t="shared" si="128"/>
        <v>0</v>
      </c>
      <c r="AC331" s="377">
        <f t="shared" si="129"/>
        <v>0</v>
      </c>
      <c r="AD331" s="376"/>
      <c r="AE331" s="332">
        <v>316</v>
      </c>
      <c r="AF331" s="350">
        <v>118933595.65260684</v>
      </c>
      <c r="AG331" s="350">
        <v>119909089.06038755</v>
      </c>
      <c r="AH331" s="350">
        <v>120843707.86977376</v>
      </c>
      <c r="AI331" s="350">
        <v>121780547.59019446</v>
      </c>
      <c r="AJ331" s="350">
        <v>122722518.33106115</v>
      </c>
      <c r="AK331" s="348">
        <v>604189458.50402379</v>
      </c>
      <c r="AL331" s="369"/>
      <c r="AM331" s="350">
        <v>148977694.41039103</v>
      </c>
      <c r="AN331" s="350">
        <v>180599034.93317434</v>
      </c>
      <c r="AO331" s="350">
        <v>212643065.6892882</v>
      </c>
      <c r="AP331" s="350">
        <v>245165457.78756189</v>
      </c>
      <c r="AQ331" s="350">
        <v>278174496.6980871</v>
      </c>
      <c r="AR331" s="348">
        <v>1065559749.5185026</v>
      </c>
      <c r="AS331" s="369"/>
      <c r="AT331" s="350">
        <f t="shared" si="147"/>
        <v>30044098.757784188</v>
      </c>
      <c r="AU331" s="350">
        <f t="shared" si="130"/>
        <v>60689945.87278679</v>
      </c>
      <c r="AV331" s="350">
        <f t="shared" si="131"/>
        <v>91799357.819514439</v>
      </c>
      <c r="AW331" s="350">
        <f t="shared" si="132"/>
        <v>123384910.19736743</v>
      </c>
      <c r="AX331" s="350">
        <f t="shared" si="133"/>
        <v>155451978.36702594</v>
      </c>
      <c r="AY331" s="350">
        <f t="shared" si="134"/>
        <v>461370291.0144788</v>
      </c>
      <c r="AZ331" s="365"/>
      <c r="BA331" s="377">
        <f t="shared" si="135"/>
        <v>0</v>
      </c>
      <c r="BB331" s="377">
        <f t="shared" si="136"/>
        <v>0</v>
      </c>
      <c r="BC331" s="377">
        <f t="shared" si="137"/>
        <v>0</v>
      </c>
      <c r="BD331" s="377">
        <f t="shared" si="138"/>
        <v>0</v>
      </c>
      <c r="BE331" s="377">
        <f t="shared" si="139"/>
        <v>0</v>
      </c>
      <c r="BF331" s="377">
        <f t="shared" si="140"/>
        <v>0</v>
      </c>
      <c r="BG331" s="328"/>
    </row>
    <row r="332" spans="2:59">
      <c r="B332" s="332">
        <v>317</v>
      </c>
      <c r="C332" s="350">
        <v>123525566.7955129</v>
      </c>
      <c r="D332" s="350">
        <v>124538723.55277902</v>
      </c>
      <c r="E332" s="350">
        <v>125509427.56230374</v>
      </c>
      <c r="F332" s="350">
        <v>126482438.23121123</v>
      </c>
      <c r="G332" s="350">
        <v>127460778.02689202</v>
      </c>
      <c r="H332" s="348">
        <v>627516934.16869891</v>
      </c>
      <c r="I332" s="369"/>
      <c r="J332" s="350">
        <v>147387672.56218159</v>
      </c>
      <c r="K332" s="350">
        <v>172764928.77393591</v>
      </c>
      <c r="L332" s="350">
        <v>198468287.25046673</v>
      </c>
      <c r="M332" s="350">
        <v>224552496.73014247</v>
      </c>
      <c r="N332" s="350">
        <v>251024852.65858442</v>
      </c>
      <c r="O332" s="348">
        <v>994198237.97531104</v>
      </c>
      <c r="P332" s="369"/>
      <c r="Q332" s="350">
        <f t="shared" si="141"/>
        <v>23862105.766668692</v>
      </c>
      <c r="R332" s="350">
        <f t="shared" si="142"/>
        <v>48226205.221156895</v>
      </c>
      <c r="S332" s="350">
        <f t="shared" si="143"/>
        <v>72958859.688162997</v>
      </c>
      <c r="T332" s="350">
        <f t="shared" si="144"/>
        <v>98070058.498931244</v>
      </c>
      <c r="U332" s="350">
        <f t="shared" si="145"/>
        <v>123564074.63169239</v>
      </c>
      <c r="V332" s="350">
        <f t="shared" si="146"/>
        <v>366681303.80661213</v>
      </c>
      <c r="W332" s="365"/>
      <c r="X332" s="377">
        <f t="shared" si="124"/>
        <v>0</v>
      </c>
      <c r="Y332" s="377">
        <f t="shared" si="125"/>
        <v>0</v>
      </c>
      <c r="Z332" s="377">
        <f t="shared" si="126"/>
        <v>0</v>
      </c>
      <c r="AA332" s="377">
        <f t="shared" si="127"/>
        <v>0</v>
      </c>
      <c r="AB332" s="377">
        <f t="shared" si="128"/>
        <v>0</v>
      </c>
      <c r="AC332" s="377">
        <f t="shared" si="129"/>
        <v>0</v>
      </c>
      <c r="AD332" s="376"/>
      <c r="AE332" s="332">
        <v>317</v>
      </c>
      <c r="AF332" s="350">
        <v>119411274.9405057</v>
      </c>
      <c r="AG332" s="350">
        <v>120390686.27403162</v>
      </c>
      <c r="AH332" s="350">
        <v>121329058.8423526</v>
      </c>
      <c r="AI332" s="350">
        <v>122269661.24167041</v>
      </c>
      <c r="AJ332" s="350">
        <v>123215415.26942299</v>
      </c>
      <c r="AK332" s="348">
        <v>606616096.56798327</v>
      </c>
      <c r="AL332" s="369"/>
      <c r="AM332" s="350">
        <v>149585096.58920392</v>
      </c>
      <c r="AN332" s="350">
        <v>181348540.14900291</v>
      </c>
      <c r="AO332" s="350">
        <v>213536602.7451233</v>
      </c>
      <c r="AP332" s="350">
        <v>246205183.19728816</v>
      </c>
      <c r="AQ332" s="350">
        <v>279362602.76817256</v>
      </c>
      <c r="AR332" s="348">
        <v>1070038025.4487908</v>
      </c>
      <c r="AS332" s="369"/>
      <c r="AT332" s="350">
        <f t="shared" si="147"/>
        <v>30173821.648698226</v>
      </c>
      <c r="AU332" s="350">
        <f t="shared" si="130"/>
        <v>60957853.874971285</v>
      </c>
      <c r="AV332" s="350">
        <f t="shared" si="131"/>
        <v>92207543.902770698</v>
      </c>
      <c r="AW332" s="350">
        <f t="shared" si="132"/>
        <v>123935521.95561774</v>
      </c>
      <c r="AX332" s="350">
        <f t="shared" si="133"/>
        <v>156147187.49874955</v>
      </c>
      <c r="AY332" s="350">
        <f t="shared" si="134"/>
        <v>463421928.88080752</v>
      </c>
      <c r="AZ332" s="365"/>
      <c r="BA332" s="377">
        <f t="shared" si="135"/>
        <v>0</v>
      </c>
      <c r="BB332" s="377">
        <f t="shared" si="136"/>
        <v>0</v>
      </c>
      <c r="BC332" s="377">
        <f t="shared" si="137"/>
        <v>0</v>
      </c>
      <c r="BD332" s="377">
        <f t="shared" si="138"/>
        <v>0</v>
      </c>
      <c r="BE332" s="377">
        <f t="shared" si="139"/>
        <v>0</v>
      </c>
      <c r="BF332" s="377">
        <f t="shared" si="140"/>
        <v>0</v>
      </c>
      <c r="BG332" s="328"/>
    </row>
    <row r="333" spans="2:59">
      <c r="B333" s="332">
        <v>318</v>
      </c>
      <c r="C333" s="350">
        <v>125148494.12612654</v>
      </c>
      <c r="D333" s="350">
        <v>126174962.13412575</v>
      </c>
      <c r="E333" s="350">
        <v>127158419.63353814</v>
      </c>
      <c r="F333" s="350">
        <v>128144214.09812871</v>
      </c>
      <c r="G333" s="350">
        <v>129135407.70564958</v>
      </c>
      <c r="H333" s="348">
        <v>635761497.69756877</v>
      </c>
      <c r="I333" s="369"/>
      <c r="J333" s="350">
        <v>158876108.71295953</v>
      </c>
      <c r="K333" s="350">
        <v>194282954.62293288</v>
      </c>
      <c r="L333" s="350">
        <v>230166834.76568887</v>
      </c>
      <c r="M333" s="350">
        <v>266587212.76389378</v>
      </c>
      <c r="N333" s="350">
        <v>303553181.72038418</v>
      </c>
      <c r="O333" s="348">
        <v>1153466292.5858593</v>
      </c>
      <c r="P333" s="369"/>
      <c r="Q333" s="350">
        <f t="shared" si="141"/>
        <v>33727614.586832985</v>
      </c>
      <c r="R333" s="350">
        <f t="shared" si="142"/>
        <v>68107992.488807127</v>
      </c>
      <c r="S333" s="350">
        <f t="shared" si="143"/>
        <v>103008415.13215072</v>
      </c>
      <c r="T333" s="350">
        <f t="shared" si="144"/>
        <v>138442998.66576508</v>
      </c>
      <c r="U333" s="350">
        <f t="shared" si="145"/>
        <v>174417774.0147346</v>
      </c>
      <c r="V333" s="350">
        <f t="shared" si="146"/>
        <v>517704794.88829052</v>
      </c>
      <c r="W333" s="365"/>
      <c r="X333" s="377">
        <f t="shared" si="124"/>
        <v>0</v>
      </c>
      <c r="Y333" s="377">
        <f t="shared" si="125"/>
        <v>0</v>
      </c>
      <c r="Z333" s="377">
        <f t="shared" si="126"/>
        <v>0</v>
      </c>
      <c r="AA333" s="377">
        <f t="shared" si="127"/>
        <v>0</v>
      </c>
      <c r="AB333" s="377">
        <f t="shared" si="128"/>
        <v>0</v>
      </c>
      <c r="AC333" s="377">
        <f t="shared" si="129"/>
        <v>0</v>
      </c>
      <c r="AD333" s="376"/>
      <c r="AE333" s="332">
        <v>318</v>
      </c>
      <c r="AF333" s="350">
        <v>133435164.40770794</v>
      </c>
      <c r="AG333" s="350">
        <v>134529599.68927509</v>
      </c>
      <c r="AH333" s="350">
        <v>135578176.53423357</v>
      </c>
      <c r="AI333" s="350">
        <v>136629245.08582383</v>
      </c>
      <c r="AJ333" s="350">
        <v>137686070.28298622</v>
      </c>
      <c r="AK333" s="348">
        <v>677858256.0000267</v>
      </c>
      <c r="AL333" s="369"/>
      <c r="AM333" s="350">
        <v>174180673.45361865</v>
      </c>
      <c r="AN333" s="350">
        <v>216789143.25909504</v>
      </c>
      <c r="AO333" s="350">
        <v>259979695.26166111</v>
      </c>
      <c r="AP333" s="350">
        <v>303817731.86521214</v>
      </c>
      <c r="AQ333" s="350">
        <v>348313800.75997406</v>
      </c>
      <c r="AR333" s="348">
        <v>1303081044.599561</v>
      </c>
      <c r="AS333" s="369"/>
      <c r="AT333" s="350">
        <f t="shared" si="147"/>
        <v>40745509.045910701</v>
      </c>
      <c r="AU333" s="350">
        <f t="shared" si="130"/>
        <v>82259543.569819957</v>
      </c>
      <c r="AV333" s="350">
        <f t="shared" si="131"/>
        <v>124401518.72742754</v>
      </c>
      <c r="AW333" s="350">
        <f t="shared" si="132"/>
        <v>167188486.77938831</v>
      </c>
      <c r="AX333" s="350">
        <f t="shared" si="133"/>
        <v>210627730.47698784</v>
      </c>
      <c r="AY333" s="350">
        <f t="shared" si="134"/>
        <v>625222788.59953427</v>
      </c>
      <c r="AZ333" s="365"/>
      <c r="BA333" s="377">
        <f t="shared" si="135"/>
        <v>0</v>
      </c>
      <c r="BB333" s="377">
        <f t="shared" si="136"/>
        <v>0</v>
      </c>
      <c r="BC333" s="377">
        <f t="shared" si="137"/>
        <v>0</v>
      </c>
      <c r="BD333" s="377">
        <f t="shared" si="138"/>
        <v>0</v>
      </c>
      <c r="BE333" s="377">
        <f t="shared" si="139"/>
        <v>0</v>
      </c>
      <c r="BF333" s="377">
        <f t="shared" si="140"/>
        <v>0</v>
      </c>
      <c r="BG333" s="328"/>
    </row>
    <row r="334" spans="2:59">
      <c r="B334" s="332">
        <v>319</v>
      </c>
      <c r="C334" s="350">
        <v>127247689.0250344</v>
      </c>
      <c r="D334" s="350">
        <v>128291374.63058707</v>
      </c>
      <c r="E334" s="350">
        <v>129291328.28507087</v>
      </c>
      <c r="F334" s="350">
        <v>130293658.10412884</v>
      </c>
      <c r="G334" s="350">
        <v>131301477.62935868</v>
      </c>
      <c r="H334" s="348">
        <v>646425527.67417979</v>
      </c>
      <c r="I334" s="369"/>
      <c r="J334" s="350">
        <v>154468753.26800102</v>
      </c>
      <c r="K334" s="350">
        <v>183298453.68193442</v>
      </c>
      <c r="L334" s="350">
        <v>212504736.81076869</v>
      </c>
      <c r="M334" s="350">
        <v>242145105.82522929</v>
      </c>
      <c r="N334" s="350">
        <v>272227547.55623579</v>
      </c>
      <c r="O334" s="348">
        <v>1064644597.1421692</v>
      </c>
      <c r="P334" s="369"/>
      <c r="Q334" s="350">
        <f t="shared" si="141"/>
        <v>27221064.242966622</v>
      </c>
      <c r="R334" s="350">
        <f t="shared" si="142"/>
        <v>55007079.051347345</v>
      </c>
      <c r="S334" s="350">
        <f t="shared" si="143"/>
        <v>83213408.525697827</v>
      </c>
      <c r="T334" s="350">
        <f t="shared" si="144"/>
        <v>111851447.72110045</v>
      </c>
      <c r="U334" s="350">
        <f t="shared" si="145"/>
        <v>140926069.92687711</v>
      </c>
      <c r="V334" s="350">
        <f t="shared" si="146"/>
        <v>418219069.46798944</v>
      </c>
      <c r="W334" s="365"/>
      <c r="X334" s="377">
        <f t="shared" si="124"/>
        <v>0</v>
      </c>
      <c r="Y334" s="377">
        <f t="shared" si="125"/>
        <v>0</v>
      </c>
      <c r="Z334" s="377">
        <f t="shared" si="126"/>
        <v>0</v>
      </c>
      <c r="AA334" s="377">
        <f t="shared" si="127"/>
        <v>0</v>
      </c>
      <c r="AB334" s="377">
        <f t="shared" si="128"/>
        <v>0</v>
      </c>
      <c r="AC334" s="377">
        <f t="shared" si="129"/>
        <v>0</v>
      </c>
      <c r="AD334" s="376"/>
      <c r="AE334" s="332">
        <v>319</v>
      </c>
      <c r="AF334" s="350">
        <v>92912284.556696147</v>
      </c>
      <c r="AG334" s="350">
        <v>93674351.158563942</v>
      </c>
      <c r="AH334" s="350">
        <v>94404486.056893021</v>
      </c>
      <c r="AI334" s="350">
        <v>95136355.956311435</v>
      </c>
      <c r="AJ334" s="350">
        <v>95872234.267559394</v>
      </c>
      <c r="AK334" s="348">
        <v>471999711.99602401</v>
      </c>
      <c r="AL334" s="369"/>
      <c r="AM334" s="350">
        <v>114639621.84411208</v>
      </c>
      <c r="AN334" s="350">
        <v>137565204.0450145</v>
      </c>
      <c r="AO334" s="350">
        <v>160794111.73329315</v>
      </c>
      <c r="AP334" s="350">
        <v>184369106.1106264</v>
      </c>
      <c r="AQ334" s="350">
        <v>208296348.10271931</v>
      </c>
      <c r="AR334" s="348">
        <v>805664391.83576536</v>
      </c>
      <c r="AS334" s="369"/>
      <c r="AT334" s="350">
        <f t="shared" si="147"/>
        <v>21727337.287415937</v>
      </c>
      <c r="AU334" s="350">
        <f t="shared" si="130"/>
        <v>43890852.886450559</v>
      </c>
      <c r="AV334" s="350">
        <f t="shared" si="131"/>
        <v>66389625.676400125</v>
      </c>
      <c r="AW334" s="350">
        <f t="shared" si="132"/>
        <v>89232750.154314965</v>
      </c>
      <c r="AX334" s="350">
        <f t="shared" si="133"/>
        <v>112424113.83515991</v>
      </c>
      <c r="AY334" s="350">
        <f t="shared" si="134"/>
        <v>333664679.83974135</v>
      </c>
      <c r="AZ334" s="365"/>
      <c r="BA334" s="377">
        <f t="shared" si="135"/>
        <v>0</v>
      </c>
      <c r="BB334" s="377">
        <f t="shared" si="136"/>
        <v>0</v>
      </c>
      <c r="BC334" s="377">
        <f t="shared" si="137"/>
        <v>0</v>
      </c>
      <c r="BD334" s="377">
        <f t="shared" si="138"/>
        <v>0</v>
      </c>
      <c r="BE334" s="377">
        <f t="shared" si="139"/>
        <v>0</v>
      </c>
      <c r="BF334" s="377">
        <f t="shared" si="140"/>
        <v>0</v>
      </c>
      <c r="BG334" s="328"/>
    </row>
    <row r="335" spans="2:59">
      <c r="B335" s="332">
        <v>320</v>
      </c>
      <c r="C335" s="350">
        <v>130814830.89908452</v>
      </c>
      <c r="D335" s="350">
        <v>131887774.20397487</v>
      </c>
      <c r="E335" s="350">
        <v>132915759.61746624</v>
      </c>
      <c r="F335" s="350">
        <v>133946187.80669162</v>
      </c>
      <c r="G335" s="350">
        <v>134982259.59534156</v>
      </c>
      <c r="H335" s="348">
        <v>664546812.12255883</v>
      </c>
      <c r="I335" s="369"/>
      <c r="J335" s="350">
        <v>169128914.47577292</v>
      </c>
      <c r="K335" s="350">
        <v>209250698.72252959</v>
      </c>
      <c r="L335" s="350">
        <v>249918182.82867211</v>
      </c>
      <c r="M335" s="350">
        <v>291194802.82652527</v>
      </c>
      <c r="N335" s="350">
        <v>333090609.54992151</v>
      </c>
      <c r="O335" s="348">
        <v>1252583208.4034214</v>
      </c>
      <c r="P335" s="369"/>
      <c r="Q335" s="350">
        <f t="shared" si="141"/>
        <v>38314083.576688394</v>
      </c>
      <c r="R335" s="350">
        <f t="shared" si="142"/>
        <v>77362924.518554717</v>
      </c>
      <c r="S335" s="350">
        <f t="shared" si="143"/>
        <v>117002423.21120587</v>
      </c>
      <c r="T335" s="350">
        <f t="shared" si="144"/>
        <v>157248615.01983365</v>
      </c>
      <c r="U335" s="350">
        <f t="shared" si="145"/>
        <v>198108349.95457995</v>
      </c>
      <c r="V335" s="350">
        <f t="shared" si="146"/>
        <v>588036396.28086257</v>
      </c>
      <c r="W335" s="365"/>
      <c r="X335" s="377">
        <f t="shared" si="124"/>
        <v>0</v>
      </c>
      <c r="Y335" s="377">
        <f t="shared" si="125"/>
        <v>0</v>
      </c>
      <c r="Z335" s="377">
        <f t="shared" si="126"/>
        <v>0</v>
      </c>
      <c r="AA335" s="377">
        <f t="shared" si="127"/>
        <v>0</v>
      </c>
      <c r="AB335" s="377">
        <f t="shared" si="128"/>
        <v>0</v>
      </c>
      <c r="AC335" s="377">
        <f t="shared" si="129"/>
        <v>0</v>
      </c>
      <c r="AD335" s="376"/>
      <c r="AE335" s="332">
        <v>320</v>
      </c>
      <c r="AF335" s="350">
        <v>164460166.42888701</v>
      </c>
      <c r="AG335" s="350">
        <v>165809068.79170209</v>
      </c>
      <c r="AH335" s="350">
        <v>167101450.17558107</v>
      </c>
      <c r="AI335" s="350">
        <v>168396902.61265033</v>
      </c>
      <c r="AJ335" s="350">
        <v>169699450.17260623</v>
      </c>
      <c r="AK335" s="348">
        <v>835467038.18142676</v>
      </c>
      <c r="AL335" s="369"/>
      <c r="AM335" s="350">
        <v>200003104.47115901</v>
      </c>
      <c r="AN335" s="350">
        <v>237602780.438546</v>
      </c>
      <c r="AO335" s="350">
        <v>275694281.38569456</v>
      </c>
      <c r="AP335" s="350">
        <v>314352076.37585676</v>
      </c>
      <c r="AQ335" s="350">
        <v>353586548.05011952</v>
      </c>
      <c r="AR335" s="348">
        <v>1381238790.7213759</v>
      </c>
      <c r="AS335" s="369"/>
      <c r="AT335" s="350">
        <f t="shared" si="147"/>
        <v>35542938.042272002</v>
      </c>
      <c r="AU335" s="350">
        <f t="shared" si="130"/>
        <v>71793711.64684391</v>
      </c>
      <c r="AV335" s="350">
        <f t="shared" si="131"/>
        <v>108592831.2101135</v>
      </c>
      <c r="AW335" s="350">
        <f t="shared" si="132"/>
        <v>145955173.76320642</v>
      </c>
      <c r="AX335" s="350">
        <f t="shared" si="133"/>
        <v>183887097.87751329</v>
      </c>
      <c r="AY335" s="350">
        <f t="shared" si="134"/>
        <v>545771752.53994918</v>
      </c>
      <c r="AZ335" s="365"/>
      <c r="BA335" s="377">
        <f t="shared" si="135"/>
        <v>0</v>
      </c>
      <c r="BB335" s="377">
        <f t="shared" si="136"/>
        <v>0</v>
      </c>
      <c r="BC335" s="377">
        <f t="shared" si="137"/>
        <v>0</v>
      </c>
      <c r="BD335" s="377">
        <f t="shared" si="138"/>
        <v>0</v>
      </c>
      <c r="BE335" s="377">
        <f t="shared" si="139"/>
        <v>0</v>
      </c>
      <c r="BF335" s="377">
        <f t="shared" si="140"/>
        <v>0</v>
      </c>
      <c r="BG335" s="328"/>
    </row>
    <row r="336" spans="2:59">
      <c r="B336" s="332">
        <v>321</v>
      </c>
      <c r="C336" s="350">
        <v>135210365.56520429</v>
      </c>
      <c r="D336" s="350">
        <v>136319361.0475046</v>
      </c>
      <c r="E336" s="350">
        <v>137381887.99952191</v>
      </c>
      <c r="F336" s="350">
        <v>138446939.80745748</v>
      </c>
      <c r="G336" s="350">
        <v>139517824.84650338</v>
      </c>
      <c r="H336" s="348">
        <v>686876379.26619172</v>
      </c>
      <c r="I336" s="369"/>
      <c r="J336" s="350">
        <v>165204735.29541171</v>
      </c>
      <c r="K336" s="350">
        <v>196899055.73870197</v>
      </c>
      <c r="L336" s="350">
        <v>229009552.46525979</v>
      </c>
      <c r="M336" s="350">
        <v>261597773.10116476</v>
      </c>
      <c r="N336" s="350">
        <v>294672390.98953438</v>
      </c>
      <c r="O336" s="348">
        <v>1147383507.5900726</v>
      </c>
      <c r="P336" s="369"/>
      <c r="Q336" s="350">
        <f t="shared" si="141"/>
        <v>29994369.730207413</v>
      </c>
      <c r="R336" s="350">
        <f t="shared" si="142"/>
        <v>60579694.691197366</v>
      </c>
      <c r="S336" s="350">
        <f t="shared" si="143"/>
        <v>91627664.465737879</v>
      </c>
      <c r="T336" s="350">
        <f t="shared" si="144"/>
        <v>123150833.29370728</v>
      </c>
      <c r="U336" s="350">
        <f t="shared" si="145"/>
        <v>155154566.143031</v>
      </c>
      <c r="V336" s="350">
        <f t="shared" si="146"/>
        <v>460507128.32388091</v>
      </c>
      <c r="W336" s="365"/>
      <c r="X336" s="377">
        <f t="shared" ref="X336:X399" si="148">IF(Q336&lt;Q$8,1,0)</f>
        <v>0</v>
      </c>
      <c r="Y336" s="377">
        <f t="shared" ref="Y336:Y399" si="149">IF(R336&lt;R$8,1,0)</f>
        <v>0</v>
      </c>
      <c r="Z336" s="377">
        <f t="shared" ref="Z336:Z399" si="150">IF(S336&lt;S$8,1,0)</f>
        <v>0</v>
      </c>
      <c r="AA336" s="377">
        <f t="shared" ref="AA336:AA399" si="151">IF(T336&lt;T$8,1,0)</f>
        <v>0</v>
      </c>
      <c r="AB336" s="377">
        <f t="shared" ref="AB336:AB399" si="152">IF(U336&lt;U$8,1,0)</f>
        <v>0</v>
      </c>
      <c r="AC336" s="377">
        <f t="shared" ref="AC336:AC399" si="153">IF(V336&lt;V$8,1,0)</f>
        <v>0</v>
      </c>
      <c r="AD336" s="376"/>
      <c r="AE336" s="332">
        <v>321</v>
      </c>
      <c r="AF336" s="350">
        <v>118076654.76480754</v>
      </c>
      <c r="AG336" s="350">
        <v>119045119.54302129</v>
      </c>
      <c r="AH336" s="350">
        <v>119973004.23268402</v>
      </c>
      <c r="AI336" s="350">
        <v>120903093.83126286</v>
      </c>
      <c r="AJ336" s="350">
        <v>121838277.48023573</v>
      </c>
      <c r="AK336" s="348">
        <v>599836149.85201144</v>
      </c>
      <c r="AL336" s="369"/>
      <c r="AM336" s="350">
        <v>150155570.28427917</v>
      </c>
      <c r="AN336" s="350">
        <v>183817462.62665242</v>
      </c>
      <c r="AO336" s="350">
        <v>217933299.52655858</v>
      </c>
      <c r="AP336" s="350">
        <v>252559291.74155846</v>
      </c>
      <c r="AQ336" s="350">
        <v>287704063.56180286</v>
      </c>
      <c r="AR336" s="348">
        <v>1092169687.7408514</v>
      </c>
      <c r="AS336" s="369"/>
      <c r="AT336" s="350">
        <f t="shared" si="147"/>
        <v>32078915.51947163</v>
      </c>
      <c r="AU336" s="350">
        <f t="shared" ref="AU336:AU399" si="154">AN336-AG336</f>
        <v>64772343.083631128</v>
      </c>
      <c r="AV336" s="350">
        <f t="shared" ref="AV336:AV399" si="155">AO336-AH336</f>
        <v>97960295.293874562</v>
      </c>
      <c r="AW336" s="350">
        <f t="shared" ref="AW336:AW399" si="156">AP336-AI336</f>
        <v>131656197.91029561</v>
      </c>
      <c r="AX336" s="350">
        <f t="shared" ref="AX336:AX399" si="157">AQ336-AJ336</f>
        <v>165865786.08156714</v>
      </c>
      <c r="AY336" s="350">
        <f t="shared" ref="AY336:AY399" si="158">AR336-AK336</f>
        <v>492333537.88883996</v>
      </c>
      <c r="AZ336" s="365"/>
      <c r="BA336" s="377">
        <f t="shared" ref="BA336:BA399" si="159">IF(AT336&lt;AT$8,1,0)</f>
        <v>0</v>
      </c>
      <c r="BB336" s="377">
        <f t="shared" ref="BB336:BB399" si="160">IF(AU336&lt;AU$8,1,0)</f>
        <v>0</v>
      </c>
      <c r="BC336" s="377">
        <f t="shared" ref="BC336:BC399" si="161">IF(AV336&lt;AV$8,1,0)</f>
        <v>0</v>
      </c>
      <c r="BD336" s="377">
        <f t="shared" ref="BD336:BD399" si="162">IF(AW336&lt;AW$8,1,0)</f>
        <v>0</v>
      </c>
      <c r="BE336" s="377">
        <f t="shared" ref="BE336:BE399" si="163">IF(AX336&lt;AX$8,1,0)</f>
        <v>0</v>
      </c>
      <c r="BF336" s="377">
        <f t="shared" ref="BF336:BF399" si="164">IF(AY336&lt;AY$8,1,0)</f>
        <v>0</v>
      </c>
      <c r="BG336" s="328"/>
    </row>
    <row r="337" spans="2:59">
      <c r="B337" s="332">
        <v>322</v>
      </c>
      <c r="C337" s="350">
        <v>141186610.02195287</v>
      </c>
      <c r="D337" s="350">
        <v>142344622.66411337</v>
      </c>
      <c r="E337" s="350">
        <v>143454112.8854081</v>
      </c>
      <c r="F337" s="350">
        <v>144566239.56024992</v>
      </c>
      <c r="G337" s="350">
        <v>145684457.29270035</v>
      </c>
      <c r="H337" s="348">
        <v>717236042.42442465</v>
      </c>
      <c r="I337" s="369"/>
      <c r="J337" s="350">
        <v>175918918.65518138</v>
      </c>
      <c r="K337" s="350">
        <v>212524224.61761227</v>
      </c>
      <c r="L337" s="350">
        <v>249617211.0725731</v>
      </c>
      <c r="M337" s="350">
        <v>287263575.91873437</v>
      </c>
      <c r="N337" s="350">
        <v>325472990.86677599</v>
      </c>
      <c r="O337" s="348">
        <v>1250796921.130877</v>
      </c>
      <c r="P337" s="369"/>
      <c r="Q337" s="350">
        <f t="shared" ref="Q337:Q400" si="165">J337-C337</f>
        <v>34732308.633228511</v>
      </c>
      <c r="R337" s="350">
        <f t="shared" ref="R337:R400" si="166">K337-D337</f>
        <v>70179601.9534989</v>
      </c>
      <c r="S337" s="350">
        <f t="shared" ref="S337:S400" si="167">L337-E337</f>
        <v>106163098.18716499</v>
      </c>
      <c r="T337" s="350">
        <f t="shared" ref="T337:T400" si="168">M337-F337</f>
        <v>142697336.35848445</v>
      </c>
      <c r="U337" s="350">
        <f t="shared" ref="U337:U400" si="169">N337-G337</f>
        <v>179788533.57407564</v>
      </c>
      <c r="V337" s="350">
        <f t="shared" ref="V337:V400" si="170">O337-H337</f>
        <v>533560878.70645237</v>
      </c>
      <c r="W337" s="365"/>
      <c r="X337" s="377">
        <f t="shared" si="148"/>
        <v>0</v>
      </c>
      <c r="Y337" s="377">
        <f t="shared" si="149"/>
        <v>0</v>
      </c>
      <c r="Z337" s="377">
        <f t="shared" si="150"/>
        <v>0</v>
      </c>
      <c r="AA337" s="377">
        <f t="shared" si="151"/>
        <v>0</v>
      </c>
      <c r="AB337" s="377">
        <f t="shared" si="152"/>
        <v>0</v>
      </c>
      <c r="AC337" s="377">
        <f t="shared" si="153"/>
        <v>0</v>
      </c>
      <c r="AD337" s="376"/>
      <c r="AE337" s="332">
        <v>322</v>
      </c>
      <c r="AF337" s="350">
        <v>138046809.19052896</v>
      </c>
      <c r="AG337" s="350">
        <v>139179069.1847854</v>
      </c>
      <c r="AH337" s="350">
        <v>140263885.83173245</v>
      </c>
      <c r="AI337" s="350">
        <v>141351280.30103591</v>
      </c>
      <c r="AJ337" s="350">
        <v>142444630.37099689</v>
      </c>
      <c r="AK337" s="348">
        <v>701285674.87907958</v>
      </c>
      <c r="AL337" s="369"/>
      <c r="AM337" s="350">
        <v>168949408.45519856</v>
      </c>
      <c r="AN337" s="350">
        <v>201601779.87154979</v>
      </c>
      <c r="AO337" s="350">
        <v>234683496.68199012</v>
      </c>
      <c r="AP337" s="350">
        <v>268257514.91980267</v>
      </c>
      <c r="AQ337" s="350">
        <v>302332741.10475397</v>
      </c>
      <c r="AR337" s="348">
        <v>1175824941.0332952</v>
      </c>
      <c r="AS337" s="369"/>
      <c r="AT337" s="350">
        <f t="shared" ref="AT337:AT400" si="171">AM337-AF337</f>
        <v>30902599.264669597</v>
      </c>
      <c r="AU337" s="350">
        <f t="shared" si="154"/>
        <v>62422710.686764389</v>
      </c>
      <c r="AV337" s="350">
        <f t="shared" si="155"/>
        <v>94419610.850257665</v>
      </c>
      <c r="AW337" s="350">
        <f t="shared" si="156"/>
        <v>126906234.61876675</v>
      </c>
      <c r="AX337" s="350">
        <f t="shared" si="157"/>
        <v>159888110.73375708</v>
      </c>
      <c r="AY337" s="350">
        <f t="shared" si="158"/>
        <v>474539266.15421557</v>
      </c>
      <c r="AZ337" s="365"/>
      <c r="BA337" s="377">
        <f t="shared" si="159"/>
        <v>0</v>
      </c>
      <c r="BB337" s="377">
        <f t="shared" si="160"/>
        <v>0</v>
      </c>
      <c r="BC337" s="377">
        <f t="shared" si="161"/>
        <v>0</v>
      </c>
      <c r="BD337" s="377">
        <f t="shared" si="162"/>
        <v>0</v>
      </c>
      <c r="BE337" s="377">
        <f t="shared" si="163"/>
        <v>0</v>
      </c>
      <c r="BF337" s="377">
        <f t="shared" si="164"/>
        <v>0</v>
      </c>
      <c r="BG337" s="328"/>
    </row>
    <row r="338" spans="2:59">
      <c r="B338" s="332">
        <v>323</v>
      </c>
      <c r="C338" s="350">
        <v>118380116.27479532</v>
      </c>
      <c r="D338" s="350">
        <v>119351070.04445753</v>
      </c>
      <c r="E338" s="350">
        <v>120281339.43319201</v>
      </c>
      <c r="F338" s="350">
        <v>121213819.39754274</v>
      </c>
      <c r="G338" s="350">
        <v>122151406.50419149</v>
      </c>
      <c r="H338" s="348">
        <v>601377751.6541791</v>
      </c>
      <c r="I338" s="369"/>
      <c r="J338" s="350">
        <v>149300969.47435236</v>
      </c>
      <c r="K338" s="350">
        <v>181796374.09039161</v>
      </c>
      <c r="L338" s="350">
        <v>214727942.10590562</v>
      </c>
      <c r="M338" s="350">
        <v>248151510.18815717</v>
      </c>
      <c r="N338" s="350">
        <v>282075504.73146266</v>
      </c>
      <c r="O338" s="348">
        <v>1076052300.5902696</v>
      </c>
      <c r="P338" s="369"/>
      <c r="Q338" s="350">
        <f t="shared" si="165"/>
        <v>30920853.199557036</v>
      </c>
      <c r="R338" s="350">
        <f t="shared" si="166"/>
        <v>62445304.045934081</v>
      </c>
      <c r="S338" s="350">
        <f t="shared" si="167"/>
        <v>94446602.672713608</v>
      </c>
      <c r="T338" s="350">
        <f t="shared" si="168"/>
        <v>126937690.79061443</v>
      </c>
      <c r="U338" s="350">
        <f t="shared" si="169"/>
        <v>159924098.22727117</v>
      </c>
      <c r="V338" s="350">
        <f t="shared" si="170"/>
        <v>474674548.93609047</v>
      </c>
      <c r="W338" s="365"/>
      <c r="X338" s="377">
        <f t="shared" si="148"/>
        <v>0</v>
      </c>
      <c r="Y338" s="377">
        <f t="shared" si="149"/>
        <v>0</v>
      </c>
      <c r="Z338" s="377">
        <f t="shared" si="150"/>
        <v>0</v>
      </c>
      <c r="AA338" s="377">
        <f t="shared" si="151"/>
        <v>0</v>
      </c>
      <c r="AB338" s="377">
        <f t="shared" si="152"/>
        <v>0</v>
      </c>
      <c r="AC338" s="377">
        <f t="shared" si="153"/>
        <v>0</v>
      </c>
      <c r="AD338" s="376"/>
      <c r="AE338" s="332">
        <v>323</v>
      </c>
      <c r="AF338" s="350">
        <v>132851216.49442902</v>
      </c>
      <c r="AG338" s="350">
        <v>133940862.23493531</v>
      </c>
      <c r="AH338" s="350">
        <v>134984850.22759807</v>
      </c>
      <c r="AI338" s="350">
        <v>136031319.02251893</v>
      </c>
      <c r="AJ338" s="350">
        <v>137083519.27039367</v>
      </c>
      <c r="AK338" s="348">
        <v>674891767.24987507</v>
      </c>
      <c r="AL338" s="369"/>
      <c r="AM338" s="350">
        <v>165124679.73827571</v>
      </c>
      <c r="AN338" s="350">
        <v>199133806.82490605</v>
      </c>
      <c r="AO338" s="350">
        <v>233595232.97865897</v>
      </c>
      <c r="AP338" s="350">
        <v>268570605.47595394</v>
      </c>
      <c r="AQ338" s="350">
        <v>304068949.13816988</v>
      </c>
      <c r="AR338" s="348">
        <v>1170493274.1559646</v>
      </c>
      <c r="AS338" s="369"/>
      <c r="AT338" s="350">
        <f t="shared" si="171"/>
        <v>32273463.243846685</v>
      </c>
      <c r="AU338" s="350">
        <f t="shared" si="154"/>
        <v>65192944.589970738</v>
      </c>
      <c r="AV338" s="350">
        <f t="shared" si="155"/>
        <v>98610382.751060903</v>
      </c>
      <c r="AW338" s="350">
        <f t="shared" si="156"/>
        <v>132539286.453435</v>
      </c>
      <c r="AX338" s="350">
        <f t="shared" si="157"/>
        <v>166985429.86777622</v>
      </c>
      <c r="AY338" s="350">
        <f t="shared" si="158"/>
        <v>495601506.90608954</v>
      </c>
      <c r="AZ338" s="365"/>
      <c r="BA338" s="377">
        <f t="shared" si="159"/>
        <v>0</v>
      </c>
      <c r="BB338" s="377">
        <f t="shared" si="160"/>
        <v>0</v>
      </c>
      <c r="BC338" s="377">
        <f t="shared" si="161"/>
        <v>0</v>
      </c>
      <c r="BD338" s="377">
        <f t="shared" si="162"/>
        <v>0</v>
      </c>
      <c r="BE338" s="377">
        <f t="shared" si="163"/>
        <v>0</v>
      </c>
      <c r="BF338" s="377">
        <f t="shared" si="164"/>
        <v>0</v>
      </c>
      <c r="BG338" s="328"/>
    </row>
    <row r="339" spans="2:59">
      <c r="B339" s="332">
        <v>324</v>
      </c>
      <c r="C339" s="350">
        <v>141078154.76499426</v>
      </c>
      <c r="D339" s="350">
        <v>142235277.85708585</v>
      </c>
      <c r="E339" s="350">
        <v>143343915.80175874</v>
      </c>
      <c r="F339" s="350">
        <v>144455188.17473528</v>
      </c>
      <c r="G339" s="350">
        <v>145572546.92635539</v>
      </c>
      <c r="H339" s="348">
        <v>716685083.52492952</v>
      </c>
      <c r="I339" s="369"/>
      <c r="J339" s="350">
        <v>176721169.62029496</v>
      </c>
      <c r="K339" s="350">
        <v>214223591.87253517</v>
      </c>
      <c r="L339" s="350">
        <v>252227301.28537169</v>
      </c>
      <c r="M339" s="350">
        <v>290798335.93511045</v>
      </c>
      <c r="N339" s="350">
        <v>329946523.09547949</v>
      </c>
      <c r="O339" s="348">
        <v>1263916921.8087916</v>
      </c>
      <c r="P339" s="369"/>
      <c r="Q339" s="350">
        <f t="shared" si="165"/>
        <v>35643014.855300695</v>
      </c>
      <c r="R339" s="350">
        <f t="shared" si="166"/>
        <v>71988314.015449315</v>
      </c>
      <c r="S339" s="350">
        <f t="shared" si="167"/>
        <v>108883385.48361295</v>
      </c>
      <c r="T339" s="350">
        <f t="shared" si="168"/>
        <v>146343147.76037517</v>
      </c>
      <c r="U339" s="350">
        <f t="shared" si="169"/>
        <v>184373976.1691241</v>
      </c>
      <c r="V339" s="350">
        <f t="shared" si="170"/>
        <v>547231838.28386211</v>
      </c>
      <c r="W339" s="365"/>
      <c r="X339" s="377">
        <f t="shared" si="148"/>
        <v>0</v>
      </c>
      <c r="Y339" s="377">
        <f t="shared" si="149"/>
        <v>0</v>
      </c>
      <c r="Z339" s="377">
        <f t="shared" si="150"/>
        <v>0</v>
      </c>
      <c r="AA339" s="377">
        <f t="shared" si="151"/>
        <v>0</v>
      </c>
      <c r="AB339" s="377">
        <f t="shared" si="152"/>
        <v>0</v>
      </c>
      <c r="AC339" s="377">
        <f t="shared" si="153"/>
        <v>0</v>
      </c>
      <c r="AD339" s="376"/>
      <c r="AE339" s="332">
        <v>324</v>
      </c>
      <c r="AF339" s="350">
        <v>135951296.69268361</v>
      </c>
      <c r="AG339" s="350">
        <v>137066369.29244187</v>
      </c>
      <c r="AH339" s="350">
        <v>138134718.72182059</v>
      </c>
      <c r="AI339" s="350">
        <v>139205606.84292325</v>
      </c>
      <c r="AJ339" s="350">
        <v>140282360.16030765</v>
      </c>
      <c r="AK339" s="348">
        <v>690640351.71017694</v>
      </c>
      <c r="AL339" s="369"/>
      <c r="AM339" s="350">
        <v>170195475.08425352</v>
      </c>
      <c r="AN339" s="350">
        <v>206243934.20891693</v>
      </c>
      <c r="AO339" s="350">
        <v>242774092.06196332</v>
      </c>
      <c r="AP339" s="350">
        <v>279849544.32338196</v>
      </c>
      <c r="AQ339" s="350">
        <v>317479744.82793599</v>
      </c>
      <c r="AR339" s="348">
        <v>1216542790.5064516</v>
      </c>
      <c r="AS339" s="369"/>
      <c r="AT339" s="350">
        <f t="shared" si="171"/>
        <v>34244178.391569912</v>
      </c>
      <c r="AU339" s="350">
        <f t="shared" si="154"/>
        <v>69177564.916475058</v>
      </c>
      <c r="AV339" s="350">
        <f t="shared" si="155"/>
        <v>104639373.34014273</v>
      </c>
      <c r="AW339" s="350">
        <f t="shared" si="156"/>
        <v>140643937.48045871</v>
      </c>
      <c r="AX339" s="350">
        <f t="shared" si="157"/>
        <v>177197384.66762835</v>
      </c>
      <c r="AY339" s="350">
        <f t="shared" si="158"/>
        <v>525902438.79627466</v>
      </c>
      <c r="AZ339" s="365"/>
      <c r="BA339" s="377">
        <f t="shared" si="159"/>
        <v>0</v>
      </c>
      <c r="BB339" s="377">
        <f t="shared" si="160"/>
        <v>0</v>
      </c>
      <c r="BC339" s="377">
        <f t="shared" si="161"/>
        <v>0</v>
      </c>
      <c r="BD339" s="377">
        <f t="shared" si="162"/>
        <v>0</v>
      </c>
      <c r="BE339" s="377">
        <f t="shared" si="163"/>
        <v>0</v>
      </c>
      <c r="BF339" s="377">
        <f t="shared" si="164"/>
        <v>0</v>
      </c>
      <c r="BG339" s="328"/>
    </row>
    <row r="340" spans="2:59">
      <c r="B340" s="332">
        <v>325</v>
      </c>
      <c r="C340" s="350">
        <v>152907639.29526624</v>
      </c>
      <c r="D340" s="350">
        <v>154161787.82506871</v>
      </c>
      <c r="E340" s="350">
        <v>155363385.69991663</v>
      </c>
      <c r="F340" s="350">
        <v>156567838.90139878</v>
      </c>
      <c r="G340" s="350">
        <v>157778888.82787925</v>
      </c>
      <c r="H340" s="348">
        <v>776779540.54952955</v>
      </c>
      <c r="I340" s="369"/>
      <c r="J340" s="350">
        <v>184914243.78315198</v>
      </c>
      <c r="K340" s="350">
        <v>218823075.96955392</v>
      </c>
      <c r="L340" s="350">
        <v>253173312.27362999</v>
      </c>
      <c r="M340" s="350">
        <v>288033756.11536336</v>
      </c>
      <c r="N340" s="350">
        <v>323413876.44904017</v>
      </c>
      <c r="O340" s="348">
        <v>1268358264.5907395</v>
      </c>
      <c r="P340" s="369"/>
      <c r="Q340" s="350">
        <f t="shared" si="165"/>
        <v>32006604.487885743</v>
      </c>
      <c r="R340" s="350">
        <f t="shared" si="166"/>
        <v>64661288.144485205</v>
      </c>
      <c r="S340" s="350">
        <f t="shared" si="167"/>
        <v>97809926.573713362</v>
      </c>
      <c r="T340" s="350">
        <f t="shared" si="168"/>
        <v>131465917.21396458</v>
      </c>
      <c r="U340" s="350">
        <f t="shared" si="169"/>
        <v>165634987.62116092</v>
      </c>
      <c r="V340" s="350">
        <f t="shared" si="170"/>
        <v>491578724.04120994</v>
      </c>
      <c r="W340" s="365"/>
      <c r="X340" s="377">
        <f t="shared" si="148"/>
        <v>0</v>
      </c>
      <c r="Y340" s="377">
        <f t="shared" si="149"/>
        <v>0</v>
      </c>
      <c r="Z340" s="377">
        <f t="shared" si="150"/>
        <v>0</v>
      </c>
      <c r="AA340" s="377">
        <f t="shared" si="151"/>
        <v>0</v>
      </c>
      <c r="AB340" s="377">
        <f t="shared" si="152"/>
        <v>0</v>
      </c>
      <c r="AC340" s="377">
        <f t="shared" si="153"/>
        <v>0</v>
      </c>
      <c r="AD340" s="376"/>
      <c r="AE340" s="332">
        <v>325</v>
      </c>
      <c r="AF340" s="350">
        <v>124814322.07908705</v>
      </c>
      <c r="AG340" s="350">
        <v>125838049.20779844</v>
      </c>
      <c r="AH340" s="350">
        <v>126818880.67476794</v>
      </c>
      <c r="AI340" s="350">
        <v>127802042.86674109</v>
      </c>
      <c r="AJ340" s="350">
        <v>128790589.78482997</v>
      </c>
      <c r="AK340" s="348">
        <v>634063884.61322451</v>
      </c>
      <c r="AL340" s="369"/>
      <c r="AM340" s="350">
        <v>155180623.68497944</v>
      </c>
      <c r="AN340" s="350">
        <v>187180129.97139427</v>
      </c>
      <c r="AO340" s="350">
        <v>219605296.73920873</v>
      </c>
      <c r="AP340" s="350">
        <v>252514060.91034651</v>
      </c>
      <c r="AQ340" s="350">
        <v>285914909.68849283</v>
      </c>
      <c r="AR340" s="348">
        <v>1100395020.9944217</v>
      </c>
      <c r="AS340" s="369"/>
      <c r="AT340" s="350">
        <f t="shared" si="171"/>
        <v>30366301.60589239</v>
      </c>
      <c r="AU340" s="350">
        <f t="shared" si="154"/>
        <v>61342080.763595834</v>
      </c>
      <c r="AV340" s="350">
        <f t="shared" si="155"/>
        <v>92786416.064440787</v>
      </c>
      <c r="AW340" s="350">
        <f t="shared" si="156"/>
        <v>124712018.04360542</v>
      </c>
      <c r="AX340" s="350">
        <f t="shared" si="157"/>
        <v>157124319.90366286</v>
      </c>
      <c r="AY340" s="350">
        <f t="shared" si="158"/>
        <v>466331136.38119721</v>
      </c>
      <c r="AZ340" s="365"/>
      <c r="BA340" s="377">
        <f t="shared" si="159"/>
        <v>0</v>
      </c>
      <c r="BB340" s="377">
        <f t="shared" si="160"/>
        <v>0</v>
      </c>
      <c r="BC340" s="377">
        <f t="shared" si="161"/>
        <v>0</v>
      </c>
      <c r="BD340" s="377">
        <f t="shared" si="162"/>
        <v>0</v>
      </c>
      <c r="BE340" s="377">
        <f t="shared" si="163"/>
        <v>0</v>
      </c>
      <c r="BF340" s="377">
        <f t="shared" si="164"/>
        <v>0</v>
      </c>
      <c r="BG340" s="328"/>
    </row>
    <row r="341" spans="2:59">
      <c r="B341" s="332">
        <v>326</v>
      </c>
      <c r="C341" s="350">
        <v>138903373.97872961</v>
      </c>
      <c r="D341" s="350">
        <v>140042659.51778388</v>
      </c>
      <c r="E341" s="350">
        <v>141134207.32894167</v>
      </c>
      <c r="F341" s="350">
        <v>142228348.95755118</v>
      </c>
      <c r="G341" s="350">
        <v>143328483.14064446</v>
      </c>
      <c r="H341" s="348">
        <v>705637072.92365086</v>
      </c>
      <c r="I341" s="369"/>
      <c r="J341" s="350">
        <v>169881459.83363411</v>
      </c>
      <c r="K341" s="350">
        <v>202621425.55179119</v>
      </c>
      <c r="L341" s="350">
        <v>235791662.65831688</v>
      </c>
      <c r="M341" s="350">
        <v>269455469.35708237</v>
      </c>
      <c r="N341" s="350">
        <v>303621787.17729264</v>
      </c>
      <c r="O341" s="348">
        <v>1181371804.5781171</v>
      </c>
      <c r="P341" s="369"/>
      <c r="Q341" s="350">
        <f t="shared" si="165"/>
        <v>30978085.854904503</v>
      </c>
      <c r="R341" s="350">
        <f t="shared" si="166"/>
        <v>62578766.034007311</v>
      </c>
      <c r="S341" s="350">
        <f t="shared" si="167"/>
        <v>94657455.329375207</v>
      </c>
      <c r="T341" s="350">
        <f t="shared" si="168"/>
        <v>127227120.39953119</v>
      </c>
      <c r="U341" s="350">
        <f t="shared" si="169"/>
        <v>160293304.03664818</v>
      </c>
      <c r="V341" s="350">
        <f t="shared" si="170"/>
        <v>475734731.65446627</v>
      </c>
      <c r="W341" s="365"/>
      <c r="X341" s="377">
        <f t="shared" si="148"/>
        <v>0</v>
      </c>
      <c r="Y341" s="377">
        <f t="shared" si="149"/>
        <v>0</v>
      </c>
      <c r="Z341" s="377">
        <f t="shared" si="150"/>
        <v>0</v>
      </c>
      <c r="AA341" s="377">
        <f t="shared" si="151"/>
        <v>0</v>
      </c>
      <c r="AB341" s="377">
        <f t="shared" si="152"/>
        <v>0</v>
      </c>
      <c r="AC341" s="377">
        <f t="shared" si="153"/>
        <v>0</v>
      </c>
      <c r="AD341" s="376"/>
      <c r="AE341" s="332">
        <v>326</v>
      </c>
      <c r="AF341" s="350">
        <v>123096938.06639273</v>
      </c>
      <c r="AG341" s="350">
        <v>124106579.21061993</v>
      </c>
      <c r="AH341" s="350">
        <v>125073914.91642624</v>
      </c>
      <c r="AI341" s="350">
        <v>126043549.27760044</v>
      </c>
      <c r="AJ341" s="350">
        <v>127018494.27369311</v>
      </c>
      <c r="AK341" s="348">
        <v>625339475.74473238</v>
      </c>
      <c r="AL341" s="369"/>
      <c r="AM341" s="350">
        <v>152069461.96611518</v>
      </c>
      <c r="AN341" s="350">
        <v>182622662.67166114</v>
      </c>
      <c r="AO341" s="350">
        <v>213580444.72633913</v>
      </c>
      <c r="AP341" s="350">
        <v>244999538.77879658</v>
      </c>
      <c r="AQ341" s="350">
        <v>276888139.0357241</v>
      </c>
      <c r="AR341" s="348">
        <v>1070160247.1786361</v>
      </c>
      <c r="AS341" s="369"/>
      <c r="AT341" s="350">
        <f t="shared" si="171"/>
        <v>28972523.899722442</v>
      </c>
      <c r="AU341" s="350">
        <f t="shared" si="154"/>
        <v>58516083.461041212</v>
      </c>
      <c r="AV341" s="350">
        <f t="shared" si="155"/>
        <v>88506529.80991289</v>
      </c>
      <c r="AW341" s="350">
        <f t="shared" si="156"/>
        <v>118955989.50119615</v>
      </c>
      <c r="AX341" s="350">
        <f t="shared" si="157"/>
        <v>149869644.76203099</v>
      </c>
      <c r="AY341" s="350">
        <f t="shared" si="158"/>
        <v>444820771.43390369</v>
      </c>
      <c r="AZ341" s="365"/>
      <c r="BA341" s="377">
        <f t="shared" si="159"/>
        <v>0</v>
      </c>
      <c r="BB341" s="377">
        <f t="shared" si="160"/>
        <v>0</v>
      </c>
      <c r="BC341" s="377">
        <f t="shared" si="161"/>
        <v>0</v>
      </c>
      <c r="BD341" s="377">
        <f t="shared" si="162"/>
        <v>0</v>
      </c>
      <c r="BE341" s="377">
        <f t="shared" si="163"/>
        <v>0</v>
      </c>
      <c r="BF341" s="377">
        <f t="shared" si="164"/>
        <v>0</v>
      </c>
      <c r="BG341" s="328"/>
    </row>
    <row r="342" spans="2:59">
      <c r="B342" s="332">
        <v>327</v>
      </c>
      <c r="C342" s="350">
        <v>130947248.26303598</v>
      </c>
      <c r="D342" s="350">
        <v>132021277.65520813</v>
      </c>
      <c r="E342" s="350">
        <v>133050303.64733799</v>
      </c>
      <c r="F342" s="350">
        <v>134081774.88790259</v>
      </c>
      <c r="G342" s="350">
        <v>135118895.44062746</v>
      </c>
      <c r="H342" s="348">
        <v>665219499.89411211</v>
      </c>
      <c r="I342" s="369"/>
      <c r="J342" s="350">
        <v>168318261.79575804</v>
      </c>
      <c r="K342" s="350">
        <v>207490198.9632622</v>
      </c>
      <c r="L342" s="350">
        <v>247193411.27458146</v>
      </c>
      <c r="M342" s="350">
        <v>287490988.61389852</v>
      </c>
      <c r="N342" s="350">
        <v>328392818.00800377</v>
      </c>
      <c r="O342" s="348">
        <v>1238885678.655504</v>
      </c>
      <c r="P342" s="369"/>
      <c r="Q342" s="350">
        <f t="shared" si="165"/>
        <v>37371013.532722056</v>
      </c>
      <c r="R342" s="350">
        <f t="shared" si="166"/>
        <v>75468921.308054075</v>
      </c>
      <c r="S342" s="350">
        <f t="shared" si="167"/>
        <v>114143107.62724347</v>
      </c>
      <c r="T342" s="350">
        <f t="shared" si="168"/>
        <v>153409213.72599593</v>
      </c>
      <c r="U342" s="350">
        <f t="shared" si="169"/>
        <v>193273922.56737632</v>
      </c>
      <c r="V342" s="350">
        <f t="shared" si="170"/>
        <v>573666178.76139188</v>
      </c>
      <c r="W342" s="365"/>
      <c r="X342" s="377">
        <f t="shared" si="148"/>
        <v>0</v>
      </c>
      <c r="Y342" s="377">
        <f t="shared" si="149"/>
        <v>0</v>
      </c>
      <c r="Z342" s="377">
        <f t="shared" si="150"/>
        <v>0</v>
      </c>
      <c r="AA342" s="377">
        <f t="shared" si="151"/>
        <v>0</v>
      </c>
      <c r="AB342" s="377">
        <f t="shared" si="152"/>
        <v>0</v>
      </c>
      <c r="AC342" s="377">
        <f t="shared" si="153"/>
        <v>0</v>
      </c>
      <c r="AD342" s="376"/>
      <c r="AE342" s="332">
        <v>327</v>
      </c>
      <c r="AF342" s="350">
        <v>142813575.4782868</v>
      </c>
      <c r="AG342" s="350">
        <v>143984932.49188942</v>
      </c>
      <c r="AH342" s="350">
        <v>145107207.93597484</v>
      </c>
      <c r="AI342" s="350">
        <v>146232150.2148087</v>
      </c>
      <c r="AJ342" s="350">
        <v>147363253.74162081</v>
      </c>
      <c r="AK342" s="348">
        <v>725501119.86258054</v>
      </c>
      <c r="AL342" s="369"/>
      <c r="AM342" s="350">
        <v>176515749.49666134</v>
      </c>
      <c r="AN342" s="350">
        <v>212058217.27898392</v>
      </c>
      <c r="AO342" s="350">
        <v>248071515.76588386</v>
      </c>
      <c r="AP342" s="350">
        <v>284621499.78882217</v>
      </c>
      <c r="AQ342" s="350">
        <v>321717692.68092084</v>
      </c>
      <c r="AR342" s="348">
        <v>1242984675.0112722</v>
      </c>
      <c r="AS342" s="369"/>
      <c r="AT342" s="350">
        <f t="shared" si="171"/>
        <v>33702174.018374532</v>
      </c>
      <c r="AU342" s="350">
        <f t="shared" si="154"/>
        <v>68073284.787094504</v>
      </c>
      <c r="AV342" s="350">
        <f t="shared" si="155"/>
        <v>102964307.82990903</v>
      </c>
      <c r="AW342" s="350">
        <f t="shared" si="156"/>
        <v>138389349.57401347</v>
      </c>
      <c r="AX342" s="350">
        <f t="shared" si="157"/>
        <v>174354438.93930003</v>
      </c>
      <c r="AY342" s="350">
        <f t="shared" si="158"/>
        <v>517483555.14869165</v>
      </c>
      <c r="AZ342" s="365"/>
      <c r="BA342" s="377">
        <f t="shared" si="159"/>
        <v>0</v>
      </c>
      <c r="BB342" s="377">
        <f t="shared" si="160"/>
        <v>0</v>
      </c>
      <c r="BC342" s="377">
        <f t="shared" si="161"/>
        <v>0</v>
      </c>
      <c r="BD342" s="377">
        <f t="shared" si="162"/>
        <v>0</v>
      </c>
      <c r="BE342" s="377">
        <f t="shared" si="163"/>
        <v>0</v>
      </c>
      <c r="BF342" s="377">
        <f t="shared" si="164"/>
        <v>0</v>
      </c>
      <c r="BG342" s="328"/>
    </row>
    <row r="343" spans="2:59">
      <c r="B343" s="332">
        <v>328</v>
      </c>
      <c r="C343" s="350">
        <v>117023298.19711518</v>
      </c>
      <c r="D343" s="350">
        <v>117983123.34426264</v>
      </c>
      <c r="E343" s="350">
        <v>118902730.41601807</v>
      </c>
      <c r="F343" s="350">
        <v>119824522.72679555</v>
      </c>
      <c r="G343" s="350">
        <v>120751363.64417081</v>
      </c>
      <c r="H343" s="348">
        <v>594485038.32836223</v>
      </c>
      <c r="I343" s="369"/>
      <c r="J343" s="350">
        <v>147924502.56614074</v>
      </c>
      <c r="K343" s="350">
        <v>180377544.26827008</v>
      </c>
      <c r="L343" s="350">
        <v>213266738.03571028</v>
      </c>
      <c r="M343" s="350">
        <v>246647420.047279</v>
      </c>
      <c r="N343" s="350">
        <v>280527978.27434516</v>
      </c>
      <c r="O343" s="348">
        <v>1068744183.1917452</v>
      </c>
      <c r="P343" s="369"/>
      <c r="Q343" s="350">
        <f t="shared" si="165"/>
        <v>30901204.369025558</v>
      </c>
      <c r="R343" s="350">
        <f t="shared" si="166"/>
        <v>62394420.924007431</v>
      </c>
      <c r="S343" s="350">
        <f t="shared" si="167"/>
        <v>94364007.619692206</v>
      </c>
      <c r="T343" s="350">
        <f t="shared" si="168"/>
        <v>126822897.32048345</v>
      </c>
      <c r="U343" s="350">
        <f t="shared" si="169"/>
        <v>159776614.63017434</v>
      </c>
      <c r="V343" s="350">
        <f t="shared" si="170"/>
        <v>474259144.86338294</v>
      </c>
      <c r="W343" s="365"/>
      <c r="X343" s="377">
        <f t="shared" si="148"/>
        <v>0</v>
      </c>
      <c r="Y343" s="377">
        <f t="shared" si="149"/>
        <v>0</v>
      </c>
      <c r="Z343" s="377">
        <f t="shared" si="150"/>
        <v>0</v>
      </c>
      <c r="AA343" s="377">
        <f t="shared" si="151"/>
        <v>0</v>
      </c>
      <c r="AB343" s="377">
        <f t="shared" si="152"/>
        <v>0</v>
      </c>
      <c r="AC343" s="377">
        <f t="shared" si="153"/>
        <v>0</v>
      </c>
      <c r="AD343" s="376"/>
      <c r="AE343" s="332">
        <v>328</v>
      </c>
      <c r="AF343" s="350">
        <v>155776020.32761562</v>
      </c>
      <c r="AG343" s="350">
        <v>157053695.32000172</v>
      </c>
      <c r="AH343" s="350">
        <v>158277833.8642931</v>
      </c>
      <c r="AI343" s="350">
        <v>159504881.29804122</v>
      </c>
      <c r="AJ343" s="350">
        <v>160738649.20417494</v>
      </c>
      <c r="AK343" s="348">
        <v>791351080.01412654</v>
      </c>
      <c r="AL343" s="369"/>
      <c r="AM343" s="350">
        <v>188725912.43063176</v>
      </c>
      <c r="AN343" s="350">
        <v>223630697.12975419</v>
      </c>
      <c r="AO343" s="350">
        <v>258990614.30579653</v>
      </c>
      <c r="AP343" s="350">
        <v>294875902.13717741</v>
      </c>
      <c r="AQ343" s="350">
        <v>331296270.09559429</v>
      </c>
      <c r="AR343" s="348">
        <v>1297519396.0989542</v>
      </c>
      <c r="AS343" s="369"/>
      <c r="AT343" s="350">
        <f t="shared" si="171"/>
        <v>32949892.103016138</v>
      </c>
      <c r="AU343" s="350">
        <f t="shared" si="154"/>
        <v>66577001.809752464</v>
      </c>
      <c r="AV343" s="350">
        <f t="shared" si="155"/>
        <v>100712780.44150344</v>
      </c>
      <c r="AW343" s="350">
        <f t="shared" si="156"/>
        <v>135371020.83913618</v>
      </c>
      <c r="AX343" s="350">
        <f t="shared" si="157"/>
        <v>170557620.89141935</v>
      </c>
      <c r="AY343" s="350">
        <f t="shared" si="158"/>
        <v>506168316.08482766</v>
      </c>
      <c r="AZ343" s="365"/>
      <c r="BA343" s="377">
        <f t="shared" si="159"/>
        <v>0</v>
      </c>
      <c r="BB343" s="377">
        <f t="shared" si="160"/>
        <v>0</v>
      </c>
      <c r="BC343" s="377">
        <f t="shared" si="161"/>
        <v>0</v>
      </c>
      <c r="BD343" s="377">
        <f t="shared" si="162"/>
        <v>0</v>
      </c>
      <c r="BE343" s="377">
        <f t="shared" si="163"/>
        <v>0</v>
      </c>
      <c r="BF343" s="377">
        <f t="shared" si="164"/>
        <v>0</v>
      </c>
      <c r="BG343" s="328"/>
    </row>
    <row r="344" spans="2:59">
      <c r="B344" s="332">
        <v>329</v>
      </c>
      <c r="C344" s="350">
        <v>128194994.89532578</v>
      </c>
      <c r="D344" s="350">
        <v>129246450.30407453</v>
      </c>
      <c r="E344" s="350">
        <v>130253848.19565347</v>
      </c>
      <c r="F344" s="350">
        <v>131263639.94135891</v>
      </c>
      <c r="G344" s="350">
        <v>132278962.26180458</v>
      </c>
      <c r="H344" s="348">
        <v>651237895.59821725</v>
      </c>
      <c r="I344" s="369"/>
      <c r="J344" s="350">
        <v>160422066.26466003</v>
      </c>
      <c r="K344" s="350">
        <v>194360190.25342137</v>
      </c>
      <c r="L344" s="350">
        <v>228751723.90405124</v>
      </c>
      <c r="M344" s="350">
        <v>263656608.70200464</v>
      </c>
      <c r="N344" s="350">
        <v>299083749.45291871</v>
      </c>
      <c r="O344" s="348">
        <v>1146274338.5770562</v>
      </c>
      <c r="P344" s="369"/>
      <c r="Q344" s="350">
        <f t="shared" si="165"/>
        <v>32227071.369334251</v>
      </c>
      <c r="R344" s="350">
        <f t="shared" si="166"/>
        <v>65113739.94934684</v>
      </c>
      <c r="S344" s="350">
        <f t="shared" si="167"/>
        <v>98497875.708397776</v>
      </c>
      <c r="T344" s="350">
        <f t="shared" si="168"/>
        <v>132392968.76064573</v>
      </c>
      <c r="U344" s="350">
        <f t="shared" si="169"/>
        <v>166804787.19111413</v>
      </c>
      <c r="V344" s="350">
        <f t="shared" si="170"/>
        <v>495036442.97883892</v>
      </c>
      <c r="W344" s="365"/>
      <c r="X344" s="377">
        <f t="shared" si="148"/>
        <v>0</v>
      </c>
      <c r="Y344" s="377">
        <f t="shared" si="149"/>
        <v>0</v>
      </c>
      <c r="Z344" s="377">
        <f t="shared" si="150"/>
        <v>0</v>
      </c>
      <c r="AA344" s="377">
        <f t="shared" si="151"/>
        <v>0</v>
      </c>
      <c r="AB344" s="377">
        <f t="shared" si="152"/>
        <v>0</v>
      </c>
      <c r="AC344" s="377">
        <f t="shared" si="153"/>
        <v>0</v>
      </c>
      <c r="AD344" s="376"/>
      <c r="AE344" s="332">
        <v>329</v>
      </c>
      <c r="AF344" s="350">
        <v>145117330.53716871</v>
      </c>
      <c r="AG344" s="350">
        <v>146307582.95085362</v>
      </c>
      <c r="AH344" s="350">
        <v>147447962.05016306</v>
      </c>
      <c r="AI344" s="350">
        <v>148591051.00347897</v>
      </c>
      <c r="AJ344" s="350">
        <v>149740400.59312707</v>
      </c>
      <c r="AK344" s="348">
        <v>737204327.13479137</v>
      </c>
      <c r="AL344" s="369"/>
      <c r="AM344" s="350">
        <v>182857195.85506853</v>
      </c>
      <c r="AN344" s="350">
        <v>222532076.08119652</v>
      </c>
      <c r="AO344" s="350">
        <v>262739216.10773757</v>
      </c>
      <c r="AP344" s="350">
        <v>303546995.31192636</v>
      </c>
      <c r="AQ344" s="350">
        <v>344965715.03230298</v>
      </c>
      <c r="AR344" s="348">
        <v>1316641198.388232</v>
      </c>
      <c r="AS344" s="369"/>
      <c r="AT344" s="350">
        <f t="shared" si="171"/>
        <v>37739865.317899823</v>
      </c>
      <c r="AU344" s="350">
        <f t="shared" si="154"/>
        <v>76224493.130342901</v>
      </c>
      <c r="AV344" s="350">
        <f t="shared" si="155"/>
        <v>115291254.05757451</v>
      </c>
      <c r="AW344" s="350">
        <f t="shared" si="156"/>
        <v>154955944.30844739</v>
      </c>
      <c r="AX344" s="350">
        <f t="shared" si="157"/>
        <v>195225314.4391759</v>
      </c>
      <c r="AY344" s="350">
        <f t="shared" si="158"/>
        <v>579436871.25344062</v>
      </c>
      <c r="AZ344" s="365"/>
      <c r="BA344" s="377">
        <f t="shared" si="159"/>
        <v>0</v>
      </c>
      <c r="BB344" s="377">
        <f t="shared" si="160"/>
        <v>0</v>
      </c>
      <c r="BC344" s="377">
        <f t="shared" si="161"/>
        <v>0</v>
      </c>
      <c r="BD344" s="377">
        <f t="shared" si="162"/>
        <v>0</v>
      </c>
      <c r="BE344" s="377">
        <f t="shared" si="163"/>
        <v>0</v>
      </c>
      <c r="BF344" s="377">
        <f t="shared" si="164"/>
        <v>0</v>
      </c>
      <c r="BG344" s="328"/>
    </row>
    <row r="345" spans="2:59">
      <c r="B345" s="332">
        <v>330</v>
      </c>
      <c r="C345" s="350">
        <v>107293478.11076409</v>
      </c>
      <c r="D345" s="350">
        <v>108173499.26896253</v>
      </c>
      <c r="E345" s="350">
        <v>109016646.25545146</v>
      </c>
      <c r="F345" s="350">
        <v>109861796.79079597</v>
      </c>
      <c r="G345" s="350">
        <v>110711576.16988218</v>
      </c>
      <c r="H345" s="348">
        <v>545056996.59585619</v>
      </c>
      <c r="I345" s="369"/>
      <c r="J345" s="350">
        <v>134527060.44387311</v>
      </c>
      <c r="K345" s="350">
        <v>163183288.30251661</v>
      </c>
      <c r="L345" s="350">
        <v>192222797.85616618</v>
      </c>
      <c r="M345" s="350">
        <v>221695865.86569974</v>
      </c>
      <c r="N345" s="350">
        <v>251609989.70882016</v>
      </c>
      <c r="O345" s="348">
        <v>963239002.17707586</v>
      </c>
      <c r="P345" s="369"/>
      <c r="Q345" s="350">
        <f t="shared" si="165"/>
        <v>27233582.333109021</v>
      </c>
      <c r="R345" s="350">
        <f t="shared" si="166"/>
        <v>55009789.033554077</v>
      </c>
      <c r="S345" s="350">
        <f t="shared" si="167"/>
        <v>83206151.600714728</v>
      </c>
      <c r="T345" s="350">
        <f t="shared" si="168"/>
        <v>111834069.07490377</v>
      </c>
      <c r="U345" s="350">
        <f t="shared" si="169"/>
        <v>140898413.53893799</v>
      </c>
      <c r="V345" s="350">
        <f t="shared" si="170"/>
        <v>418182005.58121967</v>
      </c>
      <c r="W345" s="365"/>
      <c r="X345" s="377">
        <f t="shared" si="148"/>
        <v>0</v>
      </c>
      <c r="Y345" s="377">
        <f t="shared" si="149"/>
        <v>0</v>
      </c>
      <c r="Z345" s="377">
        <f t="shared" si="150"/>
        <v>0</v>
      </c>
      <c r="AA345" s="377">
        <f t="shared" si="151"/>
        <v>0</v>
      </c>
      <c r="AB345" s="377">
        <f t="shared" si="152"/>
        <v>0</v>
      </c>
      <c r="AC345" s="377">
        <f t="shared" si="153"/>
        <v>0</v>
      </c>
      <c r="AD345" s="376"/>
      <c r="AE345" s="332">
        <v>330</v>
      </c>
      <c r="AF345" s="350">
        <v>105962262.83852413</v>
      </c>
      <c r="AG345" s="350">
        <v>106831365.36843018</v>
      </c>
      <c r="AH345" s="350">
        <v>107664051.23309773</v>
      </c>
      <c r="AI345" s="350">
        <v>108498715.78812173</v>
      </c>
      <c r="AJ345" s="350">
        <v>109337951.75574069</v>
      </c>
      <c r="AK345" s="348">
        <v>538294346.98391438</v>
      </c>
      <c r="AL345" s="369"/>
      <c r="AM345" s="350">
        <v>138634652.45227087</v>
      </c>
      <c r="AN345" s="350">
        <v>172821929.591804</v>
      </c>
      <c r="AO345" s="350">
        <v>207476773.91888776</v>
      </c>
      <c r="AP345" s="350">
        <v>242651256.03767213</v>
      </c>
      <c r="AQ345" s="350">
        <v>278353812.96006918</v>
      </c>
      <c r="AR345" s="348">
        <v>1039938424.960704</v>
      </c>
      <c r="AS345" s="369"/>
      <c r="AT345" s="350">
        <f t="shared" si="171"/>
        <v>32672389.613746732</v>
      </c>
      <c r="AU345" s="350">
        <f t="shared" si="154"/>
        <v>65990564.223373815</v>
      </c>
      <c r="AV345" s="350">
        <f t="shared" si="155"/>
        <v>99812722.685790032</v>
      </c>
      <c r="AW345" s="350">
        <f t="shared" si="156"/>
        <v>134152540.2495504</v>
      </c>
      <c r="AX345" s="350">
        <f t="shared" si="157"/>
        <v>169015861.20432848</v>
      </c>
      <c r="AY345" s="350">
        <f t="shared" si="158"/>
        <v>501644077.97678959</v>
      </c>
      <c r="AZ345" s="365"/>
      <c r="BA345" s="377">
        <f t="shared" si="159"/>
        <v>0</v>
      </c>
      <c r="BB345" s="377">
        <f t="shared" si="160"/>
        <v>0</v>
      </c>
      <c r="BC345" s="377">
        <f t="shared" si="161"/>
        <v>0</v>
      </c>
      <c r="BD345" s="377">
        <f t="shared" si="162"/>
        <v>0</v>
      </c>
      <c r="BE345" s="377">
        <f t="shared" si="163"/>
        <v>0</v>
      </c>
      <c r="BF345" s="377">
        <f t="shared" si="164"/>
        <v>0</v>
      </c>
      <c r="BG345" s="328"/>
    </row>
    <row r="346" spans="2:59">
      <c r="B346" s="332">
        <v>331</v>
      </c>
      <c r="C346" s="350">
        <v>152030415.81372315</v>
      </c>
      <c r="D346" s="350">
        <v>153277369.35611519</v>
      </c>
      <c r="E346" s="350">
        <v>154472073.72403276</v>
      </c>
      <c r="F346" s="350">
        <v>155669617.03771842</v>
      </c>
      <c r="G346" s="350">
        <v>156873719.23132077</v>
      </c>
      <c r="H346" s="348">
        <v>772323195.16291022</v>
      </c>
      <c r="I346" s="369"/>
      <c r="J346" s="350">
        <v>189509226.90658948</v>
      </c>
      <c r="K346" s="350">
        <v>228958068.34459332</v>
      </c>
      <c r="L346" s="350">
        <v>268932509.24591899</v>
      </c>
      <c r="M346" s="350">
        <v>309503323.75540304</v>
      </c>
      <c r="N346" s="350">
        <v>350680933.14466894</v>
      </c>
      <c r="O346" s="348">
        <v>1347584061.3971739</v>
      </c>
      <c r="P346" s="369"/>
      <c r="Q346" s="350">
        <f t="shared" si="165"/>
        <v>37478811.092866331</v>
      </c>
      <c r="R346" s="350">
        <f t="shared" si="166"/>
        <v>75680698.988478124</v>
      </c>
      <c r="S346" s="350">
        <f t="shared" si="167"/>
        <v>114460435.52188623</v>
      </c>
      <c r="T346" s="350">
        <f t="shared" si="168"/>
        <v>153833706.71768463</v>
      </c>
      <c r="U346" s="350">
        <f t="shared" si="169"/>
        <v>193807213.91334817</v>
      </c>
      <c r="V346" s="350">
        <f t="shared" si="170"/>
        <v>575260866.23426366</v>
      </c>
      <c r="W346" s="365"/>
      <c r="X346" s="377">
        <f t="shared" si="148"/>
        <v>0</v>
      </c>
      <c r="Y346" s="377">
        <f t="shared" si="149"/>
        <v>0</v>
      </c>
      <c r="Z346" s="377">
        <f t="shared" si="150"/>
        <v>0</v>
      </c>
      <c r="AA346" s="377">
        <f t="shared" si="151"/>
        <v>0</v>
      </c>
      <c r="AB346" s="377">
        <f t="shared" si="152"/>
        <v>0</v>
      </c>
      <c r="AC346" s="377">
        <f t="shared" si="153"/>
        <v>0</v>
      </c>
      <c r="AD346" s="376"/>
      <c r="AE346" s="332">
        <v>331</v>
      </c>
      <c r="AF346" s="350">
        <v>160964795.66580579</v>
      </c>
      <c r="AG346" s="350">
        <v>162285028.99596927</v>
      </c>
      <c r="AH346" s="350">
        <v>163549942.62153301</v>
      </c>
      <c r="AI346" s="350">
        <v>164817862.02934769</v>
      </c>
      <c r="AJ346" s="350">
        <v>166092725.76313794</v>
      </c>
      <c r="AK346" s="348">
        <v>817710355.07579362</v>
      </c>
      <c r="AL346" s="369"/>
      <c r="AM346" s="350">
        <v>203004093.89635342</v>
      </c>
      <c r="AN346" s="350">
        <v>247166329.02441189</v>
      </c>
      <c r="AO346" s="350">
        <v>291921276.41768134</v>
      </c>
      <c r="AP346" s="350">
        <v>337344855.82601488</v>
      </c>
      <c r="AQ346" s="350">
        <v>383448521.2851938</v>
      </c>
      <c r="AR346" s="348">
        <v>1462885076.4496555</v>
      </c>
      <c r="AS346" s="369"/>
      <c r="AT346" s="350">
        <f t="shared" si="171"/>
        <v>42039298.230547637</v>
      </c>
      <c r="AU346" s="350">
        <f t="shared" si="154"/>
        <v>84881300.028442621</v>
      </c>
      <c r="AV346" s="350">
        <f t="shared" si="155"/>
        <v>128371333.79614833</v>
      </c>
      <c r="AW346" s="350">
        <f t="shared" si="156"/>
        <v>172526993.79666719</v>
      </c>
      <c r="AX346" s="350">
        <f t="shared" si="157"/>
        <v>217355795.52205586</v>
      </c>
      <c r="AY346" s="350">
        <f t="shared" si="158"/>
        <v>645174721.37386191</v>
      </c>
      <c r="AZ346" s="365"/>
      <c r="BA346" s="377">
        <f t="shared" si="159"/>
        <v>0</v>
      </c>
      <c r="BB346" s="377">
        <f t="shared" si="160"/>
        <v>0</v>
      </c>
      <c r="BC346" s="377">
        <f t="shared" si="161"/>
        <v>0</v>
      </c>
      <c r="BD346" s="377">
        <f t="shared" si="162"/>
        <v>0</v>
      </c>
      <c r="BE346" s="377">
        <f t="shared" si="163"/>
        <v>0</v>
      </c>
      <c r="BF346" s="377">
        <f t="shared" si="164"/>
        <v>0</v>
      </c>
      <c r="BG346" s="328"/>
    </row>
    <row r="347" spans="2:59">
      <c r="B347" s="332">
        <v>332</v>
      </c>
      <c r="C347" s="350">
        <v>131800887.01973653</v>
      </c>
      <c r="D347" s="350">
        <v>132881917.95739476</v>
      </c>
      <c r="E347" s="350">
        <v>133917652.12002984</v>
      </c>
      <c r="F347" s="350">
        <v>134955847.4715555</v>
      </c>
      <c r="G347" s="350">
        <v>135999728.96283326</v>
      </c>
      <c r="H347" s="348">
        <v>669556033.53154993</v>
      </c>
      <c r="I347" s="369"/>
      <c r="J347" s="350">
        <v>167224713.95395482</v>
      </c>
      <c r="K347" s="350">
        <v>204430380.83181459</v>
      </c>
      <c r="L347" s="350">
        <v>242137186.72484073</v>
      </c>
      <c r="M347" s="350">
        <v>280407716.51370281</v>
      </c>
      <c r="N347" s="350">
        <v>319251531.70141011</v>
      </c>
      <c r="O347" s="348">
        <v>1213451529.725723</v>
      </c>
      <c r="P347" s="369"/>
      <c r="Q347" s="350">
        <f t="shared" si="165"/>
        <v>35423826.934218287</v>
      </c>
      <c r="R347" s="350">
        <f t="shared" si="166"/>
        <v>71548462.874419823</v>
      </c>
      <c r="S347" s="350">
        <f t="shared" si="167"/>
        <v>108219534.60481089</v>
      </c>
      <c r="T347" s="350">
        <f t="shared" si="168"/>
        <v>145451869.04214731</v>
      </c>
      <c r="U347" s="350">
        <f t="shared" si="169"/>
        <v>183251802.73857686</v>
      </c>
      <c r="V347" s="350">
        <f t="shared" si="170"/>
        <v>543895496.1941731</v>
      </c>
      <c r="W347" s="365"/>
      <c r="X347" s="377">
        <f t="shared" si="148"/>
        <v>0</v>
      </c>
      <c r="Y347" s="377">
        <f t="shared" si="149"/>
        <v>0</v>
      </c>
      <c r="Z347" s="377">
        <f t="shared" si="150"/>
        <v>0</v>
      </c>
      <c r="AA347" s="377">
        <f t="shared" si="151"/>
        <v>0</v>
      </c>
      <c r="AB347" s="377">
        <f t="shared" si="152"/>
        <v>0</v>
      </c>
      <c r="AC347" s="377">
        <f t="shared" si="153"/>
        <v>0</v>
      </c>
      <c r="AD347" s="376"/>
      <c r="AE347" s="332">
        <v>332</v>
      </c>
      <c r="AF347" s="350">
        <v>118151847.11236286</v>
      </c>
      <c r="AG347" s="350">
        <v>119120928.61824682</v>
      </c>
      <c r="AH347" s="350">
        <v>120049404.19378968</v>
      </c>
      <c r="AI347" s="350">
        <v>120980086.08235586</v>
      </c>
      <c r="AJ347" s="350">
        <v>121915865.26525626</v>
      </c>
      <c r="AK347" s="348">
        <v>600218131.27201152</v>
      </c>
      <c r="AL347" s="369"/>
      <c r="AM347" s="350">
        <v>155578320.8844012</v>
      </c>
      <c r="AN347" s="350">
        <v>194699827.03815237</v>
      </c>
      <c r="AO347" s="350">
        <v>234357829.50605446</v>
      </c>
      <c r="AP347" s="350">
        <v>274610804.86710596</v>
      </c>
      <c r="AQ347" s="350">
        <v>315468336.67483687</v>
      </c>
      <c r="AR347" s="348">
        <v>1174715118.9705508</v>
      </c>
      <c r="AS347" s="369"/>
      <c r="AT347" s="350">
        <f t="shared" si="171"/>
        <v>37426473.772038341</v>
      </c>
      <c r="AU347" s="350">
        <f t="shared" si="154"/>
        <v>75578898.419905543</v>
      </c>
      <c r="AV347" s="350">
        <f t="shared" si="155"/>
        <v>114308425.31226479</v>
      </c>
      <c r="AW347" s="350">
        <f t="shared" si="156"/>
        <v>153630718.7847501</v>
      </c>
      <c r="AX347" s="350">
        <f t="shared" si="157"/>
        <v>193552471.40958062</v>
      </c>
      <c r="AY347" s="350">
        <f t="shared" si="158"/>
        <v>574496987.69853926</v>
      </c>
      <c r="AZ347" s="365"/>
      <c r="BA347" s="377">
        <f t="shared" si="159"/>
        <v>0</v>
      </c>
      <c r="BB347" s="377">
        <f t="shared" si="160"/>
        <v>0</v>
      </c>
      <c r="BC347" s="377">
        <f t="shared" si="161"/>
        <v>0</v>
      </c>
      <c r="BD347" s="377">
        <f t="shared" si="162"/>
        <v>0</v>
      </c>
      <c r="BE347" s="377">
        <f t="shared" si="163"/>
        <v>0</v>
      </c>
      <c r="BF347" s="377">
        <f t="shared" si="164"/>
        <v>0</v>
      </c>
      <c r="BG347" s="328"/>
    </row>
    <row r="348" spans="2:59">
      <c r="B348" s="332">
        <v>333</v>
      </c>
      <c r="C348" s="350">
        <v>120534262.2944774</v>
      </c>
      <c r="D348" s="350">
        <v>121522884.3708116</v>
      </c>
      <c r="E348" s="350">
        <v>122470081.73836583</v>
      </c>
      <c r="F348" s="350">
        <v>123419529.90706412</v>
      </c>
      <c r="G348" s="350">
        <v>124374178.1519973</v>
      </c>
      <c r="H348" s="348">
        <v>612320936.46271622</v>
      </c>
      <c r="I348" s="369"/>
      <c r="J348" s="350">
        <v>156049125.8588534</v>
      </c>
      <c r="K348" s="350">
        <v>193247414.92857566</v>
      </c>
      <c r="L348" s="350">
        <v>230951997.68398339</v>
      </c>
      <c r="M348" s="350">
        <v>269221414.22206903</v>
      </c>
      <c r="N348" s="350">
        <v>308064965.4629283</v>
      </c>
      <c r="O348" s="348">
        <v>1157534918.1564097</v>
      </c>
      <c r="P348" s="369"/>
      <c r="Q348" s="350">
        <f t="shared" si="165"/>
        <v>35514863.564375997</v>
      </c>
      <c r="R348" s="350">
        <f t="shared" si="166"/>
        <v>71724530.557764068</v>
      </c>
      <c r="S348" s="350">
        <f t="shared" si="167"/>
        <v>108481915.94561756</v>
      </c>
      <c r="T348" s="350">
        <f t="shared" si="168"/>
        <v>145801884.31500489</v>
      </c>
      <c r="U348" s="350">
        <f t="shared" si="169"/>
        <v>183690787.310931</v>
      </c>
      <c r="V348" s="350">
        <f t="shared" si="170"/>
        <v>545213981.69369352</v>
      </c>
      <c r="W348" s="365"/>
      <c r="X348" s="377">
        <f t="shared" si="148"/>
        <v>0</v>
      </c>
      <c r="Y348" s="377">
        <f t="shared" si="149"/>
        <v>0</v>
      </c>
      <c r="Z348" s="377">
        <f t="shared" si="150"/>
        <v>0</v>
      </c>
      <c r="AA348" s="377">
        <f t="shared" si="151"/>
        <v>0</v>
      </c>
      <c r="AB348" s="377">
        <f t="shared" si="152"/>
        <v>0</v>
      </c>
      <c r="AC348" s="377">
        <f t="shared" si="153"/>
        <v>0</v>
      </c>
      <c r="AD348" s="376"/>
      <c r="AE348" s="332">
        <v>333</v>
      </c>
      <c r="AF348" s="350">
        <v>122291919.27397174</v>
      </c>
      <c r="AG348" s="350">
        <v>123294957.65368287</v>
      </c>
      <c r="AH348" s="350">
        <v>124255967.26044899</v>
      </c>
      <c r="AI348" s="350">
        <v>125219260.49003382</v>
      </c>
      <c r="AJ348" s="350">
        <v>126187829.62450272</v>
      </c>
      <c r="AK348" s="348">
        <v>621249934.3026402</v>
      </c>
      <c r="AL348" s="369"/>
      <c r="AM348" s="350">
        <v>153123710.10169229</v>
      </c>
      <c r="AN348" s="350">
        <v>185560559.35387227</v>
      </c>
      <c r="AO348" s="350">
        <v>218430856.64201403</v>
      </c>
      <c r="AP348" s="350">
        <v>251791818.80509984</v>
      </c>
      <c r="AQ348" s="350">
        <v>285651952.04965091</v>
      </c>
      <c r="AR348" s="348">
        <v>1094558896.9523292</v>
      </c>
      <c r="AS348" s="369"/>
      <c r="AT348" s="350">
        <f t="shared" si="171"/>
        <v>30831790.827720553</v>
      </c>
      <c r="AU348" s="350">
        <f t="shared" si="154"/>
        <v>62265601.700189397</v>
      </c>
      <c r="AV348" s="350">
        <f t="shared" si="155"/>
        <v>94174889.381565034</v>
      </c>
      <c r="AW348" s="350">
        <f t="shared" si="156"/>
        <v>126572558.31506602</v>
      </c>
      <c r="AX348" s="350">
        <f t="shared" si="157"/>
        <v>159464122.42514819</v>
      </c>
      <c r="AY348" s="350">
        <f t="shared" si="158"/>
        <v>473308962.64968896</v>
      </c>
      <c r="AZ348" s="365"/>
      <c r="BA348" s="377">
        <f t="shared" si="159"/>
        <v>0</v>
      </c>
      <c r="BB348" s="377">
        <f t="shared" si="160"/>
        <v>0</v>
      </c>
      <c r="BC348" s="377">
        <f t="shared" si="161"/>
        <v>0</v>
      </c>
      <c r="BD348" s="377">
        <f t="shared" si="162"/>
        <v>0</v>
      </c>
      <c r="BE348" s="377">
        <f t="shared" si="163"/>
        <v>0</v>
      </c>
      <c r="BF348" s="377">
        <f t="shared" si="164"/>
        <v>0</v>
      </c>
      <c r="BG348" s="328"/>
    </row>
    <row r="349" spans="2:59">
      <c r="B349" s="332">
        <v>334</v>
      </c>
      <c r="C349" s="350">
        <v>141565604.77948847</v>
      </c>
      <c r="D349" s="350">
        <v>142726725.93682945</v>
      </c>
      <c r="E349" s="350">
        <v>143839194.42197898</v>
      </c>
      <c r="F349" s="350">
        <v>144954306.4378486</v>
      </c>
      <c r="G349" s="350">
        <v>146075525.86187816</v>
      </c>
      <c r="H349" s="348">
        <v>719161357.43802357</v>
      </c>
      <c r="I349" s="369"/>
      <c r="J349" s="350">
        <v>178816847.18608597</v>
      </c>
      <c r="K349" s="350">
        <v>217954212.5497272</v>
      </c>
      <c r="L349" s="350">
        <v>257617363.6734809</v>
      </c>
      <c r="M349" s="350">
        <v>297873187.89134055</v>
      </c>
      <c r="N349" s="350">
        <v>338731810.6921804</v>
      </c>
      <c r="O349" s="348">
        <v>1290993421.992815</v>
      </c>
      <c r="P349" s="369"/>
      <c r="Q349" s="350">
        <f t="shared" si="165"/>
        <v>37251242.406597495</v>
      </c>
      <c r="R349" s="350">
        <f t="shared" si="166"/>
        <v>75227486.612897754</v>
      </c>
      <c r="S349" s="350">
        <f t="shared" si="167"/>
        <v>113778169.25150192</v>
      </c>
      <c r="T349" s="350">
        <f t="shared" si="168"/>
        <v>152918881.45349196</v>
      </c>
      <c r="U349" s="350">
        <f t="shared" si="169"/>
        <v>192656284.83030224</v>
      </c>
      <c r="V349" s="350">
        <f t="shared" si="170"/>
        <v>571832064.55479145</v>
      </c>
      <c r="W349" s="365"/>
      <c r="X349" s="377">
        <f t="shared" si="148"/>
        <v>0</v>
      </c>
      <c r="Y349" s="377">
        <f t="shared" si="149"/>
        <v>0</v>
      </c>
      <c r="Z349" s="377">
        <f t="shared" si="150"/>
        <v>0</v>
      </c>
      <c r="AA349" s="377">
        <f t="shared" si="151"/>
        <v>0</v>
      </c>
      <c r="AB349" s="377">
        <f t="shared" si="152"/>
        <v>0</v>
      </c>
      <c r="AC349" s="377">
        <f t="shared" si="153"/>
        <v>0</v>
      </c>
      <c r="AD349" s="376"/>
      <c r="AE349" s="332">
        <v>334</v>
      </c>
      <c r="AF349" s="350">
        <v>147157109.25991836</v>
      </c>
      <c r="AG349" s="350">
        <v>148364091.93965179</v>
      </c>
      <c r="AH349" s="350">
        <v>149520500.28242946</v>
      </c>
      <c r="AI349" s="350">
        <v>150679656.56909937</v>
      </c>
      <c r="AJ349" s="350">
        <v>151845161.4920167</v>
      </c>
      <c r="AK349" s="348">
        <v>747566519.54311574</v>
      </c>
      <c r="AL349" s="369"/>
      <c r="AM349" s="350">
        <v>180431711.99712154</v>
      </c>
      <c r="AN349" s="350">
        <v>215579312.84489721</v>
      </c>
      <c r="AO349" s="350">
        <v>251189742.38587642</v>
      </c>
      <c r="AP349" s="350">
        <v>287330250.6725297</v>
      </c>
      <c r="AQ349" s="350">
        <v>324010391.67916602</v>
      </c>
      <c r="AR349" s="348">
        <v>1258541409.5795908</v>
      </c>
      <c r="AS349" s="369"/>
      <c r="AT349" s="350">
        <f t="shared" si="171"/>
        <v>33274602.737203181</v>
      </c>
      <c r="AU349" s="350">
        <f t="shared" si="154"/>
        <v>67215220.905245423</v>
      </c>
      <c r="AV349" s="350">
        <f t="shared" si="155"/>
        <v>101669242.10344696</v>
      </c>
      <c r="AW349" s="350">
        <f t="shared" si="156"/>
        <v>136650594.10343033</v>
      </c>
      <c r="AX349" s="350">
        <f t="shared" si="157"/>
        <v>172165230.18714932</v>
      </c>
      <c r="AY349" s="350">
        <f t="shared" si="158"/>
        <v>510974890.03647506</v>
      </c>
      <c r="AZ349" s="365"/>
      <c r="BA349" s="377">
        <f t="shared" si="159"/>
        <v>0</v>
      </c>
      <c r="BB349" s="377">
        <f t="shared" si="160"/>
        <v>0</v>
      </c>
      <c r="BC349" s="377">
        <f t="shared" si="161"/>
        <v>0</v>
      </c>
      <c r="BD349" s="377">
        <f t="shared" si="162"/>
        <v>0</v>
      </c>
      <c r="BE349" s="377">
        <f t="shared" si="163"/>
        <v>0</v>
      </c>
      <c r="BF349" s="377">
        <f t="shared" si="164"/>
        <v>0</v>
      </c>
      <c r="BG349" s="328"/>
    </row>
    <row r="350" spans="2:59">
      <c r="B350" s="332">
        <v>335</v>
      </c>
      <c r="C350" s="350">
        <v>140362259.76898226</v>
      </c>
      <c r="D350" s="350">
        <v>141513511.08997804</v>
      </c>
      <c r="E350" s="350">
        <v>142616523.29933918</v>
      </c>
      <c r="F350" s="350">
        <v>143722156.56871143</v>
      </c>
      <c r="G350" s="350">
        <v>144833845.33166203</v>
      </c>
      <c r="H350" s="348">
        <v>713048296.0586729</v>
      </c>
      <c r="I350" s="369"/>
      <c r="J350" s="350">
        <v>171816703.1914216</v>
      </c>
      <c r="K350" s="350">
        <v>205038082.80461964</v>
      </c>
      <c r="L350" s="350">
        <v>238696325.93124452</v>
      </c>
      <c r="M350" s="350">
        <v>272855457.87704074</v>
      </c>
      <c r="N350" s="350">
        <v>307524538.58457738</v>
      </c>
      <c r="O350" s="348">
        <v>1195931108.3889039</v>
      </c>
      <c r="P350" s="369"/>
      <c r="Q350" s="350">
        <f t="shared" si="165"/>
        <v>31454443.422439337</v>
      </c>
      <c r="R350" s="350">
        <f t="shared" si="166"/>
        <v>63524571.714641601</v>
      </c>
      <c r="S350" s="350">
        <f t="shared" si="167"/>
        <v>96079802.631905347</v>
      </c>
      <c r="T350" s="350">
        <f t="shared" si="168"/>
        <v>129133301.30832931</v>
      </c>
      <c r="U350" s="350">
        <f t="shared" si="169"/>
        <v>162690693.25291535</v>
      </c>
      <c r="V350" s="350">
        <f t="shared" si="170"/>
        <v>482882812.33023095</v>
      </c>
      <c r="W350" s="365"/>
      <c r="X350" s="377">
        <f t="shared" si="148"/>
        <v>0</v>
      </c>
      <c r="Y350" s="377">
        <f t="shared" si="149"/>
        <v>0</v>
      </c>
      <c r="Z350" s="377">
        <f t="shared" si="150"/>
        <v>0</v>
      </c>
      <c r="AA350" s="377">
        <f t="shared" si="151"/>
        <v>0</v>
      </c>
      <c r="AB350" s="377">
        <f t="shared" si="152"/>
        <v>0</v>
      </c>
      <c r="AC350" s="377">
        <f t="shared" si="153"/>
        <v>0</v>
      </c>
      <c r="AD350" s="376"/>
      <c r="AE350" s="332">
        <v>335</v>
      </c>
      <c r="AF350" s="350">
        <v>135950707.01526192</v>
      </c>
      <c r="AG350" s="350">
        <v>137065774.77848569</v>
      </c>
      <c r="AH350" s="350">
        <v>138134119.57398778</v>
      </c>
      <c r="AI350" s="350">
        <v>139205003.05020249</v>
      </c>
      <c r="AJ350" s="350">
        <v>140281751.69725907</v>
      </c>
      <c r="AK350" s="348">
        <v>690637356.11519694</v>
      </c>
      <c r="AL350" s="369"/>
      <c r="AM350" s="350">
        <v>168555890.81569129</v>
      </c>
      <c r="AN350" s="350">
        <v>202940658.01323661</v>
      </c>
      <c r="AO350" s="350">
        <v>237781962.11641449</v>
      </c>
      <c r="AP350" s="350">
        <v>273142713.00734413</v>
      </c>
      <c r="AQ350" s="350">
        <v>309032072.50620168</v>
      </c>
      <c r="AR350" s="348">
        <v>1191453296.4588881</v>
      </c>
      <c r="AS350" s="369"/>
      <c r="AT350" s="350">
        <f t="shared" si="171"/>
        <v>32605183.800429374</v>
      </c>
      <c r="AU350" s="350">
        <f t="shared" si="154"/>
        <v>65874883.234750926</v>
      </c>
      <c r="AV350" s="350">
        <f t="shared" si="155"/>
        <v>99647842.542426705</v>
      </c>
      <c r="AW350" s="350">
        <f t="shared" si="156"/>
        <v>133937709.95714164</v>
      </c>
      <c r="AX350" s="350">
        <f t="shared" si="157"/>
        <v>168750320.80894262</v>
      </c>
      <c r="AY350" s="350">
        <f t="shared" si="158"/>
        <v>500815940.34369111</v>
      </c>
      <c r="AZ350" s="365"/>
      <c r="BA350" s="377">
        <f t="shared" si="159"/>
        <v>0</v>
      </c>
      <c r="BB350" s="377">
        <f t="shared" si="160"/>
        <v>0</v>
      </c>
      <c r="BC350" s="377">
        <f t="shared" si="161"/>
        <v>0</v>
      </c>
      <c r="BD350" s="377">
        <f t="shared" si="162"/>
        <v>0</v>
      </c>
      <c r="BE350" s="377">
        <f t="shared" si="163"/>
        <v>0</v>
      </c>
      <c r="BF350" s="377">
        <f t="shared" si="164"/>
        <v>0</v>
      </c>
      <c r="BG350" s="328"/>
    </row>
    <row r="351" spans="2:59">
      <c r="B351" s="332">
        <v>336</v>
      </c>
      <c r="C351" s="350">
        <v>129455595.55792829</v>
      </c>
      <c r="D351" s="350">
        <v>130517390.41390775</v>
      </c>
      <c r="E351" s="350">
        <v>131534694.51477881</v>
      </c>
      <c r="F351" s="350">
        <v>132554416.00965084</v>
      </c>
      <c r="G351" s="350">
        <v>133579722.46396193</v>
      </c>
      <c r="H351" s="348">
        <v>657641818.96022761</v>
      </c>
      <c r="I351" s="369"/>
      <c r="J351" s="350">
        <v>162100845.55172279</v>
      </c>
      <c r="K351" s="350">
        <v>196445124.92264858</v>
      </c>
      <c r="L351" s="350">
        <v>231248353.82314333</v>
      </c>
      <c r="M351" s="350">
        <v>266571103.8461014</v>
      </c>
      <c r="N351" s="350">
        <v>302422380.76874077</v>
      </c>
      <c r="O351" s="348">
        <v>1158787808.9123569</v>
      </c>
      <c r="P351" s="369"/>
      <c r="Q351" s="350">
        <f t="shared" si="165"/>
        <v>32645249.993794501</v>
      </c>
      <c r="R351" s="350">
        <f t="shared" si="166"/>
        <v>65927734.508740827</v>
      </c>
      <c r="S351" s="350">
        <f t="shared" si="167"/>
        <v>99713659.308364525</v>
      </c>
      <c r="T351" s="350">
        <f t="shared" si="168"/>
        <v>134016687.83645056</v>
      </c>
      <c r="U351" s="350">
        <f t="shared" si="169"/>
        <v>168842658.30477884</v>
      </c>
      <c r="V351" s="350">
        <f t="shared" si="170"/>
        <v>501145989.95212924</v>
      </c>
      <c r="W351" s="365"/>
      <c r="X351" s="377">
        <f t="shared" si="148"/>
        <v>0</v>
      </c>
      <c r="Y351" s="377">
        <f t="shared" si="149"/>
        <v>0</v>
      </c>
      <c r="Z351" s="377">
        <f t="shared" si="150"/>
        <v>0</v>
      </c>
      <c r="AA351" s="377">
        <f t="shared" si="151"/>
        <v>0</v>
      </c>
      <c r="AB351" s="377">
        <f t="shared" si="152"/>
        <v>0</v>
      </c>
      <c r="AC351" s="377">
        <f t="shared" si="153"/>
        <v>0</v>
      </c>
      <c r="AD351" s="376"/>
      <c r="AE351" s="332">
        <v>336</v>
      </c>
      <c r="AF351" s="350">
        <v>142571367.81848952</v>
      </c>
      <c r="AG351" s="350">
        <v>143740738.24475193</v>
      </c>
      <c r="AH351" s="350">
        <v>144861110.34240794</v>
      </c>
      <c r="AI351" s="350">
        <v>145984144.75193846</v>
      </c>
      <c r="AJ351" s="350">
        <v>147113329.96015021</v>
      </c>
      <c r="AK351" s="348">
        <v>724270691.11773813</v>
      </c>
      <c r="AL351" s="369"/>
      <c r="AM351" s="350">
        <v>182029141.18595359</v>
      </c>
      <c r="AN351" s="350">
        <v>223445950.15626168</v>
      </c>
      <c r="AO351" s="350">
        <v>265422563.94533038</v>
      </c>
      <c r="AP351" s="350">
        <v>308027159.05276132</v>
      </c>
      <c r="AQ351" s="350">
        <v>351270283.48425603</v>
      </c>
      <c r="AR351" s="348">
        <v>1330195097.824563</v>
      </c>
      <c r="AS351" s="369"/>
      <c r="AT351" s="350">
        <f t="shared" si="171"/>
        <v>39457773.367464066</v>
      </c>
      <c r="AU351" s="350">
        <f t="shared" si="154"/>
        <v>79705211.911509752</v>
      </c>
      <c r="AV351" s="350">
        <f t="shared" si="155"/>
        <v>120561453.60292244</v>
      </c>
      <c r="AW351" s="350">
        <f t="shared" si="156"/>
        <v>162043014.30082285</v>
      </c>
      <c r="AX351" s="350">
        <f t="shared" si="157"/>
        <v>204156953.52410582</v>
      </c>
      <c r="AY351" s="350">
        <f t="shared" si="158"/>
        <v>605924406.7068249</v>
      </c>
      <c r="AZ351" s="365"/>
      <c r="BA351" s="377">
        <f t="shared" si="159"/>
        <v>0</v>
      </c>
      <c r="BB351" s="377">
        <f t="shared" si="160"/>
        <v>0</v>
      </c>
      <c r="BC351" s="377">
        <f t="shared" si="161"/>
        <v>0</v>
      </c>
      <c r="BD351" s="377">
        <f t="shared" si="162"/>
        <v>0</v>
      </c>
      <c r="BE351" s="377">
        <f t="shared" si="163"/>
        <v>0</v>
      </c>
      <c r="BF351" s="377">
        <f t="shared" si="164"/>
        <v>0</v>
      </c>
      <c r="BG351" s="328"/>
    </row>
    <row r="352" spans="2:59">
      <c r="B352" s="332">
        <v>337</v>
      </c>
      <c r="C352" s="350">
        <v>124830868.60869426</v>
      </c>
      <c r="D352" s="350">
        <v>125854731.45204934</v>
      </c>
      <c r="E352" s="350">
        <v>126835692.94702069</v>
      </c>
      <c r="F352" s="350">
        <v>127818985.47597806</v>
      </c>
      <c r="G352" s="350">
        <v>128807663.44489968</v>
      </c>
      <c r="H352" s="348">
        <v>634147941.92864203</v>
      </c>
      <c r="I352" s="369"/>
      <c r="J352" s="350">
        <v>159523770.01637626</v>
      </c>
      <c r="K352" s="350">
        <v>195924312.54611415</v>
      </c>
      <c r="L352" s="350">
        <v>232817074.44163659</v>
      </c>
      <c r="M352" s="350">
        <v>270261808.92471123</v>
      </c>
      <c r="N352" s="350">
        <v>308267775.81443036</v>
      </c>
      <c r="O352" s="348">
        <v>1166794741.7432685</v>
      </c>
      <c r="P352" s="369"/>
      <c r="Q352" s="350">
        <f t="shared" si="165"/>
        <v>34692901.407682002</v>
      </c>
      <c r="R352" s="350">
        <f t="shared" si="166"/>
        <v>70069581.094064802</v>
      </c>
      <c r="S352" s="350">
        <f t="shared" si="167"/>
        <v>105981381.4946159</v>
      </c>
      <c r="T352" s="350">
        <f t="shared" si="168"/>
        <v>142442823.44873315</v>
      </c>
      <c r="U352" s="350">
        <f t="shared" si="169"/>
        <v>179460112.36953068</v>
      </c>
      <c r="V352" s="350">
        <f t="shared" si="170"/>
        <v>532646799.81462646</v>
      </c>
      <c r="W352" s="365"/>
      <c r="X352" s="377">
        <f t="shared" si="148"/>
        <v>0</v>
      </c>
      <c r="Y352" s="377">
        <f t="shared" si="149"/>
        <v>0</v>
      </c>
      <c r="Z352" s="377">
        <f t="shared" si="150"/>
        <v>0</v>
      </c>
      <c r="AA352" s="377">
        <f t="shared" si="151"/>
        <v>0</v>
      </c>
      <c r="AB352" s="377">
        <f t="shared" si="152"/>
        <v>0</v>
      </c>
      <c r="AC352" s="377">
        <f t="shared" si="153"/>
        <v>0</v>
      </c>
      <c r="AD352" s="376"/>
      <c r="AE352" s="332">
        <v>337</v>
      </c>
      <c r="AF352" s="350">
        <v>148221927.24962395</v>
      </c>
      <c r="AG352" s="350">
        <v>149437643.56701243</v>
      </c>
      <c r="AH352" s="350">
        <v>150602419.59527284</v>
      </c>
      <c r="AI352" s="350">
        <v>151769963.45134485</v>
      </c>
      <c r="AJ352" s="350">
        <v>152943901.88192791</v>
      </c>
      <c r="AK352" s="348">
        <v>752975855.74518204</v>
      </c>
      <c r="AL352" s="369"/>
      <c r="AM352" s="350">
        <v>181536547.05381361</v>
      </c>
      <c r="AN352" s="350">
        <v>216739174.90580633</v>
      </c>
      <c r="AO352" s="350">
        <v>252404968.28695387</v>
      </c>
      <c r="AP352" s="350">
        <v>288601580.14002347</v>
      </c>
      <c r="AQ352" s="350">
        <v>325338598.48903489</v>
      </c>
      <c r="AR352" s="348">
        <v>1264620868.8756323</v>
      </c>
      <c r="AS352" s="369"/>
      <c r="AT352" s="350">
        <f t="shared" si="171"/>
        <v>33314619.804189652</v>
      </c>
      <c r="AU352" s="350">
        <f t="shared" si="154"/>
        <v>67301531.338793904</v>
      </c>
      <c r="AV352" s="350">
        <f t="shared" si="155"/>
        <v>101802548.69168103</v>
      </c>
      <c r="AW352" s="350">
        <f t="shared" si="156"/>
        <v>136831616.68867862</v>
      </c>
      <c r="AX352" s="350">
        <f t="shared" si="157"/>
        <v>172394696.60710698</v>
      </c>
      <c r="AY352" s="350">
        <f t="shared" si="158"/>
        <v>511645013.13045025</v>
      </c>
      <c r="AZ352" s="365"/>
      <c r="BA352" s="377">
        <f t="shared" si="159"/>
        <v>0</v>
      </c>
      <c r="BB352" s="377">
        <f t="shared" si="160"/>
        <v>0</v>
      </c>
      <c r="BC352" s="377">
        <f t="shared" si="161"/>
        <v>0</v>
      </c>
      <c r="BD352" s="377">
        <f t="shared" si="162"/>
        <v>0</v>
      </c>
      <c r="BE352" s="377">
        <f t="shared" si="163"/>
        <v>0</v>
      </c>
      <c r="BF352" s="377">
        <f t="shared" si="164"/>
        <v>0</v>
      </c>
      <c r="BG352" s="328"/>
    </row>
    <row r="353" spans="2:59">
      <c r="B353" s="332">
        <v>338</v>
      </c>
      <c r="C353" s="350">
        <v>138302330.97431129</v>
      </c>
      <c r="D353" s="350">
        <v>139436686.75835916</v>
      </c>
      <c r="E353" s="350">
        <v>140523511.37844467</v>
      </c>
      <c r="F353" s="350">
        <v>141612918.59238237</v>
      </c>
      <c r="G353" s="350">
        <v>142708292.43067101</v>
      </c>
      <c r="H353" s="348">
        <v>702583740.13416839</v>
      </c>
      <c r="I353" s="369"/>
      <c r="J353" s="350">
        <v>173836456.08324388</v>
      </c>
      <c r="K353" s="350">
        <v>211204344.9213182</v>
      </c>
      <c r="L353" s="350">
        <v>249072783.95041153</v>
      </c>
      <c r="M353" s="350">
        <v>287506759.81215072</v>
      </c>
      <c r="N353" s="350">
        <v>326516012.27218795</v>
      </c>
      <c r="O353" s="348">
        <v>1248136357.0393124</v>
      </c>
      <c r="P353" s="369"/>
      <c r="Q353" s="350">
        <f t="shared" si="165"/>
        <v>35534125.108932585</v>
      </c>
      <c r="R353" s="350">
        <f t="shared" si="166"/>
        <v>71767658.162959039</v>
      </c>
      <c r="S353" s="350">
        <f t="shared" si="167"/>
        <v>108549272.57196686</v>
      </c>
      <c r="T353" s="350">
        <f t="shared" si="168"/>
        <v>145893841.21976835</v>
      </c>
      <c r="U353" s="350">
        <f t="shared" si="169"/>
        <v>183807719.84151694</v>
      </c>
      <c r="V353" s="350">
        <f t="shared" si="170"/>
        <v>545552616.90514398</v>
      </c>
      <c r="W353" s="365"/>
      <c r="X353" s="377">
        <f t="shared" si="148"/>
        <v>0</v>
      </c>
      <c r="Y353" s="377">
        <f t="shared" si="149"/>
        <v>0</v>
      </c>
      <c r="Z353" s="377">
        <f t="shared" si="150"/>
        <v>0</v>
      </c>
      <c r="AA353" s="377">
        <f t="shared" si="151"/>
        <v>0</v>
      </c>
      <c r="AB353" s="377">
        <f t="shared" si="152"/>
        <v>0</v>
      </c>
      <c r="AC353" s="377">
        <f t="shared" si="153"/>
        <v>0</v>
      </c>
      <c r="AD353" s="376"/>
      <c r="AE353" s="332">
        <v>338</v>
      </c>
      <c r="AF353" s="350">
        <v>124570269.96045752</v>
      </c>
      <c r="AG353" s="350">
        <v>125591995.37357649</v>
      </c>
      <c r="AH353" s="350">
        <v>126570908.99976026</v>
      </c>
      <c r="AI353" s="350">
        <v>127552148.79363111</v>
      </c>
      <c r="AJ353" s="350">
        <v>128538762.78474726</v>
      </c>
      <c r="AK353" s="348">
        <v>632824085.91217268</v>
      </c>
      <c r="AL353" s="369"/>
      <c r="AM353" s="350">
        <v>157880820.85720643</v>
      </c>
      <c r="AN353" s="350">
        <v>192883074.40101629</v>
      </c>
      <c r="AO353" s="350">
        <v>228356524.38526276</v>
      </c>
      <c r="AP353" s="350">
        <v>264360251.76319098</v>
      </c>
      <c r="AQ353" s="350">
        <v>300903264.77283853</v>
      </c>
      <c r="AR353" s="348">
        <v>1144383936.1795149</v>
      </c>
      <c r="AS353" s="369"/>
      <c r="AT353" s="350">
        <f t="shared" si="171"/>
        <v>33310550.896748915</v>
      </c>
      <c r="AU353" s="350">
        <f t="shared" si="154"/>
        <v>67291079.027439803</v>
      </c>
      <c r="AV353" s="350">
        <f t="shared" si="155"/>
        <v>101785615.3855025</v>
      </c>
      <c r="AW353" s="350">
        <f t="shared" si="156"/>
        <v>136808102.96955988</v>
      </c>
      <c r="AX353" s="350">
        <f t="shared" si="157"/>
        <v>172364501.98809129</v>
      </c>
      <c r="AY353" s="350">
        <f t="shared" si="158"/>
        <v>511559850.26734221</v>
      </c>
      <c r="AZ353" s="365"/>
      <c r="BA353" s="377">
        <f t="shared" si="159"/>
        <v>0</v>
      </c>
      <c r="BB353" s="377">
        <f t="shared" si="160"/>
        <v>0</v>
      </c>
      <c r="BC353" s="377">
        <f t="shared" si="161"/>
        <v>0</v>
      </c>
      <c r="BD353" s="377">
        <f t="shared" si="162"/>
        <v>0</v>
      </c>
      <c r="BE353" s="377">
        <f t="shared" si="163"/>
        <v>0</v>
      </c>
      <c r="BF353" s="377">
        <f t="shared" si="164"/>
        <v>0</v>
      </c>
      <c r="BG353" s="328"/>
    </row>
    <row r="354" spans="2:59">
      <c r="B354" s="332">
        <v>339</v>
      </c>
      <c r="C354" s="350">
        <v>127662790.38908568</v>
      </c>
      <c r="D354" s="350">
        <v>128709880.6562226</v>
      </c>
      <c r="E354" s="350">
        <v>129713096.3119981</v>
      </c>
      <c r="F354" s="350">
        <v>130718695.88375893</v>
      </c>
      <c r="G354" s="350">
        <v>131729803.06995019</v>
      </c>
      <c r="H354" s="348">
        <v>648534266.31101549</v>
      </c>
      <c r="I354" s="369"/>
      <c r="J354" s="350">
        <v>154636764.51064283</v>
      </c>
      <c r="K354" s="350">
        <v>183188026.30542123</v>
      </c>
      <c r="L354" s="350">
        <v>212111451.07072294</v>
      </c>
      <c r="M354" s="350">
        <v>241464587.30805972</v>
      </c>
      <c r="N354" s="350">
        <v>271255383.24751949</v>
      </c>
      <c r="O354" s="348">
        <v>1062656212.4423661</v>
      </c>
      <c r="P354" s="369"/>
      <c r="Q354" s="350">
        <f t="shared" si="165"/>
        <v>26973974.121557146</v>
      </c>
      <c r="R354" s="350">
        <f t="shared" si="166"/>
        <v>54478145.649198636</v>
      </c>
      <c r="S354" s="350">
        <f t="shared" si="167"/>
        <v>82398354.758724838</v>
      </c>
      <c r="T354" s="350">
        <f t="shared" si="168"/>
        <v>110745891.42430079</v>
      </c>
      <c r="U354" s="350">
        <f t="shared" si="169"/>
        <v>139525580.1775693</v>
      </c>
      <c r="V354" s="350">
        <f t="shared" si="170"/>
        <v>414121946.13135064</v>
      </c>
      <c r="W354" s="365"/>
      <c r="X354" s="377">
        <f t="shared" si="148"/>
        <v>0</v>
      </c>
      <c r="Y354" s="377">
        <f t="shared" si="149"/>
        <v>0</v>
      </c>
      <c r="Z354" s="377">
        <f t="shared" si="150"/>
        <v>0</v>
      </c>
      <c r="AA354" s="377">
        <f t="shared" si="151"/>
        <v>0</v>
      </c>
      <c r="AB354" s="377">
        <f t="shared" si="152"/>
        <v>0</v>
      </c>
      <c r="AC354" s="377">
        <f t="shared" si="153"/>
        <v>0</v>
      </c>
      <c r="AD354" s="376"/>
      <c r="AE354" s="332">
        <v>339</v>
      </c>
      <c r="AF354" s="350">
        <v>148802950.38958523</v>
      </c>
      <c r="AG354" s="350">
        <v>150023432.25904238</v>
      </c>
      <c r="AH354" s="350">
        <v>151192774.1557802</v>
      </c>
      <c r="AI354" s="350">
        <v>152364894.7300874</v>
      </c>
      <c r="AJ354" s="350">
        <v>153543434.94534373</v>
      </c>
      <c r="AK354" s="348">
        <v>755927486.47983897</v>
      </c>
      <c r="AL354" s="369"/>
      <c r="AM354" s="350">
        <v>183445993.50125483</v>
      </c>
      <c r="AN354" s="350">
        <v>219985488.97248715</v>
      </c>
      <c r="AO354" s="350">
        <v>257008089.75061512</v>
      </c>
      <c r="AP354" s="350">
        <v>294582214.07771879</v>
      </c>
      <c r="AQ354" s="350">
        <v>332717698.37049258</v>
      </c>
      <c r="AR354" s="348">
        <v>1287739484.6725683</v>
      </c>
      <c r="AS354" s="369"/>
      <c r="AT354" s="350">
        <f t="shared" si="171"/>
        <v>34643043.1116696</v>
      </c>
      <c r="AU354" s="350">
        <f t="shared" si="154"/>
        <v>69962056.713444769</v>
      </c>
      <c r="AV354" s="350">
        <f t="shared" si="155"/>
        <v>105815315.59483492</v>
      </c>
      <c r="AW354" s="350">
        <f t="shared" si="156"/>
        <v>142217319.34763139</v>
      </c>
      <c r="AX354" s="350">
        <f t="shared" si="157"/>
        <v>179174263.42514884</v>
      </c>
      <c r="AY354" s="350">
        <f t="shared" si="158"/>
        <v>531811998.19272935</v>
      </c>
      <c r="AZ354" s="365"/>
      <c r="BA354" s="377">
        <f t="shared" si="159"/>
        <v>0</v>
      </c>
      <c r="BB354" s="377">
        <f t="shared" si="160"/>
        <v>0</v>
      </c>
      <c r="BC354" s="377">
        <f t="shared" si="161"/>
        <v>0</v>
      </c>
      <c r="BD354" s="377">
        <f t="shared" si="162"/>
        <v>0</v>
      </c>
      <c r="BE354" s="377">
        <f t="shared" si="163"/>
        <v>0</v>
      </c>
      <c r="BF354" s="377">
        <f t="shared" si="164"/>
        <v>0</v>
      </c>
      <c r="BG354" s="328"/>
    </row>
    <row r="355" spans="2:59">
      <c r="B355" s="332">
        <v>340</v>
      </c>
      <c r="C355" s="350">
        <v>141737565.92797759</v>
      </c>
      <c r="D355" s="350">
        <v>142900097.5107398</v>
      </c>
      <c r="E355" s="350">
        <v>144013917.3224256</v>
      </c>
      <c r="F355" s="350">
        <v>145130383.87595463</v>
      </c>
      <c r="G355" s="350">
        <v>146252965.25637299</v>
      </c>
      <c r="H355" s="348">
        <v>720034929.89347053</v>
      </c>
      <c r="I355" s="369"/>
      <c r="J355" s="350">
        <v>174569382.28301811</v>
      </c>
      <c r="K355" s="350">
        <v>209238363.47923008</v>
      </c>
      <c r="L355" s="350">
        <v>244365476.56136942</v>
      </c>
      <c r="M355" s="350">
        <v>280015823.44790357</v>
      </c>
      <c r="N355" s="350">
        <v>316198748.95354968</v>
      </c>
      <c r="O355" s="348">
        <v>1224387794.7250707</v>
      </c>
      <c r="P355" s="369"/>
      <c r="Q355" s="350">
        <f t="shared" si="165"/>
        <v>32831816.35504052</v>
      </c>
      <c r="R355" s="350">
        <f t="shared" si="166"/>
        <v>66338265.968490273</v>
      </c>
      <c r="S355" s="350">
        <f t="shared" si="167"/>
        <v>100351559.23894382</v>
      </c>
      <c r="T355" s="350">
        <f t="shared" si="168"/>
        <v>134885439.57194895</v>
      </c>
      <c r="U355" s="350">
        <f t="shared" si="169"/>
        <v>169945783.69717669</v>
      </c>
      <c r="V355" s="350">
        <f t="shared" si="170"/>
        <v>504352864.83160019</v>
      </c>
      <c r="W355" s="365"/>
      <c r="X355" s="377">
        <f t="shared" si="148"/>
        <v>0</v>
      </c>
      <c r="Y355" s="377">
        <f t="shared" si="149"/>
        <v>0</v>
      </c>
      <c r="Z355" s="377">
        <f t="shared" si="150"/>
        <v>0</v>
      </c>
      <c r="AA355" s="377">
        <f t="shared" si="151"/>
        <v>0</v>
      </c>
      <c r="AB355" s="377">
        <f t="shared" si="152"/>
        <v>0</v>
      </c>
      <c r="AC355" s="377">
        <f t="shared" si="153"/>
        <v>0</v>
      </c>
      <c r="AD355" s="376"/>
      <c r="AE355" s="332">
        <v>340</v>
      </c>
      <c r="AF355" s="350">
        <v>110879990.5417203</v>
      </c>
      <c r="AG355" s="350">
        <v>111789428.27657336</v>
      </c>
      <c r="AH355" s="350">
        <v>112660759.24219513</v>
      </c>
      <c r="AI355" s="350">
        <v>113534160.7295492</v>
      </c>
      <c r="AJ355" s="350">
        <v>114412345.78958012</v>
      </c>
      <c r="AK355" s="348">
        <v>563276684.5796181</v>
      </c>
      <c r="AL355" s="369"/>
      <c r="AM355" s="350">
        <v>137623216.87265423</v>
      </c>
      <c r="AN355" s="350">
        <v>165815248.99394107</v>
      </c>
      <c r="AO355" s="350">
        <v>194381866.61401296</v>
      </c>
      <c r="AP355" s="350">
        <v>223374441.17994606</v>
      </c>
      <c r="AQ355" s="350">
        <v>252800471.09520608</v>
      </c>
      <c r="AR355" s="348">
        <v>973995244.75576043</v>
      </c>
      <c r="AS355" s="369"/>
      <c r="AT355" s="350">
        <f t="shared" si="171"/>
        <v>26743226.330933928</v>
      </c>
      <c r="AU355" s="350">
        <f t="shared" si="154"/>
        <v>54025820.717367709</v>
      </c>
      <c r="AV355" s="350">
        <f t="shared" si="155"/>
        <v>81721107.371817827</v>
      </c>
      <c r="AW355" s="350">
        <f t="shared" si="156"/>
        <v>109840280.45039687</v>
      </c>
      <c r="AX355" s="350">
        <f t="shared" si="157"/>
        <v>138388125.30562598</v>
      </c>
      <c r="AY355" s="350">
        <f t="shared" si="158"/>
        <v>410718560.17614233</v>
      </c>
      <c r="AZ355" s="365"/>
      <c r="BA355" s="377">
        <f t="shared" si="159"/>
        <v>0</v>
      </c>
      <c r="BB355" s="377">
        <f t="shared" si="160"/>
        <v>0</v>
      </c>
      <c r="BC355" s="377">
        <f t="shared" si="161"/>
        <v>0</v>
      </c>
      <c r="BD355" s="377">
        <f t="shared" si="162"/>
        <v>0</v>
      </c>
      <c r="BE355" s="377">
        <f t="shared" si="163"/>
        <v>0</v>
      </c>
      <c r="BF355" s="377">
        <f t="shared" si="164"/>
        <v>0</v>
      </c>
      <c r="BG355" s="328"/>
    </row>
    <row r="356" spans="2:59">
      <c r="B356" s="332">
        <v>341</v>
      </c>
      <c r="C356" s="350">
        <v>113618629.502121</v>
      </c>
      <c r="D356" s="350">
        <v>114550529.55502219</v>
      </c>
      <c r="E356" s="350">
        <v>115443381.63476202</v>
      </c>
      <c r="F356" s="350">
        <v>116338355.37631318</v>
      </c>
      <c r="G356" s="350">
        <v>117238230.84060994</v>
      </c>
      <c r="H356" s="348">
        <v>577189126.90882838</v>
      </c>
      <c r="I356" s="369"/>
      <c r="J356" s="350">
        <v>139557707.20247421</v>
      </c>
      <c r="K356" s="350">
        <v>166941191.61140329</v>
      </c>
      <c r="L356" s="350">
        <v>194685745.05853796</v>
      </c>
      <c r="M356" s="350">
        <v>222843394.1437608</v>
      </c>
      <c r="N356" s="350">
        <v>251421558.76401824</v>
      </c>
      <c r="O356" s="348">
        <v>975449596.78019452</v>
      </c>
      <c r="P356" s="369"/>
      <c r="Q356" s="350">
        <f t="shared" si="165"/>
        <v>25939077.700353205</v>
      </c>
      <c r="R356" s="350">
        <f t="shared" si="166"/>
        <v>52390662.056381091</v>
      </c>
      <c r="S356" s="350">
        <f t="shared" si="167"/>
        <v>79242363.423775941</v>
      </c>
      <c r="T356" s="350">
        <f t="shared" si="168"/>
        <v>106505038.76744762</v>
      </c>
      <c r="U356" s="350">
        <f t="shared" si="169"/>
        <v>134183327.9234083</v>
      </c>
      <c r="V356" s="350">
        <f t="shared" si="170"/>
        <v>398260469.87136614</v>
      </c>
      <c r="W356" s="365"/>
      <c r="X356" s="377">
        <f t="shared" si="148"/>
        <v>0</v>
      </c>
      <c r="Y356" s="377">
        <f t="shared" si="149"/>
        <v>0</v>
      </c>
      <c r="Z356" s="377">
        <f t="shared" si="150"/>
        <v>0</v>
      </c>
      <c r="AA356" s="377">
        <f t="shared" si="151"/>
        <v>0</v>
      </c>
      <c r="AB356" s="377">
        <f t="shared" si="152"/>
        <v>0</v>
      </c>
      <c r="AC356" s="377">
        <f t="shared" si="153"/>
        <v>0</v>
      </c>
      <c r="AD356" s="376"/>
      <c r="AE356" s="332">
        <v>341</v>
      </c>
      <c r="AF356" s="350">
        <v>127851225.02922603</v>
      </c>
      <c r="AG356" s="350">
        <v>128899860.83737043</v>
      </c>
      <c r="AH356" s="350">
        <v>129904557.27372818</v>
      </c>
      <c r="AI356" s="350">
        <v>130911641.14481261</v>
      </c>
      <c r="AJ356" s="350">
        <v>131924240.75975461</v>
      </c>
      <c r="AK356" s="348">
        <v>649491525.04489195</v>
      </c>
      <c r="AL356" s="369"/>
      <c r="AM356" s="350">
        <v>157879108.0730969</v>
      </c>
      <c r="AN356" s="350">
        <v>189580364.2912789</v>
      </c>
      <c r="AO356" s="350">
        <v>221701359.20315135</v>
      </c>
      <c r="AP356" s="350">
        <v>254300989.72262228</v>
      </c>
      <c r="AQ356" s="350">
        <v>287387760.17692238</v>
      </c>
      <c r="AR356" s="348">
        <v>1110849581.4670718</v>
      </c>
      <c r="AS356" s="369"/>
      <c r="AT356" s="350">
        <f t="shared" si="171"/>
        <v>30027883.043870866</v>
      </c>
      <c r="AU356" s="350">
        <f t="shared" si="154"/>
        <v>60680503.453908473</v>
      </c>
      <c r="AV356" s="350">
        <f t="shared" si="155"/>
        <v>91796801.929423168</v>
      </c>
      <c r="AW356" s="350">
        <f t="shared" si="156"/>
        <v>123389348.57780966</v>
      </c>
      <c r="AX356" s="350">
        <f t="shared" si="157"/>
        <v>155463519.41716778</v>
      </c>
      <c r="AY356" s="350">
        <f t="shared" si="158"/>
        <v>461358056.42217982</v>
      </c>
      <c r="AZ356" s="365"/>
      <c r="BA356" s="377">
        <f t="shared" si="159"/>
        <v>0</v>
      </c>
      <c r="BB356" s="377">
        <f t="shared" si="160"/>
        <v>0</v>
      </c>
      <c r="BC356" s="377">
        <f t="shared" si="161"/>
        <v>0</v>
      </c>
      <c r="BD356" s="377">
        <f t="shared" si="162"/>
        <v>0</v>
      </c>
      <c r="BE356" s="377">
        <f t="shared" si="163"/>
        <v>0</v>
      </c>
      <c r="BF356" s="377">
        <f t="shared" si="164"/>
        <v>0</v>
      </c>
      <c r="BG356" s="328"/>
    </row>
    <row r="357" spans="2:59">
      <c r="B357" s="332">
        <v>342</v>
      </c>
      <c r="C357" s="350">
        <v>148371365.17111278</v>
      </c>
      <c r="D357" s="350">
        <v>149588307.17840397</v>
      </c>
      <c r="E357" s="350">
        <v>150754257.53837016</v>
      </c>
      <c r="F357" s="350">
        <v>151922978.51668268</v>
      </c>
      <c r="G357" s="350">
        <v>153098100.51654109</v>
      </c>
      <c r="H357" s="348">
        <v>753735008.92111075</v>
      </c>
      <c r="I357" s="369"/>
      <c r="J357" s="350">
        <v>185821123.80947638</v>
      </c>
      <c r="K357" s="350">
        <v>225216886.46202898</v>
      </c>
      <c r="L357" s="350">
        <v>265139160.21378031</v>
      </c>
      <c r="M357" s="350">
        <v>305657381.5593698</v>
      </c>
      <c r="N357" s="350">
        <v>346781878.04394597</v>
      </c>
      <c r="O357" s="348">
        <v>1328616430.0886014</v>
      </c>
      <c r="P357" s="369"/>
      <c r="Q357" s="350">
        <f t="shared" si="165"/>
        <v>37449758.6383636</v>
      </c>
      <c r="R357" s="350">
        <f t="shared" si="166"/>
        <v>75628579.283625007</v>
      </c>
      <c r="S357" s="350">
        <f t="shared" si="167"/>
        <v>114384902.67541015</v>
      </c>
      <c r="T357" s="350">
        <f t="shared" si="168"/>
        <v>153734403.04268712</v>
      </c>
      <c r="U357" s="350">
        <f t="shared" si="169"/>
        <v>193683777.52740487</v>
      </c>
      <c r="V357" s="350">
        <f t="shared" si="170"/>
        <v>574881421.1674906</v>
      </c>
      <c r="W357" s="365"/>
      <c r="X357" s="377">
        <f t="shared" si="148"/>
        <v>0</v>
      </c>
      <c r="Y357" s="377">
        <f t="shared" si="149"/>
        <v>0</v>
      </c>
      <c r="Z357" s="377">
        <f t="shared" si="150"/>
        <v>0</v>
      </c>
      <c r="AA357" s="377">
        <f t="shared" si="151"/>
        <v>0</v>
      </c>
      <c r="AB357" s="377">
        <f t="shared" si="152"/>
        <v>0</v>
      </c>
      <c r="AC357" s="377">
        <f t="shared" si="153"/>
        <v>0</v>
      </c>
      <c r="AD357" s="376"/>
      <c r="AE357" s="332">
        <v>342</v>
      </c>
      <c r="AF357" s="350">
        <v>110647550.02800336</v>
      </c>
      <c r="AG357" s="350">
        <v>111555081.285653</v>
      </c>
      <c r="AH357" s="350">
        <v>112424585.65825036</v>
      </c>
      <c r="AI357" s="350">
        <v>113296156.21209329</v>
      </c>
      <c r="AJ357" s="350">
        <v>114172500.31068929</v>
      </c>
      <c r="AK357" s="348">
        <v>562095873.49468935</v>
      </c>
      <c r="AL357" s="369"/>
      <c r="AM357" s="350">
        <v>149171029.94050443</v>
      </c>
      <c r="AN357" s="350">
        <v>189341052.38517469</v>
      </c>
      <c r="AO357" s="350">
        <v>230066937.50668719</v>
      </c>
      <c r="AP357" s="350">
        <v>271404901.38717169</v>
      </c>
      <c r="AQ357" s="350">
        <v>313364538.87371814</v>
      </c>
      <c r="AR357" s="348">
        <v>1153348460.093256</v>
      </c>
      <c r="AS357" s="369"/>
      <c r="AT357" s="350">
        <f t="shared" si="171"/>
        <v>38523479.912501067</v>
      </c>
      <c r="AU357" s="350">
        <f t="shared" si="154"/>
        <v>77785971.099521697</v>
      </c>
      <c r="AV357" s="350">
        <f t="shared" si="155"/>
        <v>117642351.84843683</v>
      </c>
      <c r="AW357" s="350">
        <f t="shared" si="156"/>
        <v>158108745.17507839</v>
      </c>
      <c r="AX357" s="350">
        <f t="shared" si="157"/>
        <v>199192038.56302887</v>
      </c>
      <c r="AY357" s="350">
        <f t="shared" si="158"/>
        <v>591252586.59856665</v>
      </c>
      <c r="AZ357" s="365"/>
      <c r="BA357" s="377">
        <f t="shared" si="159"/>
        <v>0</v>
      </c>
      <c r="BB357" s="377">
        <f t="shared" si="160"/>
        <v>0</v>
      </c>
      <c r="BC357" s="377">
        <f t="shared" si="161"/>
        <v>0</v>
      </c>
      <c r="BD357" s="377">
        <f t="shared" si="162"/>
        <v>0</v>
      </c>
      <c r="BE357" s="377">
        <f t="shared" si="163"/>
        <v>0</v>
      </c>
      <c r="BF357" s="377">
        <f t="shared" si="164"/>
        <v>0</v>
      </c>
      <c r="BG357" s="328"/>
    </row>
    <row r="358" spans="2:59">
      <c r="B358" s="332">
        <v>343</v>
      </c>
      <c r="C358" s="350">
        <v>144985890.32584956</v>
      </c>
      <c r="D358" s="350">
        <v>146175064.66685912</v>
      </c>
      <c r="E358" s="350">
        <v>147314410.86631265</v>
      </c>
      <c r="F358" s="350">
        <v>148456464.46531892</v>
      </c>
      <c r="G358" s="350">
        <v>149604773.03007779</v>
      </c>
      <c r="H358" s="348">
        <v>736536603.35441804</v>
      </c>
      <c r="I358" s="369"/>
      <c r="J358" s="350">
        <v>180917638.85904151</v>
      </c>
      <c r="K358" s="350">
        <v>218726192.22608697</v>
      </c>
      <c r="L358" s="350">
        <v>257038826.18503505</v>
      </c>
      <c r="M358" s="350">
        <v>295923114.49765861</v>
      </c>
      <c r="N358" s="350">
        <v>335389028.59301394</v>
      </c>
      <c r="O358" s="348">
        <v>1287994800.360836</v>
      </c>
      <c r="P358" s="369"/>
      <c r="Q358" s="350">
        <f t="shared" si="165"/>
        <v>35931748.533191949</v>
      </c>
      <c r="R358" s="350">
        <f t="shared" si="166"/>
        <v>72551127.559227854</v>
      </c>
      <c r="S358" s="350">
        <f t="shared" si="167"/>
        <v>109724415.3187224</v>
      </c>
      <c r="T358" s="350">
        <f t="shared" si="168"/>
        <v>147466650.03233969</v>
      </c>
      <c r="U358" s="350">
        <f t="shared" si="169"/>
        <v>185784255.56293616</v>
      </c>
      <c r="V358" s="350">
        <f t="shared" si="170"/>
        <v>551458197.00641799</v>
      </c>
      <c r="W358" s="365"/>
      <c r="X358" s="377">
        <f t="shared" si="148"/>
        <v>0</v>
      </c>
      <c r="Y358" s="377">
        <f t="shared" si="149"/>
        <v>0</v>
      </c>
      <c r="Z358" s="377">
        <f t="shared" si="150"/>
        <v>0</v>
      </c>
      <c r="AA358" s="377">
        <f t="shared" si="151"/>
        <v>0</v>
      </c>
      <c r="AB358" s="377">
        <f t="shared" si="152"/>
        <v>0</v>
      </c>
      <c r="AC358" s="377">
        <f t="shared" si="153"/>
        <v>0</v>
      </c>
      <c r="AD358" s="376"/>
      <c r="AE358" s="332">
        <v>343</v>
      </c>
      <c r="AF358" s="350">
        <v>130597881.58199281</v>
      </c>
      <c r="AG358" s="350">
        <v>131669045.46848181</v>
      </c>
      <c r="AH358" s="350">
        <v>132695326.02380145</v>
      </c>
      <c r="AI358" s="350">
        <v>133724045.30364381</v>
      </c>
      <c r="AJ358" s="350">
        <v>134758398.8233065</v>
      </c>
      <c r="AK358" s="348">
        <v>663444697.20122647</v>
      </c>
      <c r="AL358" s="369"/>
      <c r="AM358" s="350">
        <v>163108878.86372492</v>
      </c>
      <c r="AN358" s="350">
        <v>197342659.01911873</v>
      </c>
      <c r="AO358" s="350">
        <v>232033190.83195579</v>
      </c>
      <c r="AP358" s="350">
        <v>267241404.55605325</v>
      </c>
      <c r="AQ358" s="350">
        <v>302976312.50468969</v>
      </c>
      <c r="AR358" s="348">
        <v>1162702445.7755423</v>
      </c>
      <c r="AS358" s="369"/>
      <c r="AT358" s="350">
        <f t="shared" si="171"/>
        <v>32510997.281732112</v>
      </c>
      <c r="AU358" s="350">
        <f t="shared" si="154"/>
        <v>65673613.550636917</v>
      </c>
      <c r="AV358" s="350">
        <f t="shared" si="155"/>
        <v>99337864.808154345</v>
      </c>
      <c r="AW358" s="350">
        <f t="shared" si="156"/>
        <v>133517359.25240944</v>
      </c>
      <c r="AX358" s="350">
        <f t="shared" si="157"/>
        <v>168217913.68138319</v>
      </c>
      <c r="AY358" s="350">
        <f t="shared" si="158"/>
        <v>499257748.57431579</v>
      </c>
      <c r="AZ358" s="365"/>
      <c r="BA358" s="377">
        <f t="shared" si="159"/>
        <v>0</v>
      </c>
      <c r="BB358" s="377">
        <f t="shared" si="160"/>
        <v>0</v>
      </c>
      <c r="BC358" s="377">
        <f t="shared" si="161"/>
        <v>0</v>
      </c>
      <c r="BD358" s="377">
        <f t="shared" si="162"/>
        <v>0</v>
      </c>
      <c r="BE358" s="377">
        <f t="shared" si="163"/>
        <v>0</v>
      </c>
      <c r="BF358" s="377">
        <f t="shared" si="164"/>
        <v>0</v>
      </c>
      <c r="BG358" s="328"/>
    </row>
    <row r="359" spans="2:59">
      <c r="B359" s="332">
        <v>344</v>
      </c>
      <c r="C359" s="350">
        <v>139957249.0563997</v>
      </c>
      <c r="D359" s="350">
        <v>141105178.47933939</v>
      </c>
      <c r="E359" s="350">
        <v>142205007.98302421</v>
      </c>
      <c r="F359" s="350">
        <v>143307450.9837372</v>
      </c>
      <c r="G359" s="350">
        <v>144415932.00509974</v>
      </c>
      <c r="H359" s="348">
        <v>710990818.50760031</v>
      </c>
      <c r="I359" s="369"/>
      <c r="J359" s="350">
        <v>178525312.84918231</v>
      </c>
      <c r="K359" s="350">
        <v>219008048.56912678</v>
      </c>
      <c r="L359" s="350">
        <v>260037680.21391758</v>
      </c>
      <c r="M359" s="350">
        <v>301681064.36847043</v>
      </c>
      <c r="N359" s="350">
        <v>343948525.11339301</v>
      </c>
      <c r="O359" s="348">
        <v>1303200631.1140902</v>
      </c>
      <c r="P359" s="369"/>
      <c r="Q359" s="350">
        <f t="shared" si="165"/>
        <v>38568063.792782605</v>
      </c>
      <c r="R359" s="350">
        <f t="shared" si="166"/>
        <v>77902870.089787394</v>
      </c>
      <c r="S359" s="350">
        <f t="shared" si="167"/>
        <v>117832672.23089337</v>
      </c>
      <c r="T359" s="350">
        <f t="shared" si="168"/>
        <v>158373613.38473323</v>
      </c>
      <c r="U359" s="350">
        <f t="shared" si="169"/>
        <v>199532593.10829327</v>
      </c>
      <c r="V359" s="350">
        <f t="shared" si="170"/>
        <v>592209812.6064899</v>
      </c>
      <c r="W359" s="365"/>
      <c r="X359" s="377">
        <f t="shared" si="148"/>
        <v>0</v>
      </c>
      <c r="Y359" s="377">
        <f t="shared" si="149"/>
        <v>0</v>
      </c>
      <c r="Z359" s="377">
        <f t="shared" si="150"/>
        <v>0</v>
      </c>
      <c r="AA359" s="377">
        <f t="shared" si="151"/>
        <v>0</v>
      </c>
      <c r="AB359" s="377">
        <f t="shared" si="152"/>
        <v>0</v>
      </c>
      <c r="AC359" s="377">
        <f t="shared" si="153"/>
        <v>0</v>
      </c>
      <c r="AD359" s="376"/>
      <c r="AE359" s="332">
        <v>344</v>
      </c>
      <c r="AF359" s="350">
        <v>141243465.45023623</v>
      </c>
      <c r="AG359" s="350">
        <v>142401944.4206464</v>
      </c>
      <c r="AH359" s="350">
        <v>143511881.43035609</v>
      </c>
      <c r="AI359" s="350">
        <v>144624455.95530486</v>
      </c>
      <c r="AJ359" s="350">
        <v>145743123.99071309</v>
      </c>
      <c r="AK359" s="348">
        <v>717524871.24725676</v>
      </c>
      <c r="AL359" s="369"/>
      <c r="AM359" s="350">
        <v>175306283.57968363</v>
      </c>
      <c r="AN359" s="350">
        <v>211194911.48749283</v>
      </c>
      <c r="AO359" s="350">
        <v>247560336.62299728</v>
      </c>
      <c r="AP359" s="350">
        <v>284467995.3540349</v>
      </c>
      <c r="AQ359" s="350">
        <v>321927435.7728973</v>
      </c>
      <c r="AR359" s="348">
        <v>1240456962.817106</v>
      </c>
      <c r="AS359" s="369"/>
      <c r="AT359" s="350">
        <f t="shared" si="171"/>
        <v>34062818.129447401</v>
      </c>
      <c r="AU359" s="350">
        <f t="shared" si="154"/>
        <v>68792967.06684643</v>
      </c>
      <c r="AV359" s="350">
        <f t="shared" si="155"/>
        <v>104048455.1926412</v>
      </c>
      <c r="AW359" s="350">
        <f t="shared" si="156"/>
        <v>139843539.39873004</v>
      </c>
      <c r="AX359" s="350">
        <f t="shared" si="157"/>
        <v>176184311.78218421</v>
      </c>
      <c r="AY359" s="350">
        <f t="shared" si="158"/>
        <v>522932091.56984925</v>
      </c>
      <c r="AZ359" s="365"/>
      <c r="BA359" s="377">
        <f t="shared" si="159"/>
        <v>0</v>
      </c>
      <c r="BB359" s="377">
        <f t="shared" si="160"/>
        <v>0</v>
      </c>
      <c r="BC359" s="377">
        <f t="shared" si="161"/>
        <v>0</v>
      </c>
      <c r="BD359" s="377">
        <f t="shared" si="162"/>
        <v>0</v>
      </c>
      <c r="BE359" s="377">
        <f t="shared" si="163"/>
        <v>0</v>
      </c>
      <c r="BF359" s="377">
        <f t="shared" si="164"/>
        <v>0</v>
      </c>
      <c r="BG359" s="328"/>
    </row>
    <row r="360" spans="2:59">
      <c r="B360" s="332">
        <v>345</v>
      </c>
      <c r="C360" s="350">
        <v>120618168.47402187</v>
      </c>
      <c r="D360" s="350">
        <v>121607478.74888042</v>
      </c>
      <c r="E360" s="350">
        <v>122555335.47843568</v>
      </c>
      <c r="F360" s="350">
        <v>123505444.57596029</v>
      </c>
      <c r="G360" s="350">
        <v>124460757.36959122</v>
      </c>
      <c r="H360" s="348">
        <v>612747184.64688945</v>
      </c>
      <c r="I360" s="369"/>
      <c r="J360" s="350">
        <v>154617020.57113534</v>
      </c>
      <c r="K360" s="350">
        <v>190255948.10633254</v>
      </c>
      <c r="L360" s="350">
        <v>226377536.05544022</v>
      </c>
      <c r="M360" s="350">
        <v>263039719.59999979</v>
      </c>
      <c r="N360" s="350">
        <v>300251528.38763809</v>
      </c>
      <c r="O360" s="348">
        <v>1134541752.720546</v>
      </c>
      <c r="P360" s="369"/>
      <c r="Q360" s="350">
        <f t="shared" si="165"/>
        <v>33998852.097113475</v>
      </c>
      <c r="R360" s="350">
        <f t="shared" si="166"/>
        <v>68648469.357452124</v>
      </c>
      <c r="S360" s="350">
        <f t="shared" si="167"/>
        <v>103822200.57700454</v>
      </c>
      <c r="T360" s="350">
        <f t="shared" si="168"/>
        <v>139534275.02403951</v>
      </c>
      <c r="U360" s="350">
        <f t="shared" si="169"/>
        <v>175790771.01804686</v>
      </c>
      <c r="V360" s="350">
        <f t="shared" si="170"/>
        <v>521794568.07365656</v>
      </c>
      <c r="W360" s="365"/>
      <c r="X360" s="377">
        <f t="shared" si="148"/>
        <v>0</v>
      </c>
      <c r="Y360" s="377">
        <f t="shared" si="149"/>
        <v>0</v>
      </c>
      <c r="Z360" s="377">
        <f t="shared" si="150"/>
        <v>0</v>
      </c>
      <c r="AA360" s="377">
        <f t="shared" si="151"/>
        <v>0</v>
      </c>
      <c r="AB360" s="377">
        <f t="shared" si="152"/>
        <v>0</v>
      </c>
      <c r="AC360" s="377">
        <f t="shared" si="153"/>
        <v>0</v>
      </c>
      <c r="AD360" s="376"/>
      <c r="AE360" s="332">
        <v>345</v>
      </c>
      <c r="AF360" s="350">
        <v>113217689.05377102</v>
      </c>
      <c r="AG360" s="350">
        <v>114146300.59292528</v>
      </c>
      <c r="AH360" s="350">
        <v>115036001.95244667</v>
      </c>
      <c r="AI360" s="350">
        <v>115927817.4868027</v>
      </c>
      <c r="AJ360" s="350">
        <v>116824517.4465744</v>
      </c>
      <c r="AK360" s="348">
        <v>575152326.53252006</v>
      </c>
      <c r="AL360" s="369"/>
      <c r="AM360" s="350">
        <v>144915252.703264</v>
      </c>
      <c r="AN360" s="350">
        <v>178167338.094594</v>
      </c>
      <c r="AO360" s="350">
        <v>211869450.64239508</v>
      </c>
      <c r="AP360" s="350">
        <v>246075881.89599934</v>
      </c>
      <c r="AQ360" s="350">
        <v>280795071.93055129</v>
      </c>
      <c r="AR360" s="348">
        <v>1061822995.2668037</v>
      </c>
      <c r="AS360" s="369"/>
      <c r="AT360" s="350">
        <f t="shared" si="171"/>
        <v>31697563.649492979</v>
      </c>
      <c r="AU360" s="350">
        <f t="shared" si="154"/>
        <v>64021037.501668721</v>
      </c>
      <c r="AV360" s="350">
        <f t="shared" si="155"/>
        <v>96833448.68994841</v>
      </c>
      <c r="AW360" s="350">
        <f t="shared" si="156"/>
        <v>130148064.40919665</v>
      </c>
      <c r="AX360" s="350">
        <f t="shared" si="157"/>
        <v>163970554.4839769</v>
      </c>
      <c r="AY360" s="350">
        <f t="shared" si="158"/>
        <v>486670668.73428369</v>
      </c>
      <c r="AZ360" s="365"/>
      <c r="BA360" s="377">
        <f t="shared" si="159"/>
        <v>0</v>
      </c>
      <c r="BB360" s="377">
        <f t="shared" si="160"/>
        <v>0</v>
      </c>
      <c r="BC360" s="377">
        <f t="shared" si="161"/>
        <v>0</v>
      </c>
      <c r="BD360" s="377">
        <f t="shared" si="162"/>
        <v>0</v>
      </c>
      <c r="BE360" s="377">
        <f t="shared" si="163"/>
        <v>0</v>
      </c>
      <c r="BF360" s="377">
        <f t="shared" si="164"/>
        <v>0</v>
      </c>
      <c r="BG360" s="328"/>
    </row>
    <row r="361" spans="2:59">
      <c r="B361" s="332">
        <v>346</v>
      </c>
      <c r="C361" s="350">
        <v>125573029.17956962</v>
      </c>
      <c r="D361" s="350">
        <v>126602979.2242779</v>
      </c>
      <c r="E361" s="350">
        <v>127589772.85797611</v>
      </c>
      <c r="F361" s="350">
        <v>128578911.38442397</v>
      </c>
      <c r="G361" s="350">
        <v>129573467.369048</v>
      </c>
      <c r="H361" s="348">
        <v>637918160.01529562</v>
      </c>
      <c r="I361" s="369"/>
      <c r="J361" s="350">
        <v>163776170.68115279</v>
      </c>
      <c r="K361" s="350">
        <v>203752516.0520933</v>
      </c>
      <c r="L361" s="350">
        <v>244274818.0726895</v>
      </c>
      <c r="M361" s="350">
        <v>285404567.57028902</v>
      </c>
      <c r="N361" s="350">
        <v>327151668.90727657</v>
      </c>
      <c r="O361" s="348">
        <v>1224359741.2835011</v>
      </c>
      <c r="P361" s="369"/>
      <c r="Q361" s="350">
        <f t="shared" si="165"/>
        <v>38203141.501583174</v>
      </c>
      <c r="R361" s="350">
        <f t="shared" si="166"/>
        <v>77149536.827815399</v>
      </c>
      <c r="S361" s="350">
        <f t="shared" si="167"/>
        <v>116685045.21471339</v>
      </c>
      <c r="T361" s="350">
        <f t="shared" si="168"/>
        <v>156825656.18586504</v>
      </c>
      <c r="U361" s="350">
        <f t="shared" si="169"/>
        <v>197578201.53822857</v>
      </c>
      <c r="V361" s="350">
        <f t="shared" si="170"/>
        <v>586441581.26820552</v>
      </c>
      <c r="W361" s="365"/>
      <c r="X361" s="377">
        <f t="shared" si="148"/>
        <v>0</v>
      </c>
      <c r="Y361" s="377">
        <f t="shared" si="149"/>
        <v>0</v>
      </c>
      <c r="Z361" s="377">
        <f t="shared" si="150"/>
        <v>0</v>
      </c>
      <c r="AA361" s="377">
        <f t="shared" si="151"/>
        <v>0</v>
      </c>
      <c r="AB361" s="377">
        <f t="shared" si="152"/>
        <v>0</v>
      </c>
      <c r="AC361" s="377">
        <f t="shared" si="153"/>
        <v>0</v>
      </c>
      <c r="AD361" s="376"/>
      <c r="AE361" s="332">
        <v>346</v>
      </c>
      <c r="AF361" s="350">
        <v>129843904.35309081</v>
      </c>
      <c r="AG361" s="350">
        <v>130908884.11799181</v>
      </c>
      <c r="AH361" s="350">
        <v>131929239.6754493</v>
      </c>
      <c r="AI361" s="350">
        <v>132952019.87800694</v>
      </c>
      <c r="AJ361" s="350">
        <v>133980401.79238006</v>
      </c>
      <c r="AK361" s="348">
        <v>659614449.81691897</v>
      </c>
      <c r="AL361" s="369"/>
      <c r="AM361" s="350">
        <v>167360578.18838978</v>
      </c>
      <c r="AN361" s="350">
        <v>206709396.53049633</v>
      </c>
      <c r="AO361" s="350">
        <v>246592698.96131781</v>
      </c>
      <c r="AP361" s="350">
        <v>287073238.613855</v>
      </c>
      <c r="AQ361" s="350">
        <v>328160907.28045511</v>
      </c>
      <c r="AR361" s="348">
        <v>1235896819.5745139</v>
      </c>
      <c r="AS361" s="369"/>
      <c r="AT361" s="350">
        <f t="shared" si="171"/>
        <v>37516673.83529897</v>
      </c>
      <c r="AU361" s="350">
        <f t="shared" si="154"/>
        <v>75800512.412504524</v>
      </c>
      <c r="AV361" s="350">
        <f t="shared" si="155"/>
        <v>114663459.28586851</v>
      </c>
      <c r="AW361" s="350">
        <f t="shared" si="156"/>
        <v>154121218.73584807</v>
      </c>
      <c r="AX361" s="350">
        <f t="shared" si="157"/>
        <v>194180505.48807505</v>
      </c>
      <c r="AY361" s="350">
        <f t="shared" si="158"/>
        <v>576282369.75759494</v>
      </c>
      <c r="AZ361" s="365"/>
      <c r="BA361" s="377">
        <f t="shared" si="159"/>
        <v>0</v>
      </c>
      <c r="BB361" s="377">
        <f t="shared" si="160"/>
        <v>0</v>
      </c>
      <c r="BC361" s="377">
        <f t="shared" si="161"/>
        <v>0</v>
      </c>
      <c r="BD361" s="377">
        <f t="shared" si="162"/>
        <v>0</v>
      </c>
      <c r="BE361" s="377">
        <f t="shared" si="163"/>
        <v>0</v>
      </c>
      <c r="BF361" s="377">
        <f t="shared" si="164"/>
        <v>0</v>
      </c>
      <c r="BG361" s="328"/>
    </row>
    <row r="362" spans="2:59">
      <c r="B362" s="332">
        <v>347</v>
      </c>
      <c r="C362" s="350">
        <v>124502760.15939838</v>
      </c>
      <c r="D362" s="350">
        <v>125523931.85709715</v>
      </c>
      <c r="E362" s="350">
        <v>126502314.96934539</v>
      </c>
      <c r="F362" s="350">
        <v>127483022.98863396</v>
      </c>
      <c r="G362" s="350">
        <v>128469102.29266725</v>
      </c>
      <c r="H362" s="348">
        <v>632481132.26714218</v>
      </c>
      <c r="I362" s="369"/>
      <c r="J362" s="350">
        <v>160490995.09362841</v>
      </c>
      <c r="K362" s="350">
        <v>198214865.66772783</v>
      </c>
      <c r="L362" s="350">
        <v>236451128.61017412</v>
      </c>
      <c r="M362" s="350">
        <v>275259960.70584542</v>
      </c>
      <c r="N362" s="350">
        <v>314650846.22482681</v>
      </c>
      <c r="O362" s="348">
        <v>1185067796.3022025</v>
      </c>
      <c r="P362" s="369"/>
      <c r="Q362" s="350">
        <f t="shared" si="165"/>
        <v>35988234.93423003</v>
      </c>
      <c r="R362" s="350">
        <f t="shared" si="166"/>
        <v>72690933.810630679</v>
      </c>
      <c r="S362" s="350">
        <f t="shared" si="167"/>
        <v>109948813.64082873</v>
      </c>
      <c r="T362" s="350">
        <f t="shared" si="168"/>
        <v>147776937.71721146</v>
      </c>
      <c r="U362" s="350">
        <f t="shared" si="169"/>
        <v>186181743.93215954</v>
      </c>
      <c r="V362" s="350">
        <f t="shared" si="170"/>
        <v>552586664.03506029</v>
      </c>
      <c r="W362" s="365"/>
      <c r="X362" s="377">
        <f t="shared" si="148"/>
        <v>0</v>
      </c>
      <c r="Y362" s="377">
        <f t="shared" si="149"/>
        <v>0</v>
      </c>
      <c r="Z362" s="377">
        <f t="shared" si="150"/>
        <v>0</v>
      </c>
      <c r="AA362" s="377">
        <f t="shared" si="151"/>
        <v>0</v>
      </c>
      <c r="AB362" s="377">
        <f t="shared" si="152"/>
        <v>0</v>
      </c>
      <c r="AC362" s="377">
        <f t="shared" si="153"/>
        <v>0</v>
      </c>
      <c r="AD362" s="376"/>
      <c r="AE362" s="332">
        <v>347</v>
      </c>
      <c r="AF362" s="350">
        <v>99006884.619721055</v>
      </c>
      <c r="AG362" s="350">
        <v>99818939.134187624</v>
      </c>
      <c r="AH362" s="350">
        <v>100596967.3785754</v>
      </c>
      <c r="AI362" s="350">
        <v>101376844.43179916</v>
      </c>
      <c r="AJ362" s="350">
        <v>102160992.82943568</v>
      </c>
      <c r="AK362" s="348">
        <v>502960628.39371896</v>
      </c>
      <c r="AL362" s="369"/>
      <c r="AM362" s="350">
        <v>123044376.75433865</v>
      </c>
      <c r="AN362" s="350">
        <v>148380639.42366159</v>
      </c>
      <c r="AO362" s="350">
        <v>174053844.03552279</v>
      </c>
      <c r="AP362" s="350">
        <v>200109927.36770353</v>
      </c>
      <c r="AQ362" s="350">
        <v>226555613.44517094</v>
      </c>
      <c r="AR362" s="348">
        <v>872144401.02639747</v>
      </c>
      <c r="AS362" s="369"/>
      <c r="AT362" s="350">
        <f t="shared" si="171"/>
        <v>24037492.134617597</v>
      </c>
      <c r="AU362" s="350">
        <f t="shared" si="154"/>
        <v>48561700.289473966</v>
      </c>
      <c r="AV362" s="350">
        <f t="shared" si="155"/>
        <v>73456876.656947389</v>
      </c>
      <c r="AW362" s="350">
        <f t="shared" si="156"/>
        <v>98733082.935904369</v>
      </c>
      <c r="AX362" s="350">
        <f t="shared" si="157"/>
        <v>124394620.61573526</v>
      </c>
      <c r="AY362" s="350">
        <f t="shared" si="158"/>
        <v>369183772.63267851</v>
      </c>
      <c r="AZ362" s="365"/>
      <c r="BA362" s="377">
        <f t="shared" si="159"/>
        <v>0</v>
      </c>
      <c r="BB362" s="377">
        <f t="shared" si="160"/>
        <v>0</v>
      </c>
      <c r="BC362" s="377">
        <f t="shared" si="161"/>
        <v>0</v>
      </c>
      <c r="BD362" s="377">
        <f t="shared" si="162"/>
        <v>0</v>
      </c>
      <c r="BE362" s="377">
        <f t="shared" si="163"/>
        <v>0</v>
      </c>
      <c r="BF362" s="377">
        <f t="shared" si="164"/>
        <v>0</v>
      </c>
      <c r="BG362" s="328"/>
    </row>
    <row r="363" spans="2:59">
      <c r="B363" s="332">
        <v>348</v>
      </c>
      <c r="C363" s="350">
        <v>155957743.37075445</v>
      </c>
      <c r="D363" s="350">
        <v>157236908.85562629</v>
      </c>
      <c r="E363" s="350">
        <v>158462475.43859154</v>
      </c>
      <c r="F363" s="350">
        <v>159690954.30442575</v>
      </c>
      <c r="G363" s="350">
        <v>160926161.48252159</v>
      </c>
      <c r="H363" s="348">
        <v>792274243.45191956</v>
      </c>
      <c r="I363" s="369"/>
      <c r="J363" s="350">
        <v>186462082.83130509</v>
      </c>
      <c r="K363" s="350">
        <v>218859116.29642338</v>
      </c>
      <c r="L363" s="350">
        <v>251673256.90591648</v>
      </c>
      <c r="M363" s="350">
        <v>284973784.22990048</v>
      </c>
      <c r="N363" s="350">
        <v>318769972.39381218</v>
      </c>
      <c r="O363" s="348">
        <v>1260738212.6573577</v>
      </c>
      <c r="P363" s="369"/>
      <c r="Q363" s="350">
        <f t="shared" si="165"/>
        <v>30504339.460550636</v>
      </c>
      <c r="R363" s="350">
        <f t="shared" si="166"/>
        <v>61622207.440797091</v>
      </c>
      <c r="S363" s="350">
        <f t="shared" si="167"/>
        <v>93210781.467324942</v>
      </c>
      <c r="T363" s="350">
        <f t="shared" si="168"/>
        <v>125282829.92547473</v>
      </c>
      <c r="U363" s="350">
        <f t="shared" si="169"/>
        <v>157843810.91129059</v>
      </c>
      <c r="V363" s="350">
        <f t="shared" si="170"/>
        <v>468463969.20543814</v>
      </c>
      <c r="W363" s="365"/>
      <c r="X363" s="377">
        <f t="shared" si="148"/>
        <v>0</v>
      </c>
      <c r="Y363" s="377">
        <f t="shared" si="149"/>
        <v>0</v>
      </c>
      <c r="Z363" s="377">
        <f t="shared" si="150"/>
        <v>0</v>
      </c>
      <c r="AA363" s="377">
        <f t="shared" si="151"/>
        <v>0</v>
      </c>
      <c r="AB363" s="377">
        <f t="shared" si="152"/>
        <v>0</v>
      </c>
      <c r="AC363" s="377">
        <f t="shared" si="153"/>
        <v>0</v>
      </c>
      <c r="AD363" s="376"/>
      <c r="AE363" s="332">
        <v>348</v>
      </c>
      <c r="AF363" s="350">
        <v>104721026.81269427</v>
      </c>
      <c r="AG363" s="350">
        <v>105579948.72412953</v>
      </c>
      <c r="AH363" s="350">
        <v>106402880.55310795</v>
      </c>
      <c r="AI363" s="350">
        <v>107227767.89417461</v>
      </c>
      <c r="AJ363" s="350">
        <v>108057173.09856451</v>
      </c>
      <c r="AK363" s="348">
        <v>531988797.08267081</v>
      </c>
      <c r="AL363" s="369"/>
      <c r="AM363" s="350">
        <v>137029918.05215564</v>
      </c>
      <c r="AN363" s="350">
        <v>170829508.6705597</v>
      </c>
      <c r="AO363" s="350">
        <v>205091379.60125157</v>
      </c>
      <c r="AP363" s="350">
        <v>239866999.16353172</v>
      </c>
      <c r="AQ363" s="350">
        <v>275164707.935911</v>
      </c>
      <c r="AR363" s="348">
        <v>1027982513.4234097</v>
      </c>
      <c r="AS363" s="369"/>
      <c r="AT363" s="350">
        <f t="shared" si="171"/>
        <v>32308891.239461377</v>
      </c>
      <c r="AU363" s="350">
        <f t="shared" si="154"/>
        <v>65249559.946430176</v>
      </c>
      <c r="AV363" s="350">
        <f t="shared" si="155"/>
        <v>98688499.048143625</v>
      </c>
      <c r="AW363" s="350">
        <f t="shared" si="156"/>
        <v>132639231.26935712</v>
      </c>
      <c r="AX363" s="350">
        <f t="shared" si="157"/>
        <v>167107534.83734649</v>
      </c>
      <c r="AY363" s="350">
        <f t="shared" si="158"/>
        <v>495993716.34073889</v>
      </c>
      <c r="AZ363" s="365"/>
      <c r="BA363" s="377">
        <f t="shared" si="159"/>
        <v>0</v>
      </c>
      <c r="BB363" s="377">
        <f t="shared" si="160"/>
        <v>0</v>
      </c>
      <c r="BC363" s="377">
        <f t="shared" si="161"/>
        <v>0</v>
      </c>
      <c r="BD363" s="377">
        <f t="shared" si="162"/>
        <v>0</v>
      </c>
      <c r="BE363" s="377">
        <f t="shared" si="163"/>
        <v>0</v>
      </c>
      <c r="BF363" s="377">
        <f t="shared" si="164"/>
        <v>0</v>
      </c>
      <c r="BG363" s="328"/>
    </row>
    <row r="364" spans="2:59">
      <c r="B364" s="332">
        <v>349</v>
      </c>
      <c r="C364" s="350">
        <v>121341959.08522834</v>
      </c>
      <c r="D364" s="350">
        <v>122337205.89102218</v>
      </c>
      <c r="E364" s="350">
        <v>123290750.40219696</v>
      </c>
      <c r="F364" s="350">
        <v>124246560.79707263</v>
      </c>
      <c r="G364" s="350">
        <v>125207606.11375163</v>
      </c>
      <c r="H364" s="348">
        <v>616424082.28927171</v>
      </c>
      <c r="I364" s="369"/>
      <c r="J364" s="350">
        <v>156293795.70224112</v>
      </c>
      <c r="K364" s="350">
        <v>192941218.29501942</v>
      </c>
      <c r="L364" s="350">
        <v>230086231.86119899</v>
      </c>
      <c r="M364" s="350">
        <v>267787434.43339607</v>
      </c>
      <c r="N364" s="350">
        <v>306054048.52665997</v>
      </c>
      <c r="O364" s="348">
        <v>1153162728.8185158</v>
      </c>
      <c r="P364" s="369"/>
      <c r="Q364" s="350">
        <f t="shared" si="165"/>
        <v>34951836.617012784</v>
      </c>
      <c r="R364" s="350">
        <f t="shared" si="166"/>
        <v>70604012.403997242</v>
      </c>
      <c r="S364" s="350">
        <f t="shared" si="167"/>
        <v>106795481.45900203</v>
      </c>
      <c r="T364" s="350">
        <f t="shared" si="168"/>
        <v>143540873.63632345</v>
      </c>
      <c r="U364" s="350">
        <f t="shared" si="169"/>
        <v>180846442.41290832</v>
      </c>
      <c r="V364" s="350">
        <f t="shared" si="170"/>
        <v>536738646.52924407</v>
      </c>
      <c r="W364" s="365"/>
      <c r="X364" s="377">
        <f t="shared" si="148"/>
        <v>0</v>
      </c>
      <c r="Y364" s="377">
        <f t="shared" si="149"/>
        <v>0</v>
      </c>
      <c r="Z364" s="377">
        <f t="shared" si="150"/>
        <v>0</v>
      </c>
      <c r="AA364" s="377">
        <f t="shared" si="151"/>
        <v>0</v>
      </c>
      <c r="AB364" s="377">
        <f t="shared" si="152"/>
        <v>0</v>
      </c>
      <c r="AC364" s="377">
        <f t="shared" si="153"/>
        <v>0</v>
      </c>
      <c r="AD364" s="376"/>
      <c r="AE364" s="332">
        <v>349</v>
      </c>
      <c r="AF364" s="350">
        <v>131130374.73040569</v>
      </c>
      <c r="AG364" s="350">
        <v>132205906.12594976</v>
      </c>
      <c r="AH364" s="350">
        <v>133236371.18531682</v>
      </c>
      <c r="AI364" s="350">
        <v>134269284.91273764</v>
      </c>
      <c r="AJ364" s="350">
        <v>135307855.85274112</v>
      </c>
      <c r="AK364" s="348">
        <v>666149792.80715096</v>
      </c>
      <c r="AL364" s="369"/>
      <c r="AM364" s="350">
        <v>162704333.39119628</v>
      </c>
      <c r="AN364" s="350">
        <v>195987065.2368567</v>
      </c>
      <c r="AO364" s="350">
        <v>229711913.80487272</v>
      </c>
      <c r="AP364" s="350">
        <v>263939610.10176972</v>
      </c>
      <c r="AQ364" s="350">
        <v>298679011.87876701</v>
      </c>
      <c r="AR364" s="348">
        <v>1151021934.4134624</v>
      </c>
      <c r="AS364" s="369"/>
      <c r="AT364" s="350">
        <f t="shared" si="171"/>
        <v>31573958.660790592</v>
      </c>
      <c r="AU364" s="350">
        <f t="shared" si="154"/>
        <v>63781159.110906944</v>
      </c>
      <c r="AV364" s="350">
        <f t="shared" si="155"/>
        <v>96475542.619555905</v>
      </c>
      <c r="AW364" s="350">
        <f t="shared" si="156"/>
        <v>129670325.18903208</v>
      </c>
      <c r="AX364" s="350">
        <f t="shared" si="157"/>
        <v>163371156.02602589</v>
      </c>
      <c r="AY364" s="350">
        <f t="shared" si="158"/>
        <v>484872141.60631144</v>
      </c>
      <c r="AZ364" s="365"/>
      <c r="BA364" s="377">
        <f t="shared" si="159"/>
        <v>0</v>
      </c>
      <c r="BB364" s="377">
        <f t="shared" si="160"/>
        <v>0</v>
      </c>
      <c r="BC364" s="377">
        <f t="shared" si="161"/>
        <v>0</v>
      </c>
      <c r="BD364" s="377">
        <f t="shared" si="162"/>
        <v>0</v>
      </c>
      <c r="BE364" s="377">
        <f t="shared" si="163"/>
        <v>0</v>
      </c>
      <c r="BF364" s="377">
        <f t="shared" si="164"/>
        <v>0</v>
      </c>
      <c r="BG364" s="328"/>
    </row>
    <row r="365" spans="2:59">
      <c r="B365" s="332">
        <v>350</v>
      </c>
      <c r="C365" s="350">
        <v>134631670.15214732</v>
      </c>
      <c r="D365" s="350">
        <v>135735919.1743961</v>
      </c>
      <c r="E365" s="350">
        <v>136793898.54996976</v>
      </c>
      <c r="F365" s="350">
        <v>137854391.97517082</v>
      </c>
      <c r="G365" s="350">
        <v>138920693.6654667</v>
      </c>
      <c r="H365" s="348">
        <v>683936573.51715076</v>
      </c>
      <c r="I365" s="369"/>
      <c r="J365" s="350">
        <v>168659158.41173869</v>
      </c>
      <c r="K365" s="350">
        <v>204486270.95328942</v>
      </c>
      <c r="L365" s="350">
        <v>240792356.12497967</v>
      </c>
      <c r="M365" s="350">
        <v>277640441.32454348</v>
      </c>
      <c r="N365" s="350">
        <v>315039910.93222648</v>
      </c>
      <c r="O365" s="348">
        <v>1206618137.7467778</v>
      </c>
      <c r="P365" s="369"/>
      <c r="Q365" s="350">
        <f t="shared" si="165"/>
        <v>34027488.259591371</v>
      </c>
      <c r="R365" s="350">
        <f t="shared" si="166"/>
        <v>68750351.778893322</v>
      </c>
      <c r="S365" s="350">
        <f t="shared" si="167"/>
        <v>103998457.57500991</v>
      </c>
      <c r="T365" s="350">
        <f t="shared" si="168"/>
        <v>139786049.34937266</v>
      </c>
      <c r="U365" s="350">
        <f t="shared" si="169"/>
        <v>176119217.26675978</v>
      </c>
      <c r="V365" s="350">
        <f t="shared" si="170"/>
        <v>522681564.22962701</v>
      </c>
      <c r="W365" s="365"/>
      <c r="X365" s="377">
        <f t="shared" si="148"/>
        <v>0</v>
      </c>
      <c r="Y365" s="377">
        <f t="shared" si="149"/>
        <v>0</v>
      </c>
      <c r="Z365" s="377">
        <f t="shared" si="150"/>
        <v>0</v>
      </c>
      <c r="AA365" s="377">
        <f t="shared" si="151"/>
        <v>0</v>
      </c>
      <c r="AB365" s="377">
        <f t="shared" si="152"/>
        <v>0</v>
      </c>
      <c r="AC365" s="377">
        <f t="shared" si="153"/>
        <v>0</v>
      </c>
      <c r="AD365" s="376"/>
      <c r="AE365" s="332">
        <v>350</v>
      </c>
      <c r="AF365" s="350">
        <v>156227016.76946774</v>
      </c>
      <c r="AG365" s="350">
        <v>157508390.83488318</v>
      </c>
      <c r="AH365" s="350">
        <v>158736073.45564184</v>
      </c>
      <c r="AI365" s="350">
        <v>159966673.38755649</v>
      </c>
      <c r="AJ365" s="350">
        <v>161204013.24869692</v>
      </c>
      <c r="AK365" s="348">
        <v>793642167.69624627</v>
      </c>
      <c r="AL365" s="369"/>
      <c r="AM365" s="350">
        <v>196445261.24587315</v>
      </c>
      <c r="AN365" s="350">
        <v>238790537.67917207</v>
      </c>
      <c r="AO365" s="350">
        <v>281703294.90955269</v>
      </c>
      <c r="AP365" s="350">
        <v>325256978.12827784</v>
      </c>
      <c r="AQ365" s="350">
        <v>369462611.75442427</v>
      </c>
      <c r="AR365" s="348">
        <v>1411658683.7173002</v>
      </c>
      <c r="AS365" s="369"/>
      <c r="AT365" s="350">
        <f t="shared" si="171"/>
        <v>40218244.476405412</v>
      </c>
      <c r="AU365" s="350">
        <f t="shared" si="154"/>
        <v>81282146.844288886</v>
      </c>
      <c r="AV365" s="350">
        <f t="shared" si="155"/>
        <v>122967221.45391086</v>
      </c>
      <c r="AW365" s="350">
        <f t="shared" si="156"/>
        <v>165290304.74072134</v>
      </c>
      <c r="AX365" s="350">
        <f t="shared" si="157"/>
        <v>208258598.50572735</v>
      </c>
      <c r="AY365" s="350">
        <f t="shared" si="158"/>
        <v>618016516.02105391</v>
      </c>
      <c r="AZ365" s="365"/>
      <c r="BA365" s="377">
        <f t="shared" si="159"/>
        <v>0</v>
      </c>
      <c r="BB365" s="377">
        <f t="shared" si="160"/>
        <v>0</v>
      </c>
      <c r="BC365" s="377">
        <f t="shared" si="161"/>
        <v>0</v>
      </c>
      <c r="BD365" s="377">
        <f t="shared" si="162"/>
        <v>0</v>
      </c>
      <c r="BE365" s="377">
        <f t="shared" si="163"/>
        <v>0</v>
      </c>
      <c r="BF365" s="377">
        <f t="shared" si="164"/>
        <v>0</v>
      </c>
      <c r="BG365" s="328"/>
    </row>
    <row r="366" spans="2:59">
      <c r="B366" s="332">
        <v>351</v>
      </c>
      <c r="C366" s="350">
        <v>141048281.64289975</v>
      </c>
      <c r="D366" s="350">
        <v>142205159.71562982</v>
      </c>
      <c r="E366" s="350">
        <v>143313562.90761021</v>
      </c>
      <c r="F366" s="350">
        <v>144424599.97005743</v>
      </c>
      <c r="G366" s="350">
        <v>145541722.12236512</v>
      </c>
      <c r="H366" s="348">
        <v>716533326.35856235</v>
      </c>
      <c r="I366" s="369"/>
      <c r="J366" s="350">
        <v>174729877.04276228</v>
      </c>
      <c r="K366" s="350">
        <v>210226111.50066513</v>
      </c>
      <c r="L366" s="350">
        <v>246193298.04303348</v>
      </c>
      <c r="M366" s="350">
        <v>282696642.63658094</v>
      </c>
      <c r="N366" s="350">
        <v>319745620.09577757</v>
      </c>
      <c r="O366" s="348">
        <v>1233591549.3188193</v>
      </c>
      <c r="P366" s="369"/>
      <c r="Q366" s="350">
        <f t="shared" si="165"/>
        <v>33681595.399862528</v>
      </c>
      <c r="R366" s="350">
        <f t="shared" si="166"/>
        <v>68020951.785035312</v>
      </c>
      <c r="S366" s="350">
        <f t="shared" si="167"/>
        <v>102879735.13542327</v>
      </c>
      <c r="T366" s="350">
        <f t="shared" si="168"/>
        <v>138272042.66652352</v>
      </c>
      <c r="U366" s="350">
        <f t="shared" si="169"/>
        <v>174203897.97341245</v>
      </c>
      <c r="V366" s="350">
        <f t="shared" si="170"/>
        <v>517058222.96025693</v>
      </c>
      <c r="W366" s="365"/>
      <c r="X366" s="377">
        <f t="shared" si="148"/>
        <v>0</v>
      </c>
      <c r="Y366" s="377">
        <f t="shared" si="149"/>
        <v>0</v>
      </c>
      <c r="Z366" s="377">
        <f t="shared" si="150"/>
        <v>0</v>
      </c>
      <c r="AA366" s="377">
        <f t="shared" si="151"/>
        <v>0</v>
      </c>
      <c r="AB366" s="377">
        <f t="shared" si="152"/>
        <v>0</v>
      </c>
      <c r="AC366" s="377">
        <f t="shared" si="153"/>
        <v>0</v>
      </c>
      <c r="AD366" s="376"/>
      <c r="AE366" s="332">
        <v>351</v>
      </c>
      <c r="AF366" s="350">
        <v>120599411.44705802</v>
      </c>
      <c r="AG366" s="350">
        <v>121588567.87677251</v>
      </c>
      <c r="AH366" s="350">
        <v>122536277.20751998</v>
      </c>
      <c r="AI366" s="350">
        <v>123486238.55597675</v>
      </c>
      <c r="AJ366" s="350">
        <v>124441402.79132611</v>
      </c>
      <c r="AK366" s="348">
        <v>612651897.87865329</v>
      </c>
      <c r="AL366" s="369"/>
      <c r="AM366" s="350">
        <v>153367728.48513627</v>
      </c>
      <c r="AN366" s="350">
        <v>187780198.96556774</v>
      </c>
      <c r="AO366" s="350">
        <v>222656799.96335429</v>
      </c>
      <c r="AP366" s="350">
        <v>258054946.40130705</v>
      </c>
      <c r="AQ366" s="350">
        <v>293983451.71407211</v>
      </c>
      <c r="AR366" s="348">
        <v>1115843125.5294375</v>
      </c>
      <c r="AS366" s="369"/>
      <c r="AT366" s="350">
        <f t="shared" si="171"/>
        <v>32768317.038078249</v>
      </c>
      <c r="AU366" s="350">
        <f t="shared" si="154"/>
        <v>66191631.08879523</v>
      </c>
      <c r="AV366" s="350">
        <f t="shared" si="155"/>
        <v>100120522.75583431</v>
      </c>
      <c r="AW366" s="350">
        <f t="shared" si="156"/>
        <v>134568707.8453303</v>
      </c>
      <c r="AX366" s="350">
        <f t="shared" si="157"/>
        <v>169542048.922746</v>
      </c>
      <c r="AY366" s="350">
        <f t="shared" si="158"/>
        <v>503191227.65078425</v>
      </c>
      <c r="AZ366" s="365"/>
      <c r="BA366" s="377">
        <f t="shared" si="159"/>
        <v>0</v>
      </c>
      <c r="BB366" s="377">
        <f t="shared" si="160"/>
        <v>0</v>
      </c>
      <c r="BC366" s="377">
        <f t="shared" si="161"/>
        <v>0</v>
      </c>
      <c r="BD366" s="377">
        <f t="shared" si="162"/>
        <v>0</v>
      </c>
      <c r="BE366" s="377">
        <f t="shared" si="163"/>
        <v>0</v>
      </c>
      <c r="BF366" s="377">
        <f t="shared" si="164"/>
        <v>0</v>
      </c>
      <c r="BG366" s="328"/>
    </row>
    <row r="367" spans="2:59">
      <c r="B367" s="332">
        <v>352</v>
      </c>
      <c r="C367" s="350">
        <v>114041304.68824366</v>
      </c>
      <c r="D367" s="350">
        <v>114976671.52322134</v>
      </c>
      <c r="E367" s="350">
        <v>115872845.1218057</v>
      </c>
      <c r="F367" s="350">
        <v>116771148.27504262</v>
      </c>
      <c r="G367" s="350">
        <v>117674371.38603279</v>
      </c>
      <c r="H367" s="348">
        <v>579336340.99434614</v>
      </c>
      <c r="I367" s="369"/>
      <c r="J367" s="350">
        <v>143412480.05612868</v>
      </c>
      <c r="K367" s="350">
        <v>174298332.00806504</v>
      </c>
      <c r="L367" s="350">
        <v>205598033.01008391</v>
      </c>
      <c r="M367" s="350">
        <v>237365199.28826818</v>
      </c>
      <c r="N367" s="350">
        <v>269607874.84206057</v>
      </c>
      <c r="O367" s="348">
        <v>1030281919.2046064</v>
      </c>
      <c r="P367" s="369"/>
      <c r="Q367" s="350">
        <f t="shared" si="165"/>
        <v>29371175.367885023</v>
      </c>
      <c r="R367" s="350">
        <f t="shared" si="166"/>
        <v>59321660.484843701</v>
      </c>
      <c r="S367" s="350">
        <f t="shared" si="167"/>
        <v>89725187.888278216</v>
      </c>
      <c r="T367" s="350">
        <f t="shared" si="168"/>
        <v>120594051.01322556</v>
      </c>
      <c r="U367" s="350">
        <f t="shared" si="169"/>
        <v>151933503.45602778</v>
      </c>
      <c r="V367" s="350">
        <f t="shared" si="170"/>
        <v>450945578.21026027</v>
      </c>
      <c r="W367" s="365"/>
      <c r="X367" s="377">
        <f t="shared" si="148"/>
        <v>0</v>
      </c>
      <c r="Y367" s="377">
        <f t="shared" si="149"/>
        <v>0</v>
      </c>
      <c r="Z367" s="377">
        <f t="shared" si="150"/>
        <v>0</v>
      </c>
      <c r="AA367" s="377">
        <f t="shared" si="151"/>
        <v>0</v>
      </c>
      <c r="AB367" s="377">
        <f t="shared" si="152"/>
        <v>0</v>
      </c>
      <c r="AC367" s="377">
        <f t="shared" si="153"/>
        <v>0</v>
      </c>
      <c r="AD367" s="376"/>
      <c r="AE367" s="332">
        <v>352</v>
      </c>
      <c r="AF367" s="350">
        <v>135360526.08248711</v>
      </c>
      <c r="AG367" s="350">
        <v>136470753.18142122</v>
      </c>
      <c r="AH367" s="350">
        <v>137534460.14353663</v>
      </c>
      <c r="AI367" s="350">
        <v>138600694.76559851</v>
      </c>
      <c r="AJ367" s="350">
        <v>139672769.09697974</v>
      </c>
      <c r="AK367" s="348">
        <v>687639203.27002323</v>
      </c>
      <c r="AL367" s="369"/>
      <c r="AM367" s="350">
        <v>174730230.23456961</v>
      </c>
      <c r="AN367" s="350">
        <v>215971817.58707324</v>
      </c>
      <c r="AO367" s="350">
        <v>257773919.95774424</v>
      </c>
      <c r="AP367" s="350">
        <v>300202062.68090844</v>
      </c>
      <c r="AQ367" s="350">
        <v>343266597.56175524</v>
      </c>
      <c r="AR367" s="348">
        <v>1291944628.0220509</v>
      </c>
      <c r="AS367" s="369"/>
      <c r="AT367" s="350">
        <f t="shared" si="171"/>
        <v>39369704.152082503</v>
      </c>
      <c r="AU367" s="350">
        <f t="shared" si="154"/>
        <v>79501064.405652016</v>
      </c>
      <c r="AV367" s="350">
        <f t="shared" si="155"/>
        <v>120239459.81420761</v>
      </c>
      <c r="AW367" s="350">
        <f t="shared" si="156"/>
        <v>161601367.91530994</v>
      </c>
      <c r="AX367" s="350">
        <f t="shared" si="157"/>
        <v>203593828.4647755</v>
      </c>
      <c r="AY367" s="350">
        <f t="shared" si="158"/>
        <v>604305424.75202763</v>
      </c>
      <c r="AZ367" s="365"/>
      <c r="BA367" s="377">
        <f t="shared" si="159"/>
        <v>0</v>
      </c>
      <c r="BB367" s="377">
        <f t="shared" si="160"/>
        <v>0</v>
      </c>
      <c r="BC367" s="377">
        <f t="shared" si="161"/>
        <v>0</v>
      </c>
      <c r="BD367" s="377">
        <f t="shared" si="162"/>
        <v>0</v>
      </c>
      <c r="BE367" s="377">
        <f t="shared" si="163"/>
        <v>0</v>
      </c>
      <c r="BF367" s="377">
        <f t="shared" si="164"/>
        <v>0</v>
      </c>
      <c r="BG367" s="328"/>
    </row>
    <row r="368" spans="2:59">
      <c r="B368" s="332">
        <v>353</v>
      </c>
      <c r="C368" s="350">
        <v>157782682.5784964</v>
      </c>
      <c r="D368" s="350">
        <v>159076816.21561307</v>
      </c>
      <c r="E368" s="350">
        <v>160316723.76338458</v>
      </c>
      <c r="F368" s="350">
        <v>161559577.67209703</v>
      </c>
      <c r="G368" s="350">
        <v>162809238.62440294</v>
      </c>
      <c r="H368" s="348">
        <v>801545038.85399413</v>
      </c>
      <c r="I368" s="369"/>
      <c r="J368" s="350">
        <v>195601344.41829577</v>
      </c>
      <c r="K368" s="350">
        <v>235484503.34935778</v>
      </c>
      <c r="L368" s="350">
        <v>275897159.58096498</v>
      </c>
      <c r="M368" s="350">
        <v>316912316.08904541</v>
      </c>
      <c r="N368" s="350">
        <v>358540601.87728298</v>
      </c>
      <c r="O368" s="348">
        <v>1382435925.3149469</v>
      </c>
      <c r="P368" s="369"/>
      <c r="Q368" s="350">
        <f t="shared" si="165"/>
        <v>37818661.839799374</v>
      </c>
      <c r="R368" s="350">
        <f t="shared" si="166"/>
        <v>76407687.133744717</v>
      </c>
      <c r="S368" s="350">
        <f t="shared" si="167"/>
        <v>115580435.8175804</v>
      </c>
      <c r="T368" s="350">
        <f t="shared" si="168"/>
        <v>155352738.41694838</v>
      </c>
      <c r="U368" s="350">
        <f t="shared" si="169"/>
        <v>195731363.25288004</v>
      </c>
      <c r="V368" s="350">
        <f t="shared" si="170"/>
        <v>580890886.46095276</v>
      </c>
      <c r="W368" s="365"/>
      <c r="X368" s="377">
        <f t="shared" si="148"/>
        <v>0</v>
      </c>
      <c r="Y368" s="377">
        <f t="shared" si="149"/>
        <v>0</v>
      </c>
      <c r="Z368" s="377">
        <f t="shared" si="150"/>
        <v>0</v>
      </c>
      <c r="AA368" s="377">
        <f t="shared" si="151"/>
        <v>0</v>
      </c>
      <c r="AB368" s="377">
        <f t="shared" si="152"/>
        <v>0</v>
      </c>
      <c r="AC368" s="377">
        <f t="shared" si="153"/>
        <v>0</v>
      </c>
      <c r="AD368" s="376"/>
      <c r="AE368" s="332">
        <v>353</v>
      </c>
      <c r="AF368" s="350">
        <v>118382081.10395513</v>
      </c>
      <c r="AG368" s="350">
        <v>119353050.98914698</v>
      </c>
      <c r="AH368" s="350">
        <v>120283335.818147</v>
      </c>
      <c r="AI368" s="350">
        <v>121215831.25945351</v>
      </c>
      <c r="AJ368" s="350">
        <v>122153433.92782447</v>
      </c>
      <c r="AK368" s="348">
        <v>601387733.09852707</v>
      </c>
      <c r="AL368" s="369"/>
      <c r="AM368" s="350">
        <v>150088857.6197769</v>
      </c>
      <c r="AN368" s="350">
        <v>183406160.52719218</v>
      </c>
      <c r="AO368" s="350">
        <v>217172067.71713349</v>
      </c>
      <c r="AP368" s="350">
        <v>251442746.65720797</v>
      </c>
      <c r="AQ368" s="350">
        <v>286226767.48989713</v>
      </c>
      <c r="AR368" s="348">
        <v>1088336600.0112076</v>
      </c>
      <c r="AS368" s="369"/>
      <c r="AT368" s="350">
        <f t="shared" si="171"/>
        <v>31706776.51582177</v>
      </c>
      <c r="AU368" s="350">
        <f t="shared" si="154"/>
        <v>64053109.538045198</v>
      </c>
      <c r="AV368" s="350">
        <f t="shared" si="155"/>
        <v>96888731.898986489</v>
      </c>
      <c r="AW368" s="350">
        <f t="shared" si="156"/>
        <v>130226915.39775446</v>
      </c>
      <c r="AX368" s="350">
        <f t="shared" si="157"/>
        <v>164073333.56207266</v>
      </c>
      <c r="AY368" s="350">
        <f t="shared" si="158"/>
        <v>486948866.91268051</v>
      </c>
      <c r="AZ368" s="365"/>
      <c r="BA368" s="377">
        <f t="shared" si="159"/>
        <v>0</v>
      </c>
      <c r="BB368" s="377">
        <f t="shared" si="160"/>
        <v>0</v>
      </c>
      <c r="BC368" s="377">
        <f t="shared" si="161"/>
        <v>0</v>
      </c>
      <c r="BD368" s="377">
        <f t="shared" si="162"/>
        <v>0</v>
      </c>
      <c r="BE368" s="377">
        <f t="shared" si="163"/>
        <v>0</v>
      </c>
      <c r="BF368" s="377">
        <f t="shared" si="164"/>
        <v>0</v>
      </c>
      <c r="BG368" s="328"/>
    </row>
    <row r="369" spans="2:59">
      <c r="B369" s="332">
        <v>354</v>
      </c>
      <c r="C369" s="350">
        <v>132118576.97668254</v>
      </c>
      <c r="D369" s="350">
        <v>133202213.60751784</v>
      </c>
      <c r="E369" s="350">
        <v>134240444.28098053</v>
      </c>
      <c r="F369" s="350">
        <v>135281142.07572934</v>
      </c>
      <c r="G369" s="350">
        <v>136327539.71597639</v>
      </c>
      <c r="H369" s="348">
        <v>671169916.65688658</v>
      </c>
      <c r="I369" s="369"/>
      <c r="J369" s="350">
        <v>162614394.64651826</v>
      </c>
      <c r="K369" s="350">
        <v>194808966.84480903</v>
      </c>
      <c r="L369" s="350">
        <v>227428735.08240387</v>
      </c>
      <c r="M369" s="350">
        <v>260534337.35412213</v>
      </c>
      <c r="N369" s="350">
        <v>294134463.22419679</v>
      </c>
      <c r="O369" s="348">
        <v>1139520897.15205</v>
      </c>
      <c r="P369" s="369"/>
      <c r="Q369" s="350">
        <f t="shared" si="165"/>
        <v>30495817.669835716</v>
      </c>
      <c r="R369" s="350">
        <f t="shared" si="166"/>
        <v>61606753.237291187</v>
      </c>
      <c r="S369" s="350">
        <f t="shared" si="167"/>
        <v>93188290.801423341</v>
      </c>
      <c r="T369" s="350">
        <f t="shared" si="168"/>
        <v>125253195.27839279</v>
      </c>
      <c r="U369" s="350">
        <f t="shared" si="169"/>
        <v>157806923.5082204</v>
      </c>
      <c r="V369" s="350">
        <f t="shared" si="170"/>
        <v>468350980.49516344</v>
      </c>
      <c r="W369" s="365"/>
      <c r="X369" s="377">
        <f t="shared" si="148"/>
        <v>0</v>
      </c>
      <c r="Y369" s="377">
        <f t="shared" si="149"/>
        <v>0</v>
      </c>
      <c r="Z369" s="377">
        <f t="shared" si="150"/>
        <v>0</v>
      </c>
      <c r="AA369" s="377">
        <f t="shared" si="151"/>
        <v>0</v>
      </c>
      <c r="AB369" s="377">
        <f t="shared" si="152"/>
        <v>0</v>
      </c>
      <c r="AC369" s="377">
        <f t="shared" si="153"/>
        <v>0</v>
      </c>
      <c r="AD369" s="376"/>
      <c r="AE369" s="332">
        <v>354</v>
      </c>
      <c r="AF369" s="350">
        <v>124323347.41562529</v>
      </c>
      <c r="AG369" s="350">
        <v>125343047.56991482</v>
      </c>
      <c r="AH369" s="350">
        <v>126320020.79857168</v>
      </c>
      <c r="AI369" s="350">
        <v>127299315.58399814</v>
      </c>
      <c r="AJ369" s="350">
        <v>128283973.91396394</v>
      </c>
      <c r="AK369" s="348">
        <v>631569705.28207386</v>
      </c>
      <c r="AL369" s="369"/>
      <c r="AM369" s="350">
        <v>158130860.82823625</v>
      </c>
      <c r="AN369" s="350">
        <v>193614769.55802494</v>
      </c>
      <c r="AO369" s="350">
        <v>229577265.24722517</v>
      </c>
      <c r="AP369" s="350">
        <v>266077546.10005403</v>
      </c>
      <c r="AQ369" s="350">
        <v>303124699.68041456</v>
      </c>
      <c r="AR369" s="348">
        <v>1150525141.413955</v>
      </c>
      <c r="AS369" s="369"/>
      <c r="AT369" s="350">
        <f t="shared" si="171"/>
        <v>33807513.412610963</v>
      </c>
      <c r="AU369" s="350">
        <f t="shared" si="154"/>
        <v>68271721.988110125</v>
      </c>
      <c r="AV369" s="350">
        <f t="shared" si="155"/>
        <v>103257244.44865349</v>
      </c>
      <c r="AW369" s="350">
        <f t="shared" si="156"/>
        <v>138778230.51605588</v>
      </c>
      <c r="AX369" s="350">
        <f t="shared" si="157"/>
        <v>174840725.76645061</v>
      </c>
      <c r="AY369" s="350">
        <f t="shared" si="158"/>
        <v>518955436.13188112</v>
      </c>
      <c r="AZ369" s="365"/>
      <c r="BA369" s="377">
        <f t="shared" si="159"/>
        <v>0</v>
      </c>
      <c r="BB369" s="377">
        <f t="shared" si="160"/>
        <v>0</v>
      </c>
      <c r="BC369" s="377">
        <f t="shared" si="161"/>
        <v>0</v>
      </c>
      <c r="BD369" s="377">
        <f t="shared" si="162"/>
        <v>0</v>
      </c>
      <c r="BE369" s="377">
        <f t="shared" si="163"/>
        <v>0</v>
      </c>
      <c r="BF369" s="377">
        <f t="shared" si="164"/>
        <v>0</v>
      </c>
      <c r="BG369" s="328"/>
    </row>
    <row r="370" spans="2:59">
      <c r="B370" s="332">
        <v>355</v>
      </c>
      <c r="C370" s="350">
        <v>128926941.18407997</v>
      </c>
      <c r="D370" s="350">
        <v>129984400.01663518</v>
      </c>
      <c r="E370" s="350">
        <v>130997549.77979569</v>
      </c>
      <c r="F370" s="350">
        <v>132013107.06510964</v>
      </c>
      <c r="G370" s="350">
        <v>133034226.50271222</v>
      </c>
      <c r="H370" s="348">
        <v>654956224.54833269</v>
      </c>
      <c r="I370" s="369"/>
      <c r="J370" s="350">
        <v>162524077.4045856</v>
      </c>
      <c r="K370" s="350">
        <v>197839289.23879007</v>
      </c>
      <c r="L370" s="350">
        <v>233628386.69626337</v>
      </c>
      <c r="M370" s="350">
        <v>269952148.48453331</v>
      </c>
      <c r="N370" s="350">
        <v>306819738.41186571</v>
      </c>
      <c r="O370" s="348">
        <v>1170763640.236038</v>
      </c>
      <c r="P370" s="369"/>
      <c r="Q370" s="350">
        <f t="shared" si="165"/>
        <v>33597136.220505625</v>
      </c>
      <c r="R370" s="350">
        <f t="shared" si="166"/>
        <v>67854889.222154886</v>
      </c>
      <c r="S370" s="350">
        <f t="shared" si="167"/>
        <v>102630836.91646768</v>
      </c>
      <c r="T370" s="350">
        <f t="shared" si="168"/>
        <v>137939041.41942367</v>
      </c>
      <c r="U370" s="350">
        <f t="shared" si="169"/>
        <v>173785511.90915349</v>
      </c>
      <c r="V370" s="350">
        <f t="shared" si="170"/>
        <v>515807415.68770528</v>
      </c>
      <c r="W370" s="365"/>
      <c r="X370" s="377">
        <f t="shared" si="148"/>
        <v>0</v>
      </c>
      <c r="Y370" s="377">
        <f t="shared" si="149"/>
        <v>0</v>
      </c>
      <c r="Z370" s="377">
        <f t="shared" si="150"/>
        <v>0</v>
      </c>
      <c r="AA370" s="377">
        <f t="shared" si="151"/>
        <v>0</v>
      </c>
      <c r="AB370" s="377">
        <f t="shared" si="152"/>
        <v>0</v>
      </c>
      <c r="AC370" s="377">
        <f t="shared" si="153"/>
        <v>0</v>
      </c>
      <c r="AD370" s="376"/>
      <c r="AE370" s="332">
        <v>355</v>
      </c>
      <c r="AF370" s="350">
        <v>125480468.98662716</v>
      </c>
      <c r="AG370" s="350">
        <v>126509659.8525892</v>
      </c>
      <c r="AH370" s="350">
        <v>127495726.11823931</v>
      </c>
      <c r="AI370" s="350">
        <v>128484135.54821277</v>
      </c>
      <c r="AJ370" s="350">
        <v>129477958.44314049</v>
      </c>
      <c r="AK370" s="348">
        <v>637447948.94880891</v>
      </c>
      <c r="AL370" s="369"/>
      <c r="AM370" s="350">
        <v>155311584.45453534</v>
      </c>
      <c r="AN370" s="350">
        <v>186782826.17756414</v>
      </c>
      <c r="AO370" s="350">
        <v>218671431.62400955</v>
      </c>
      <c r="AP370" s="350">
        <v>251035355.75670618</v>
      </c>
      <c r="AQ370" s="350">
        <v>283883008.18438196</v>
      </c>
      <c r="AR370" s="348">
        <v>1095684206.1971972</v>
      </c>
      <c r="AS370" s="369"/>
      <c r="AT370" s="350">
        <f t="shared" si="171"/>
        <v>29831115.467908174</v>
      </c>
      <c r="AU370" s="350">
        <f t="shared" si="154"/>
        <v>60273166.324974939</v>
      </c>
      <c r="AV370" s="350">
        <f t="shared" si="155"/>
        <v>91175705.505770236</v>
      </c>
      <c r="AW370" s="350">
        <f t="shared" si="156"/>
        <v>122551220.20849341</v>
      </c>
      <c r="AX370" s="350">
        <f t="shared" si="157"/>
        <v>154405049.74124146</v>
      </c>
      <c r="AY370" s="350">
        <f t="shared" si="158"/>
        <v>458236257.24838829</v>
      </c>
      <c r="AZ370" s="365"/>
      <c r="BA370" s="377">
        <f t="shared" si="159"/>
        <v>0</v>
      </c>
      <c r="BB370" s="377">
        <f t="shared" si="160"/>
        <v>0</v>
      </c>
      <c r="BC370" s="377">
        <f t="shared" si="161"/>
        <v>0</v>
      </c>
      <c r="BD370" s="377">
        <f t="shared" si="162"/>
        <v>0</v>
      </c>
      <c r="BE370" s="377">
        <f t="shared" si="163"/>
        <v>0</v>
      </c>
      <c r="BF370" s="377">
        <f t="shared" si="164"/>
        <v>0</v>
      </c>
      <c r="BG370" s="328"/>
    </row>
    <row r="371" spans="2:59">
      <c r="B371" s="332">
        <v>356</v>
      </c>
      <c r="C371" s="350">
        <v>139520657.90636382</v>
      </c>
      <c r="D371" s="350">
        <v>140665006.40848446</v>
      </c>
      <c r="E371" s="350">
        <v>141761405.03716213</v>
      </c>
      <c r="F371" s="350">
        <v>142860409.0101665</v>
      </c>
      <c r="G371" s="350">
        <v>143965432.16845179</v>
      </c>
      <c r="H371" s="348">
        <v>708772910.53062868</v>
      </c>
      <c r="I371" s="369"/>
      <c r="J371" s="350">
        <v>171945436.50848013</v>
      </c>
      <c r="K371" s="350">
        <v>206170733.95359284</v>
      </c>
      <c r="L371" s="350">
        <v>240848484.07420519</v>
      </c>
      <c r="M371" s="350">
        <v>276042814.54638952</v>
      </c>
      <c r="N371" s="350">
        <v>311762941.54152608</v>
      </c>
      <c r="O371" s="348">
        <v>1206770410.6241937</v>
      </c>
      <c r="P371" s="369"/>
      <c r="Q371" s="350">
        <f t="shared" si="165"/>
        <v>32424778.602116317</v>
      </c>
      <c r="R371" s="350">
        <f t="shared" si="166"/>
        <v>65505727.545108378</v>
      </c>
      <c r="S371" s="350">
        <f t="shared" si="167"/>
        <v>99087079.037043065</v>
      </c>
      <c r="T371" s="350">
        <f t="shared" si="168"/>
        <v>133182405.53622302</v>
      </c>
      <c r="U371" s="350">
        <f t="shared" si="169"/>
        <v>167797509.37307429</v>
      </c>
      <c r="V371" s="350">
        <f t="shared" si="170"/>
        <v>497997500.09356499</v>
      </c>
      <c r="W371" s="365"/>
      <c r="X371" s="377">
        <f t="shared" si="148"/>
        <v>0</v>
      </c>
      <c r="Y371" s="377">
        <f t="shared" si="149"/>
        <v>0</v>
      </c>
      <c r="Z371" s="377">
        <f t="shared" si="150"/>
        <v>0</v>
      </c>
      <c r="AA371" s="377">
        <f t="shared" si="151"/>
        <v>0</v>
      </c>
      <c r="AB371" s="377">
        <f t="shared" si="152"/>
        <v>0</v>
      </c>
      <c r="AC371" s="377">
        <f t="shared" si="153"/>
        <v>0</v>
      </c>
      <c r="AD371" s="376"/>
      <c r="AE371" s="332">
        <v>356</v>
      </c>
      <c r="AF371" s="350">
        <v>118522968.19290322</v>
      </c>
      <c r="AG371" s="350">
        <v>119495093.63406527</v>
      </c>
      <c r="AH371" s="350">
        <v>120426485.59955275</v>
      </c>
      <c r="AI371" s="350">
        <v>121360090.80820712</v>
      </c>
      <c r="AJ371" s="350">
        <v>122298809.3220616</v>
      </c>
      <c r="AK371" s="348">
        <v>602103447.55678988</v>
      </c>
      <c r="AL371" s="369"/>
      <c r="AM371" s="350">
        <v>148540015.72922426</v>
      </c>
      <c r="AN371" s="350">
        <v>180125682.47994706</v>
      </c>
      <c r="AO371" s="350">
        <v>212133689.73390001</v>
      </c>
      <c r="AP371" s="350">
        <v>244619548.22459346</v>
      </c>
      <c r="AQ371" s="350">
        <v>277591527.81548423</v>
      </c>
      <c r="AR371" s="348">
        <v>1063010463.9831491</v>
      </c>
      <c r="AS371" s="369"/>
      <c r="AT371" s="350">
        <f t="shared" si="171"/>
        <v>30017047.536321044</v>
      </c>
      <c r="AU371" s="350">
        <f t="shared" si="154"/>
        <v>60630588.84588179</v>
      </c>
      <c r="AV371" s="350">
        <f t="shared" si="155"/>
        <v>91707204.13434726</v>
      </c>
      <c r="AW371" s="350">
        <f t="shared" si="156"/>
        <v>123259457.41638634</v>
      </c>
      <c r="AX371" s="350">
        <f t="shared" si="157"/>
        <v>155292718.49342263</v>
      </c>
      <c r="AY371" s="350">
        <f t="shared" si="158"/>
        <v>460907016.42635918</v>
      </c>
      <c r="AZ371" s="365"/>
      <c r="BA371" s="377">
        <f t="shared" si="159"/>
        <v>0</v>
      </c>
      <c r="BB371" s="377">
        <f t="shared" si="160"/>
        <v>0</v>
      </c>
      <c r="BC371" s="377">
        <f t="shared" si="161"/>
        <v>0</v>
      </c>
      <c r="BD371" s="377">
        <f t="shared" si="162"/>
        <v>0</v>
      </c>
      <c r="BE371" s="377">
        <f t="shared" si="163"/>
        <v>0</v>
      </c>
      <c r="BF371" s="377">
        <f t="shared" si="164"/>
        <v>0</v>
      </c>
      <c r="BG371" s="328"/>
    </row>
    <row r="372" spans="2:59">
      <c r="B372" s="332">
        <v>357</v>
      </c>
      <c r="C372" s="350">
        <v>119966634.95588863</v>
      </c>
      <c r="D372" s="350">
        <v>120950601.35252333</v>
      </c>
      <c r="E372" s="350">
        <v>121893338.12015657</v>
      </c>
      <c r="F372" s="350">
        <v>122838315.08932313</v>
      </c>
      <c r="G372" s="350">
        <v>123788467.6462068</v>
      </c>
      <c r="H372" s="348">
        <v>609437357.1640985</v>
      </c>
      <c r="I372" s="369"/>
      <c r="J372" s="350">
        <v>150964163.42469925</v>
      </c>
      <c r="K372" s="350">
        <v>183559310.10843912</v>
      </c>
      <c r="L372" s="350">
        <v>216591390.7955479</v>
      </c>
      <c r="M372" s="350">
        <v>250116849.59467822</v>
      </c>
      <c r="N372" s="350">
        <v>284144166.73833179</v>
      </c>
      <c r="O372" s="348">
        <v>1085375880.6616962</v>
      </c>
      <c r="P372" s="369"/>
      <c r="Q372" s="350">
        <f t="shared" si="165"/>
        <v>30997528.468810618</v>
      </c>
      <c r="R372" s="350">
        <f t="shared" si="166"/>
        <v>62608708.755915791</v>
      </c>
      <c r="S372" s="350">
        <f t="shared" si="167"/>
        <v>94698052.675391331</v>
      </c>
      <c r="T372" s="350">
        <f t="shared" si="168"/>
        <v>127278534.50535509</v>
      </c>
      <c r="U372" s="350">
        <f t="shared" si="169"/>
        <v>160355699.092125</v>
      </c>
      <c r="V372" s="350">
        <f t="shared" si="170"/>
        <v>475938523.49759769</v>
      </c>
      <c r="W372" s="365"/>
      <c r="X372" s="377">
        <f t="shared" si="148"/>
        <v>0</v>
      </c>
      <c r="Y372" s="377">
        <f t="shared" si="149"/>
        <v>0</v>
      </c>
      <c r="Z372" s="377">
        <f t="shared" si="150"/>
        <v>0</v>
      </c>
      <c r="AA372" s="377">
        <f t="shared" si="151"/>
        <v>0</v>
      </c>
      <c r="AB372" s="377">
        <f t="shared" si="152"/>
        <v>0</v>
      </c>
      <c r="AC372" s="377">
        <f t="shared" si="153"/>
        <v>0</v>
      </c>
      <c r="AD372" s="376"/>
      <c r="AE372" s="332">
        <v>357</v>
      </c>
      <c r="AF372" s="350">
        <v>132918371.4793824</v>
      </c>
      <c r="AG372" s="350">
        <v>134008568.02510703</v>
      </c>
      <c r="AH372" s="350">
        <v>135053083.74344507</v>
      </c>
      <c r="AI372" s="350">
        <v>136100081.51806244</v>
      </c>
      <c r="AJ372" s="350">
        <v>137152813.64282674</v>
      </c>
      <c r="AK372" s="348">
        <v>675232918.40882373</v>
      </c>
      <c r="AL372" s="369"/>
      <c r="AM372" s="350">
        <v>171656803.84589657</v>
      </c>
      <c r="AN372" s="350">
        <v>212226958.78665462</v>
      </c>
      <c r="AO372" s="350">
        <v>253348611.15495816</v>
      </c>
      <c r="AP372" s="350">
        <v>295086136.72375858</v>
      </c>
      <c r="AQ372" s="350">
        <v>337449713.4555679</v>
      </c>
      <c r="AR372" s="348">
        <v>1269768223.9668357</v>
      </c>
      <c r="AS372" s="369"/>
      <c r="AT372" s="350">
        <f t="shared" si="171"/>
        <v>38738432.366514176</v>
      </c>
      <c r="AU372" s="350">
        <f t="shared" si="154"/>
        <v>78218390.761547595</v>
      </c>
      <c r="AV372" s="350">
        <f t="shared" si="155"/>
        <v>118295527.41151309</v>
      </c>
      <c r="AW372" s="350">
        <f t="shared" si="156"/>
        <v>158986055.20569614</v>
      </c>
      <c r="AX372" s="350">
        <f t="shared" si="157"/>
        <v>200296899.81274116</v>
      </c>
      <c r="AY372" s="350">
        <f t="shared" si="158"/>
        <v>594535305.55801201</v>
      </c>
      <c r="AZ372" s="365"/>
      <c r="BA372" s="377">
        <f t="shared" si="159"/>
        <v>0</v>
      </c>
      <c r="BB372" s="377">
        <f t="shared" si="160"/>
        <v>0</v>
      </c>
      <c r="BC372" s="377">
        <f t="shared" si="161"/>
        <v>0</v>
      </c>
      <c r="BD372" s="377">
        <f t="shared" si="162"/>
        <v>0</v>
      </c>
      <c r="BE372" s="377">
        <f t="shared" si="163"/>
        <v>0</v>
      </c>
      <c r="BF372" s="377">
        <f t="shared" si="164"/>
        <v>0</v>
      </c>
      <c r="BG372" s="328"/>
    </row>
    <row r="373" spans="2:59">
      <c r="B373" s="332">
        <v>358</v>
      </c>
      <c r="C373" s="350">
        <v>112558719.61684772</v>
      </c>
      <c r="D373" s="350">
        <v>113481926.28836876</v>
      </c>
      <c r="E373" s="350">
        <v>114366449.25210398</v>
      </c>
      <c r="F373" s="350">
        <v>115253074.08538295</v>
      </c>
      <c r="G373" s="350">
        <v>116144554.91488874</v>
      </c>
      <c r="H373" s="348">
        <v>571804724.15759218</v>
      </c>
      <c r="I373" s="369"/>
      <c r="J373" s="350">
        <v>142981160.70067751</v>
      </c>
      <c r="K373" s="350">
        <v>174910727.81924811</v>
      </c>
      <c r="L373" s="350">
        <v>207270617.62674236</v>
      </c>
      <c r="M373" s="350">
        <v>240114348.25143084</v>
      </c>
      <c r="N373" s="350">
        <v>273450112.99391657</v>
      </c>
      <c r="O373" s="348">
        <v>1038726967.3920155</v>
      </c>
      <c r="P373" s="369"/>
      <c r="Q373" s="350">
        <f t="shared" si="165"/>
        <v>30422441.08382979</v>
      </c>
      <c r="R373" s="350">
        <f t="shared" si="166"/>
        <v>61428801.530879349</v>
      </c>
      <c r="S373" s="350">
        <f t="shared" si="167"/>
        <v>92904168.374638379</v>
      </c>
      <c r="T373" s="350">
        <f t="shared" si="168"/>
        <v>124861274.16604789</v>
      </c>
      <c r="U373" s="350">
        <f t="shared" si="169"/>
        <v>157305558.07902783</v>
      </c>
      <c r="V373" s="350">
        <f t="shared" si="170"/>
        <v>466922243.23442328</v>
      </c>
      <c r="W373" s="365"/>
      <c r="X373" s="377">
        <f t="shared" si="148"/>
        <v>0</v>
      </c>
      <c r="Y373" s="377">
        <f t="shared" si="149"/>
        <v>0</v>
      </c>
      <c r="Z373" s="377">
        <f t="shared" si="150"/>
        <v>0</v>
      </c>
      <c r="AA373" s="377">
        <f t="shared" si="151"/>
        <v>0</v>
      </c>
      <c r="AB373" s="377">
        <f t="shared" si="152"/>
        <v>0</v>
      </c>
      <c r="AC373" s="377">
        <f t="shared" si="153"/>
        <v>0</v>
      </c>
      <c r="AD373" s="376"/>
      <c r="AE373" s="332">
        <v>358</v>
      </c>
      <c r="AF373" s="350">
        <v>144505328.13018218</v>
      </c>
      <c r="AG373" s="350">
        <v>145690560.89983556</v>
      </c>
      <c r="AH373" s="350">
        <v>146826130.68552911</v>
      </c>
      <c r="AI373" s="350">
        <v>147964398.89697888</v>
      </c>
      <c r="AJ373" s="350">
        <v>149108901.34181845</v>
      </c>
      <c r="AK373" s="348">
        <v>734095319.95434415</v>
      </c>
      <c r="AL373" s="369"/>
      <c r="AM373" s="350">
        <v>175812430.48787534</v>
      </c>
      <c r="AN373" s="350">
        <v>208944758.96740261</v>
      </c>
      <c r="AO373" s="350">
        <v>242510678.63540989</v>
      </c>
      <c r="AP373" s="350">
        <v>276575655.87763506</v>
      </c>
      <c r="AQ373" s="350">
        <v>311148829.81003958</v>
      </c>
      <c r="AR373" s="348">
        <v>1214992353.7783623</v>
      </c>
      <c r="AS373" s="369"/>
      <c r="AT373" s="350">
        <f t="shared" si="171"/>
        <v>31307102.357693166</v>
      </c>
      <c r="AU373" s="350">
        <f t="shared" si="154"/>
        <v>63254198.06756705</v>
      </c>
      <c r="AV373" s="350">
        <f t="shared" si="155"/>
        <v>95684547.949880779</v>
      </c>
      <c r="AW373" s="350">
        <f t="shared" si="156"/>
        <v>128611256.98065618</v>
      </c>
      <c r="AX373" s="350">
        <f t="shared" si="157"/>
        <v>162039928.46822113</v>
      </c>
      <c r="AY373" s="350">
        <f t="shared" si="158"/>
        <v>480897033.82401812</v>
      </c>
      <c r="AZ373" s="365"/>
      <c r="BA373" s="377">
        <f t="shared" si="159"/>
        <v>0</v>
      </c>
      <c r="BB373" s="377">
        <f t="shared" si="160"/>
        <v>0</v>
      </c>
      <c r="BC373" s="377">
        <f t="shared" si="161"/>
        <v>0</v>
      </c>
      <c r="BD373" s="377">
        <f t="shared" si="162"/>
        <v>0</v>
      </c>
      <c r="BE373" s="377">
        <f t="shared" si="163"/>
        <v>0</v>
      </c>
      <c r="BF373" s="377">
        <f t="shared" si="164"/>
        <v>0</v>
      </c>
      <c r="BG373" s="328"/>
    </row>
    <row r="374" spans="2:59">
      <c r="B374" s="332">
        <v>359</v>
      </c>
      <c r="C374" s="350">
        <v>141482780.56280124</v>
      </c>
      <c r="D374" s="350">
        <v>142643222.39587772</v>
      </c>
      <c r="E374" s="350">
        <v>143755040.02144161</v>
      </c>
      <c r="F374" s="350">
        <v>144869499.63110441</v>
      </c>
      <c r="G374" s="350">
        <v>145990063.07573363</v>
      </c>
      <c r="H374" s="348">
        <v>718740605.68695855</v>
      </c>
      <c r="I374" s="369"/>
      <c r="J374" s="350">
        <v>173848501.36736986</v>
      </c>
      <c r="K374" s="350">
        <v>208038450.33227208</v>
      </c>
      <c r="L374" s="350">
        <v>242679403.57083049</v>
      </c>
      <c r="M374" s="350">
        <v>277836175.50196326</v>
      </c>
      <c r="N374" s="350">
        <v>313518021.08367115</v>
      </c>
      <c r="O374" s="348">
        <v>1215920551.8561068</v>
      </c>
      <c r="P374" s="369"/>
      <c r="Q374" s="350">
        <f t="shared" si="165"/>
        <v>32365720.804568619</v>
      </c>
      <c r="R374" s="350">
        <f t="shared" si="166"/>
        <v>65395227.936394364</v>
      </c>
      <c r="S374" s="350">
        <f t="shared" si="167"/>
        <v>98924363.549388885</v>
      </c>
      <c r="T374" s="350">
        <f t="shared" si="168"/>
        <v>132966675.87085885</v>
      </c>
      <c r="U374" s="350">
        <f t="shared" si="169"/>
        <v>167527958.00793752</v>
      </c>
      <c r="V374" s="350">
        <f t="shared" si="170"/>
        <v>497179946.16914821</v>
      </c>
      <c r="W374" s="365"/>
      <c r="X374" s="377">
        <f t="shared" si="148"/>
        <v>0</v>
      </c>
      <c r="Y374" s="377">
        <f t="shared" si="149"/>
        <v>0</v>
      </c>
      <c r="Z374" s="377">
        <f t="shared" si="150"/>
        <v>0</v>
      </c>
      <c r="AA374" s="377">
        <f t="shared" si="151"/>
        <v>0</v>
      </c>
      <c r="AB374" s="377">
        <f t="shared" si="152"/>
        <v>0</v>
      </c>
      <c r="AC374" s="377">
        <f t="shared" si="153"/>
        <v>0</v>
      </c>
      <c r="AD374" s="376"/>
      <c r="AE374" s="332">
        <v>359</v>
      </c>
      <c r="AF374" s="350">
        <v>122276828.88248542</v>
      </c>
      <c r="AG374" s="350">
        <v>123279743.49079843</v>
      </c>
      <c r="AH374" s="350">
        <v>124240634.51236877</v>
      </c>
      <c r="AI374" s="350">
        <v>125203808.87496686</v>
      </c>
      <c r="AJ374" s="350">
        <v>126172258.49142089</v>
      </c>
      <c r="AK374" s="348">
        <v>621173274.25204039</v>
      </c>
      <c r="AL374" s="369"/>
      <c r="AM374" s="350">
        <v>156548602.7855022</v>
      </c>
      <c r="AN374" s="350">
        <v>192476276.69692969</v>
      </c>
      <c r="AO374" s="350">
        <v>228890201.42017651</v>
      </c>
      <c r="AP374" s="350">
        <v>265849027.20816678</v>
      </c>
      <c r="AQ374" s="350">
        <v>303361872.6277253</v>
      </c>
      <c r="AR374" s="348">
        <v>1147125980.7385006</v>
      </c>
      <c r="AS374" s="369"/>
      <c r="AT374" s="350">
        <f t="shared" si="171"/>
        <v>34271773.903016776</v>
      </c>
      <c r="AU374" s="350">
        <f t="shared" si="154"/>
        <v>69196533.206131265</v>
      </c>
      <c r="AV374" s="350">
        <f t="shared" si="155"/>
        <v>104649566.90780774</v>
      </c>
      <c r="AW374" s="350">
        <f t="shared" si="156"/>
        <v>140645218.33319992</v>
      </c>
      <c r="AX374" s="350">
        <f t="shared" si="157"/>
        <v>177189614.13630441</v>
      </c>
      <c r="AY374" s="350">
        <f t="shared" si="158"/>
        <v>525952706.48646021</v>
      </c>
      <c r="AZ374" s="365"/>
      <c r="BA374" s="377">
        <f t="shared" si="159"/>
        <v>0</v>
      </c>
      <c r="BB374" s="377">
        <f t="shared" si="160"/>
        <v>0</v>
      </c>
      <c r="BC374" s="377">
        <f t="shared" si="161"/>
        <v>0</v>
      </c>
      <c r="BD374" s="377">
        <f t="shared" si="162"/>
        <v>0</v>
      </c>
      <c r="BE374" s="377">
        <f t="shared" si="163"/>
        <v>0</v>
      </c>
      <c r="BF374" s="377">
        <f t="shared" si="164"/>
        <v>0</v>
      </c>
      <c r="BG374" s="328"/>
    </row>
    <row r="375" spans="2:59">
      <c r="B375" s="332">
        <v>360</v>
      </c>
      <c r="C375" s="350">
        <v>142979974.08403787</v>
      </c>
      <c r="D375" s="350">
        <v>144152695.89908352</v>
      </c>
      <c r="E375" s="350">
        <v>145276278.95743841</v>
      </c>
      <c r="F375" s="350">
        <v>146402531.95779249</v>
      </c>
      <c r="G375" s="350">
        <v>147534953.38487554</v>
      </c>
      <c r="H375" s="348">
        <v>726346434.2832278</v>
      </c>
      <c r="I375" s="369"/>
      <c r="J375" s="350">
        <v>176250943.9801223</v>
      </c>
      <c r="K375" s="350">
        <v>211338225.52752918</v>
      </c>
      <c r="L375" s="350">
        <v>246889366.84193286</v>
      </c>
      <c r="M375" s="350">
        <v>282970101.63100994</v>
      </c>
      <c r="N375" s="350">
        <v>319589877.59948975</v>
      </c>
      <c r="O375" s="348">
        <v>1237038515.5800841</v>
      </c>
      <c r="P375" s="369"/>
      <c r="Q375" s="350">
        <f t="shared" si="165"/>
        <v>33270969.896084428</v>
      </c>
      <c r="R375" s="350">
        <f t="shared" si="166"/>
        <v>67185529.628445655</v>
      </c>
      <c r="S375" s="350">
        <f t="shared" si="167"/>
        <v>101613087.88449445</v>
      </c>
      <c r="T375" s="350">
        <f t="shared" si="168"/>
        <v>136567569.67321745</v>
      </c>
      <c r="U375" s="350">
        <f t="shared" si="169"/>
        <v>172054924.21461421</v>
      </c>
      <c r="V375" s="350">
        <f t="shared" si="170"/>
        <v>510692081.29685628</v>
      </c>
      <c r="W375" s="365"/>
      <c r="X375" s="377">
        <f t="shared" si="148"/>
        <v>0</v>
      </c>
      <c r="Y375" s="377">
        <f t="shared" si="149"/>
        <v>0</v>
      </c>
      <c r="Z375" s="377">
        <f t="shared" si="150"/>
        <v>0</v>
      </c>
      <c r="AA375" s="377">
        <f t="shared" si="151"/>
        <v>0</v>
      </c>
      <c r="AB375" s="377">
        <f t="shared" si="152"/>
        <v>0</v>
      </c>
      <c r="AC375" s="377">
        <f t="shared" si="153"/>
        <v>0</v>
      </c>
      <c r="AD375" s="376"/>
      <c r="AE375" s="332">
        <v>360</v>
      </c>
      <c r="AF375" s="350">
        <v>120133286.4117116</v>
      </c>
      <c r="AG375" s="350">
        <v>121118619.68366578</v>
      </c>
      <c r="AH375" s="350">
        <v>122062666.05254646</v>
      </c>
      <c r="AI375" s="350">
        <v>123008955.73493275</v>
      </c>
      <c r="AJ375" s="350">
        <v>123960428.19469532</v>
      </c>
      <c r="AK375" s="348">
        <v>610283956.07755196</v>
      </c>
      <c r="AL375" s="369"/>
      <c r="AM375" s="350">
        <v>147809142.94026682</v>
      </c>
      <c r="AN375" s="350">
        <v>177028507.31708744</v>
      </c>
      <c r="AO375" s="350">
        <v>206633669.03829703</v>
      </c>
      <c r="AP375" s="350">
        <v>236679742.85593912</v>
      </c>
      <c r="AQ375" s="350">
        <v>267174620.46797076</v>
      </c>
      <c r="AR375" s="348">
        <v>1035325682.6195612</v>
      </c>
      <c r="AS375" s="369"/>
      <c r="AT375" s="350">
        <f t="shared" si="171"/>
        <v>27675856.528555214</v>
      </c>
      <c r="AU375" s="350">
        <f t="shared" si="154"/>
        <v>55909887.633421659</v>
      </c>
      <c r="AV375" s="350">
        <f t="shared" si="155"/>
        <v>84571002.985750571</v>
      </c>
      <c r="AW375" s="350">
        <f t="shared" si="156"/>
        <v>113670787.12100637</v>
      </c>
      <c r="AX375" s="350">
        <f t="shared" si="157"/>
        <v>143214192.27327543</v>
      </c>
      <c r="AY375" s="350">
        <f t="shared" si="158"/>
        <v>425041726.54200923</v>
      </c>
      <c r="AZ375" s="365"/>
      <c r="BA375" s="377">
        <f t="shared" si="159"/>
        <v>0</v>
      </c>
      <c r="BB375" s="377">
        <f t="shared" si="160"/>
        <v>0</v>
      </c>
      <c r="BC375" s="377">
        <f t="shared" si="161"/>
        <v>0</v>
      </c>
      <c r="BD375" s="377">
        <f t="shared" si="162"/>
        <v>0</v>
      </c>
      <c r="BE375" s="377">
        <f t="shared" si="163"/>
        <v>0</v>
      </c>
      <c r="BF375" s="377">
        <f t="shared" si="164"/>
        <v>0</v>
      </c>
      <c r="BG375" s="328"/>
    </row>
    <row r="376" spans="2:59">
      <c r="B376" s="332">
        <v>361</v>
      </c>
      <c r="C376" s="350">
        <v>126638518.44592969</v>
      </c>
      <c r="D376" s="350">
        <v>127677207.63410452</v>
      </c>
      <c r="E376" s="350">
        <v>128672374.22839537</v>
      </c>
      <c r="F376" s="350">
        <v>129669905.61189032</v>
      </c>
      <c r="G376" s="350">
        <v>130672900.42078522</v>
      </c>
      <c r="H376" s="348">
        <v>643330906.3411051</v>
      </c>
      <c r="I376" s="369"/>
      <c r="J376" s="350">
        <v>156973714.9558917</v>
      </c>
      <c r="K376" s="350">
        <v>188943277.51156098</v>
      </c>
      <c r="L376" s="350">
        <v>221337188.25669378</v>
      </c>
      <c r="M376" s="350">
        <v>254214031.35763711</v>
      </c>
      <c r="N376" s="350">
        <v>287582331.07649964</v>
      </c>
      <c r="O376" s="348">
        <v>1109050543.1582832</v>
      </c>
      <c r="P376" s="369"/>
      <c r="Q376" s="350">
        <f t="shared" si="165"/>
        <v>30335196.509962007</v>
      </c>
      <c r="R376" s="350">
        <f t="shared" si="166"/>
        <v>61266069.877456456</v>
      </c>
      <c r="S376" s="350">
        <f t="shared" si="167"/>
        <v>92664814.028298408</v>
      </c>
      <c r="T376" s="350">
        <f t="shared" si="168"/>
        <v>124544125.74574679</v>
      </c>
      <c r="U376" s="350">
        <f t="shared" si="169"/>
        <v>156909430.65571442</v>
      </c>
      <c r="V376" s="350">
        <f t="shared" si="170"/>
        <v>465719636.81717813</v>
      </c>
      <c r="W376" s="365"/>
      <c r="X376" s="377">
        <f t="shared" si="148"/>
        <v>0</v>
      </c>
      <c r="Y376" s="377">
        <f t="shared" si="149"/>
        <v>0</v>
      </c>
      <c r="Z376" s="377">
        <f t="shared" si="150"/>
        <v>0</v>
      </c>
      <c r="AA376" s="377">
        <f t="shared" si="151"/>
        <v>0</v>
      </c>
      <c r="AB376" s="377">
        <f t="shared" si="152"/>
        <v>0</v>
      </c>
      <c r="AC376" s="377">
        <f t="shared" si="153"/>
        <v>0</v>
      </c>
      <c r="AD376" s="376"/>
      <c r="AE376" s="332">
        <v>361</v>
      </c>
      <c r="AF376" s="350">
        <v>129661200.3829748</v>
      </c>
      <c r="AG376" s="350">
        <v>130724681.60982652</v>
      </c>
      <c r="AH376" s="350">
        <v>131743601.42016745</v>
      </c>
      <c r="AI376" s="350">
        <v>132764942.46387896</v>
      </c>
      <c r="AJ376" s="350">
        <v>133791877.33721086</v>
      </c>
      <c r="AK376" s="348">
        <v>658686303.21405864</v>
      </c>
      <c r="AL376" s="369"/>
      <c r="AM376" s="350">
        <v>156174092.94815847</v>
      </c>
      <c r="AN376" s="350">
        <v>184301785.4897376</v>
      </c>
      <c r="AO376" s="350">
        <v>212794313.16540551</v>
      </c>
      <c r="AP376" s="350">
        <v>241709757.29041475</v>
      </c>
      <c r="AQ376" s="350">
        <v>271056037.1315766</v>
      </c>
      <c r="AR376" s="348">
        <v>1066035986.0252929</v>
      </c>
      <c r="AS376" s="369"/>
      <c r="AT376" s="350">
        <f t="shared" si="171"/>
        <v>26512892.565183669</v>
      </c>
      <c r="AU376" s="350">
        <f t="shared" si="154"/>
        <v>53577103.87991108</v>
      </c>
      <c r="AV376" s="350">
        <f t="shared" si="155"/>
        <v>81050711.745238066</v>
      </c>
      <c r="AW376" s="350">
        <f t="shared" si="156"/>
        <v>108944814.82653579</v>
      </c>
      <c r="AX376" s="350">
        <f t="shared" si="157"/>
        <v>137264159.79436573</v>
      </c>
      <c r="AY376" s="350">
        <f t="shared" si="158"/>
        <v>407349682.81123424</v>
      </c>
      <c r="AZ376" s="365"/>
      <c r="BA376" s="377">
        <f t="shared" si="159"/>
        <v>0</v>
      </c>
      <c r="BB376" s="377">
        <f t="shared" si="160"/>
        <v>0</v>
      </c>
      <c r="BC376" s="377">
        <f t="shared" si="161"/>
        <v>0</v>
      </c>
      <c r="BD376" s="377">
        <f t="shared" si="162"/>
        <v>0</v>
      </c>
      <c r="BE376" s="377">
        <f t="shared" si="163"/>
        <v>0</v>
      </c>
      <c r="BF376" s="377">
        <f t="shared" si="164"/>
        <v>0</v>
      </c>
      <c r="BG376" s="328"/>
    </row>
    <row r="377" spans="2:59">
      <c r="B377" s="332">
        <v>362</v>
      </c>
      <c r="C377" s="350">
        <v>149765549.12722465</v>
      </c>
      <c r="D377" s="350">
        <v>150993926.23198313</v>
      </c>
      <c r="E377" s="350">
        <v>152170832.54213291</v>
      </c>
      <c r="F377" s="350">
        <v>153350535.5049763</v>
      </c>
      <c r="G377" s="350">
        <v>154536699.63710049</v>
      </c>
      <c r="H377" s="348">
        <v>760817543.04341745</v>
      </c>
      <c r="I377" s="369"/>
      <c r="J377" s="350">
        <v>184973163.95188841</v>
      </c>
      <c r="K377" s="350">
        <v>222092521.13656828</v>
      </c>
      <c r="L377" s="350">
        <v>259703302.85626113</v>
      </c>
      <c r="M377" s="350">
        <v>297874512.24618995</v>
      </c>
      <c r="N377" s="350">
        <v>336616109.68971378</v>
      </c>
      <c r="O377" s="348">
        <v>1301259609.8806217</v>
      </c>
      <c r="P377" s="369"/>
      <c r="Q377" s="350">
        <f t="shared" si="165"/>
        <v>35207614.824663758</v>
      </c>
      <c r="R377" s="350">
        <f t="shared" si="166"/>
        <v>71098594.904585153</v>
      </c>
      <c r="S377" s="350">
        <f t="shared" si="167"/>
        <v>107532470.31412822</v>
      </c>
      <c r="T377" s="350">
        <f t="shared" si="168"/>
        <v>144523976.74121365</v>
      </c>
      <c r="U377" s="350">
        <f t="shared" si="169"/>
        <v>182079410.05261329</v>
      </c>
      <c r="V377" s="350">
        <f t="shared" si="170"/>
        <v>540442066.83720422</v>
      </c>
      <c r="W377" s="365"/>
      <c r="X377" s="377">
        <f t="shared" si="148"/>
        <v>0</v>
      </c>
      <c r="Y377" s="377">
        <f t="shared" si="149"/>
        <v>0</v>
      </c>
      <c r="Z377" s="377">
        <f t="shared" si="150"/>
        <v>0</v>
      </c>
      <c r="AA377" s="377">
        <f t="shared" si="151"/>
        <v>0</v>
      </c>
      <c r="AB377" s="377">
        <f t="shared" si="152"/>
        <v>0</v>
      </c>
      <c r="AC377" s="377">
        <f t="shared" si="153"/>
        <v>0</v>
      </c>
      <c r="AD377" s="376"/>
      <c r="AE377" s="332">
        <v>362</v>
      </c>
      <c r="AF377" s="350">
        <v>141381249.18752676</v>
      </c>
      <c r="AG377" s="350">
        <v>142540858.26021525</v>
      </c>
      <c r="AH377" s="350">
        <v>143651878.01926756</v>
      </c>
      <c r="AI377" s="350">
        <v>144765537.86646873</v>
      </c>
      <c r="AJ377" s="350">
        <v>145885297.16838065</v>
      </c>
      <c r="AK377" s="348">
        <v>718224820.50185883</v>
      </c>
      <c r="AL377" s="369"/>
      <c r="AM377" s="350">
        <v>178952595.67966446</v>
      </c>
      <c r="AN377" s="350">
        <v>218430786.02967626</v>
      </c>
      <c r="AO377" s="350">
        <v>258440011.17879477</v>
      </c>
      <c r="AP377" s="350">
        <v>299047226.52542019</v>
      </c>
      <c r="AQ377" s="350">
        <v>340262612.73424506</v>
      </c>
      <c r="AR377" s="348">
        <v>1295133232.1478007</v>
      </c>
      <c r="AS377" s="369"/>
      <c r="AT377" s="350">
        <f t="shared" si="171"/>
        <v>37571346.4921377</v>
      </c>
      <c r="AU377" s="350">
        <f t="shared" si="154"/>
        <v>75889927.769461006</v>
      </c>
      <c r="AV377" s="350">
        <f t="shared" si="155"/>
        <v>114788133.15952721</v>
      </c>
      <c r="AW377" s="350">
        <f t="shared" si="156"/>
        <v>154281688.65895146</v>
      </c>
      <c r="AX377" s="350">
        <f t="shared" si="157"/>
        <v>194377315.56586441</v>
      </c>
      <c r="AY377" s="350">
        <f t="shared" si="158"/>
        <v>576908411.64594185</v>
      </c>
      <c r="AZ377" s="365"/>
      <c r="BA377" s="377">
        <f t="shared" si="159"/>
        <v>0</v>
      </c>
      <c r="BB377" s="377">
        <f t="shared" si="160"/>
        <v>0</v>
      </c>
      <c r="BC377" s="377">
        <f t="shared" si="161"/>
        <v>0</v>
      </c>
      <c r="BD377" s="377">
        <f t="shared" si="162"/>
        <v>0</v>
      </c>
      <c r="BE377" s="377">
        <f t="shared" si="163"/>
        <v>0</v>
      </c>
      <c r="BF377" s="377">
        <f t="shared" si="164"/>
        <v>0</v>
      </c>
      <c r="BG377" s="328"/>
    </row>
    <row r="378" spans="2:59">
      <c r="B378" s="332">
        <v>363</v>
      </c>
      <c r="C378" s="350">
        <v>140536514.41759261</v>
      </c>
      <c r="D378" s="350">
        <v>141689194.9752987</v>
      </c>
      <c r="E378" s="350">
        <v>142793576.53426471</v>
      </c>
      <c r="F378" s="350">
        <v>143900582.40719268</v>
      </c>
      <c r="G378" s="350">
        <v>145013651.29137433</v>
      </c>
      <c r="H378" s="348">
        <v>713933519.625723</v>
      </c>
      <c r="I378" s="369"/>
      <c r="J378" s="350">
        <v>176483303.51509306</v>
      </c>
      <c r="K378" s="350">
        <v>214307188.75128931</v>
      </c>
      <c r="L378" s="350">
        <v>252637484.52926779</v>
      </c>
      <c r="M378" s="350">
        <v>291540160.70516425</v>
      </c>
      <c r="N378" s="350">
        <v>331025088.09908903</v>
      </c>
      <c r="O378" s="348">
        <v>1265993225.5999036</v>
      </c>
      <c r="P378" s="369"/>
      <c r="Q378" s="350">
        <f t="shared" si="165"/>
        <v>35946789.097500443</v>
      </c>
      <c r="R378" s="350">
        <f t="shared" si="166"/>
        <v>72617993.775990605</v>
      </c>
      <c r="S378" s="350">
        <f t="shared" si="167"/>
        <v>109843907.99500307</v>
      </c>
      <c r="T378" s="350">
        <f t="shared" si="168"/>
        <v>147639578.29797158</v>
      </c>
      <c r="U378" s="350">
        <f t="shared" si="169"/>
        <v>186011436.8077147</v>
      </c>
      <c r="V378" s="350">
        <f t="shared" si="170"/>
        <v>552059705.97418058</v>
      </c>
      <c r="W378" s="365"/>
      <c r="X378" s="377">
        <f t="shared" si="148"/>
        <v>0</v>
      </c>
      <c r="Y378" s="377">
        <f t="shared" si="149"/>
        <v>0</v>
      </c>
      <c r="Z378" s="377">
        <f t="shared" si="150"/>
        <v>0</v>
      </c>
      <c r="AA378" s="377">
        <f t="shared" si="151"/>
        <v>0</v>
      </c>
      <c r="AB378" s="377">
        <f t="shared" si="152"/>
        <v>0</v>
      </c>
      <c r="AC378" s="377">
        <f t="shared" si="153"/>
        <v>0</v>
      </c>
      <c r="AD378" s="376"/>
      <c r="AE378" s="332">
        <v>363</v>
      </c>
      <c r="AF378" s="350">
        <v>120314693.99714327</v>
      </c>
      <c r="AG378" s="350">
        <v>121301515.17419887</v>
      </c>
      <c r="AH378" s="350">
        <v>122246987.10278435</v>
      </c>
      <c r="AI378" s="350">
        <v>123194705.73239693</v>
      </c>
      <c r="AJ378" s="350">
        <v>124147614.96565241</v>
      </c>
      <c r="AK378" s="348">
        <v>611205516.97217584</v>
      </c>
      <c r="AL378" s="369"/>
      <c r="AM378" s="350">
        <v>156563857.07820207</v>
      </c>
      <c r="AN378" s="350">
        <v>194489029.71464217</v>
      </c>
      <c r="AO378" s="350">
        <v>232931584.55828905</v>
      </c>
      <c r="AP378" s="350">
        <v>271950288.37325752</v>
      </c>
      <c r="AQ378" s="350">
        <v>311554564.98284823</v>
      </c>
      <c r="AR378" s="348">
        <v>1167489324.7072392</v>
      </c>
      <c r="AS378" s="369"/>
      <c r="AT378" s="350">
        <f t="shared" si="171"/>
        <v>36249163.0810588</v>
      </c>
      <c r="AU378" s="350">
        <f t="shared" si="154"/>
        <v>73187514.540443301</v>
      </c>
      <c r="AV378" s="350">
        <f t="shared" si="155"/>
        <v>110684597.4555047</v>
      </c>
      <c r="AW378" s="350">
        <f t="shared" si="156"/>
        <v>148755582.64086059</v>
      </c>
      <c r="AX378" s="350">
        <f t="shared" si="157"/>
        <v>187406950.01719582</v>
      </c>
      <c r="AY378" s="350">
        <f t="shared" si="158"/>
        <v>556283807.73506331</v>
      </c>
      <c r="AZ378" s="365"/>
      <c r="BA378" s="377">
        <f t="shared" si="159"/>
        <v>0</v>
      </c>
      <c r="BB378" s="377">
        <f t="shared" si="160"/>
        <v>0</v>
      </c>
      <c r="BC378" s="377">
        <f t="shared" si="161"/>
        <v>0</v>
      </c>
      <c r="BD378" s="377">
        <f t="shared" si="162"/>
        <v>0</v>
      </c>
      <c r="BE378" s="377">
        <f t="shared" si="163"/>
        <v>0</v>
      </c>
      <c r="BF378" s="377">
        <f t="shared" si="164"/>
        <v>0</v>
      </c>
      <c r="BG378" s="328"/>
    </row>
    <row r="379" spans="2:59">
      <c r="B379" s="332">
        <v>364</v>
      </c>
      <c r="C379" s="350">
        <v>120057198.67492497</v>
      </c>
      <c r="D379" s="350">
        <v>121041907.87522605</v>
      </c>
      <c r="E379" s="350">
        <v>121985356.32196729</v>
      </c>
      <c r="F379" s="350">
        <v>122931046.66138689</v>
      </c>
      <c r="G379" s="350">
        <v>123881916.49561375</v>
      </c>
      <c r="H379" s="348">
        <v>609897426.02911901</v>
      </c>
      <c r="I379" s="369"/>
      <c r="J379" s="350">
        <v>153189798.7896775</v>
      </c>
      <c r="K379" s="350">
        <v>187955724.56720847</v>
      </c>
      <c r="L379" s="350">
        <v>223191374.70261574</v>
      </c>
      <c r="M379" s="350">
        <v>258954119.36679173</v>
      </c>
      <c r="N379" s="350">
        <v>295252821.81564415</v>
      </c>
      <c r="O379" s="348">
        <v>1118543839.2419376</v>
      </c>
      <c r="P379" s="369"/>
      <c r="Q379" s="350">
        <f t="shared" si="165"/>
        <v>33132600.114752531</v>
      </c>
      <c r="R379" s="350">
        <f t="shared" si="166"/>
        <v>66913816.691982418</v>
      </c>
      <c r="S379" s="350">
        <f t="shared" si="167"/>
        <v>101206018.38064845</v>
      </c>
      <c r="T379" s="350">
        <f t="shared" si="168"/>
        <v>136023072.70540482</v>
      </c>
      <c r="U379" s="350">
        <f t="shared" si="169"/>
        <v>171370905.32003039</v>
      </c>
      <c r="V379" s="350">
        <f t="shared" si="170"/>
        <v>508646413.21281862</v>
      </c>
      <c r="W379" s="365"/>
      <c r="X379" s="377">
        <f t="shared" si="148"/>
        <v>0</v>
      </c>
      <c r="Y379" s="377">
        <f t="shared" si="149"/>
        <v>0</v>
      </c>
      <c r="Z379" s="377">
        <f t="shared" si="150"/>
        <v>0</v>
      </c>
      <c r="AA379" s="377">
        <f t="shared" si="151"/>
        <v>0</v>
      </c>
      <c r="AB379" s="377">
        <f t="shared" si="152"/>
        <v>0</v>
      </c>
      <c r="AC379" s="377">
        <f t="shared" si="153"/>
        <v>0</v>
      </c>
      <c r="AD379" s="376"/>
      <c r="AE379" s="332">
        <v>364</v>
      </c>
      <c r="AF379" s="350">
        <v>127461553.06875205</v>
      </c>
      <c r="AG379" s="350">
        <v>128506992.78729241</v>
      </c>
      <c r="AH379" s="350">
        <v>129508627.05486804</v>
      </c>
      <c r="AI379" s="350">
        <v>130512641.48061618</v>
      </c>
      <c r="AJ379" s="350">
        <v>131522154.8390359</v>
      </c>
      <c r="AK379" s="348">
        <v>647511969.23056459</v>
      </c>
      <c r="AL379" s="369"/>
      <c r="AM379" s="350">
        <v>159563228.88916191</v>
      </c>
      <c r="AN379" s="350">
        <v>193346685.97430855</v>
      </c>
      <c r="AO379" s="350">
        <v>227581546.62336496</v>
      </c>
      <c r="AP379" s="350">
        <v>262327432.91999567</v>
      </c>
      <c r="AQ379" s="350">
        <v>297593206.12206382</v>
      </c>
      <c r="AR379" s="348">
        <v>1140412100.5288949</v>
      </c>
      <c r="AS379" s="369"/>
      <c r="AT379" s="350">
        <f t="shared" si="171"/>
        <v>32101675.820409864</v>
      </c>
      <c r="AU379" s="350">
        <f t="shared" si="154"/>
        <v>64839693.187016144</v>
      </c>
      <c r="AV379" s="350">
        <f t="shared" si="155"/>
        <v>98072919.568496913</v>
      </c>
      <c r="AW379" s="350">
        <f t="shared" si="156"/>
        <v>131814791.43937948</v>
      </c>
      <c r="AX379" s="350">
        <f t="shared" si="157"/>
        <v>166071051.28302792</v>
      </c>
      <c r="AY379" s="350">
        <f t="shared" si="158"/>
        <v>492900131.29833031</v>
      </c>
      <c r="AZ379" s="365"/>
      <c r="BA379" s="377">
        <f t="shared" si="159"/>
        <v>0</v>
      </c>
      <c r="BB379" s="377">
        <f t="shared" si="160"/>
        <v>0</v>
      </c>
      <c r="BC379" s="377">
        <f t="shared" si="161"/>
        <v>0</v>
      </c>
      <c r="BD379" s="377">
        <f t="shared" si="162"/>
        <v>0</v>
      </c>
      <c r="BE379" s="377">
        <f t="shared" si="163"/>
        <v>0</v>
      </c>
      <c r="BF379" s="377">
        <f t="shared" si="164"/>
        <v>0</v>
      </c>
      <c r="BG379" s="328"/>
    </row>
    <row r="380" spans="2:59">
      <c r="B380" s="332">
        <v>365</v>
      </c>
      <c r="C380" s="350">
        <v>126165923.33107923</v>
      </c>
      <c r="D380" s="350">
        <v>127200736.29389858</v>
      </c>
      <c r="E380" s="350">
        <v>128192189.08233716</v>
      </c>
      <c r="F380" s="350">
        <v>129185997.83495697</v>
      </c>
      <c r="G380" s="350">
        <v>130185249.62432894</v>
      </c>
      <c r="H380" s="348">
        <v>640930096.16660094</v>
      </c>
      <c r="I380" s="369"/>
      <c r="J380" s="350">
        <v>156227344.78553197</v>
      </c>
      <c r="K380" s="350">
        <v>187917006.99503642</v>
      </c>
      <c r="L380" s="350">
        <v>220027006.02596751</v>
      </c>
      <c r="M380" s="350">
        <v>252615640.38546264</v>
      </c>
      <c r="N380" s="350">
        <v>285691374.28304738</v>
      </c>
      <c r="O380" s="348">
        <v>1102478372.4750459</v>
      </c>
      <c r="P380" s="369"/>
      <c r="Q380" s="350">
        <f t="shared" si="165"/>
        <v>30061421.454452738</v>
      </c>
      <c r="R380" s="350">
        <f t="shared" si="166"/>
        <v>60716270.701137841</v>
      </c>
      <c r="S380" s="350">
        <f t="shared" si="167"/>
        <v>91834816.943630353</v>
      </c>
      <c r="T380" s="350">
        <f t="shared" si="168"/>
        <v>123429642.55050567</v>
      </c>
      <c r="U380" s="350">
        <f t="shared" si="169"/>
        <v>155506124.65871844</v>
      </c>
      <c r="V380" s="350">
        <f t="shared" si="170"/>
        <v>461548276.30844498</v>
      </c>
      <c r="W380" s="365"/>
      <c r="X380" s="377">
        <f t="shared" si="148"/>
        <v>0</v>
      </c>
      <c r="Y380" s="377">
        <f t="shared" si="149"/>
        <v>0</v>
      </c>
      <c r="Z380" s="377">
        <f t="shared" si="150"/>
        <v>0</v>
      </c>
      <c r="AA380" s="377">
        <f t="shared" si="151"/>
        <v>0</v>
      </c>
      <c r="AB380" s="377">
        <f t="shared" si="152"/>
        <v>0</v>
      </c>
      <c r="AC380" s="377">
        <f t="shared" si="153"/>
        <v>0</v>
      </c>
      <c r="AD380" s="376"/>
      <c r="AE380" s="332">
        <v>365</v>
      </c>
      <c r="AF380" s="350">
        <v>126064137.21467489</v>
      </c>
      <c r="AG380" s="350">
        <v>127098115.32771933</v>
      </c>
      <c r="AH380" s="350">
        <v>128088768.2478078</v>
      </c>
      <c r="AI380" s="350">
        <v>129081775.23137058</v>
      </c>
      <c r="AJ380" s="350">
        <v>130080220.86043984</v>
      </c>
      <c r="AK380" s="348">
        <v>640413016.88201237</v>
      </c>
      <c r="AL380" s="369"/>
      <c r="AM380" s="350">
        <v>153594949.68618798</v>
      </c>
      <c r="AN380" s="350">
        <v>182723968.31280044</v>
      </c>
      <c r="AO380" s="350">
        <v>212234647.69212592</v>
      </c>
      <c r="AP380" s="350">
        <v>242184191.40255019</v>
      </c>
      <c r="AQ380" s="350">
        <v>272580611.67698228</v>
      </c>
      <c r="AR380" s="348">
        <v>1063318368.7706468</v>
      </c>
      <c r="AS380" s="369"/>
      <c r="AT380" s="350">
        <f t="shared" si="171"/>
        <v>27530812.471513093</v>
      </c>
      <c r="AU380" s="350">
        <f t="shared" si="154"/>
        <v>55625852.985081106</v>
      </c>
      <c r="AV380" s="350">
        <f t="shared" si="155"/>
        <v>84145879.444318116</v>
      </c>
      <c r="AW380" s="350">
        <f t="shared" si="156"/>
        <v>113102416.17117961</v>
      </c>
      <c r="AX380" s="350">
        <f t="shared" si="157"/>
        <v>142500390.81654245</v>
      </c>
      <c r="AY380" s="350">
        <f t="shared" si="158"/>
        <v>422905351.88863444</v>
      </c>
      <c r="AZ380" s="365"/>
      <c r="BA380" s="377">
        <f t="shared" si="159"/>
        <v>0</v>
      </c>
      <c r="BB380" s="377">
        <f t="shared" si="160"/>
        <v>0</v>
      </c>
      <c r="BC380" s="377">
        <f t="shared" si="161"/>
        <v>0</v>
      </c>
      <c r="BD380" s="377">
        <f t="shared" si="162"/>
        <v>0</v>
      </c>
      <c r="BE380" s="377">
        <f t="shared" si="163"/>
        <v>0</v>
      </c>
      <c r="BF380" s="377">
        <f t="shared" si="164"/>
        <v>0</v>
      </c>
      <c r="BG380" s="328"/>
    </row>
    <row r="381" spans="2:59">
      <c r="B381" s="332">
        <v>366</v>
      </c>
      <c r="C381" s="350">
        <v>127741216.93134356</v>
      </c>
      <c r="D381" s="350">
        <v>128788950.45301715</v>
      </c>
      <c r="E381" s="350">
        <v>129792782.41002484</v>
      </c>
      <c r="F381" s="350">
        <v>130798999.74751887</v>
      </c>
      <c r="G381" s="350">
        <v>131810728.08291285</v>
      </c>
      <c r="H381" s="348">
        <v>648932677.62481725</v>
      </c>
      <c r="I381" s="369"/>
      <c r="J381" s="350">
        <v>159049635.08908886</v>
      </c>
      <c r="K381" s="350">
        <v>192027653.40646252</v>
      </c>
      <c r="L381" s="350">
        <v>225444761.64935225</v>
      </c>
      <c r="M381" s="350">
        <v>259360351.28101519</v>
      </c>
      <c r="N381" s="350">
        <v>293783148.6916883</v>
      </c>
      <c r="O381" s="348">
        <v>1129665550.1176071</v>
      </c>
      <c r="P381" s="369"/>
      <c r="Q381" s="350">
        <f t="shared" si="165"/>
        <v>31308418.157745302</v>
      </c>
      <c r="R381" s="350">
        <f t="shared" si="166"/>
        <v>63238702.953445375</v>
      </c>
      <c r="S381" s="350">
        <f t="shared" si="167"/>
        <v>95651979.239327416</v>
      </c>
      <c r="T381" s="350">
        <f t="shared" si="168"/>
        <v>128561351.53349632</v>
      </c>
      <c r="U381" s="350">
        <f t="shared" si="169"/>
        <v>161972420.60877544</v>
      </c>
      <c r="V381" s="350">
        <f t="shared" si="170"/>
        <v>480732872.49278986</v>
      </c>
      <c r="W381" s="365"/>
      <c r="X381" s="377">
        <f t="shared" si="148"/>
        <v>0</v>
      </c>
      <c r="Y381" s="377">
        <f t="shared" si="149"/>
        <v>0</v>
      </c>
      <c r="Z381" s="377">
        <f t="shared" si="150"/>
        <v>0</v>
      </c>
      <c r="AA381" s="377">
        <f t="shared" si="151"/>
        <v>0</v>
      </c>
      <c r="AB381" s="377">
        <f t="shared" si="152"/>
        <v>0</v>
      </c>
      <c r="AC381" s="377">
        <f t="shared" si="153"/>
        <v>0</v>
      </c>
      <c r="AD381" s="376"/>
      <c r="AE381" s="332">
        <v>366</v>
      </c>
      <c r="AF381" s="350">
        <v>125939538.43742642</v>
      </c>
      <c r="AG381" s="350">
        <v>126972494.59124097</v>
      </c>
      <c r="AH381" s="350">
        <v>127962168.37368375</v>
      </c>
      <c r="AI381" s="350">
        <v>128954193.89290079</v>
      </c>
      <c r="AJ381" s="350">
        <v>129951652.68219714</v>
      </c>
      <c r="AK381" s="348">
        <v>639780047.97744906</v>
      </c>
      <c r="AL381" s="369"/>
      <c r="AM381" s="350">
        <v>153978024.79639116</v>
      </c>
      <c r="AN381" s="350">
        <v>183618945.38977465</v>
      </c>
      <c r="AO381" s="350">
        <v>213649326.03483003</v>
      </c>
      <c r="AP381" s="350">
        <v>244126537.38613808</v>
      </c>
      <c r="AQ381" s="350">
        <v>275058678.70799917</v>
      </c>
      <c r="AR381" s="348">
        <v>1070431512.3151331</v>
      </c>
      <c r="AS381" s="369"/>
      <c r="AT381" s="350">
        <f t="shared" si="171"/>
        <v>28038486.358964741</v>
      </c>
      <c r="AU381" s="350">
        <f t="shared" si="154"/>
        <v>56646450.798533678</v>
      </c>
      <c r="AV381" s="350">
        <f t="shared" si="155"/>
        <v>85687157.661146283</v>
      </c>
      <c r="AW381" s="350">
        <f t="shared" si="156"/>
        <v>115172343.49323729</v>
      </c>
      <c r="AX381" s="350">
        <f t="shared" si="157"/>
        <v>145107026.02580202</v>
      </c>
      <c r="AY381" s="350">
        <f t="shared" si="158"/>
        <v>430651464.33768404</v>
      </c>
      <c r="AZ381" s="365"/>
      <c r="BA381" s="377">
        <f t="shared" si="159"/>
        <v>0</v>
      </c>
      <c r="BB381" s="377">
        <f t="shared" si="160"/>
        <v>0</v>
      </c>
      <c r="BC381" s="377">
        <f t="shared" si="161"/>
        <v>0</v>
      </c>
      <c r="BD381" s="377">
        <f t="shared" si="162"/>
        <v>0</v>
      </c>
      <c r="BE381" s="377">
        <f t="shared" si="163"/>
        <v>0</v>
      </c>
      <c r="BF381" s="377">
        <f t="shared" si="164"/>
        <v>0</v>
      </c>
      <c r="BG381" s="328"/>
    </row>
    <row r="382" spans="2:59">
      <c r="B382" s="332">
        <v>367</v>
      </c>
      <c r="C382" s="350">
        <v>137758896.36896226</v>
      </c>
      <c r="D382" s="350">
        <v>138888794.90212011</v>
      </c>
      <c r="E382" s="350">
        <v>139971349.03663719</v>
      </c>
      <c r="F382" s="350">
        <v>141056475.61715975</v>
      </c>
      <c r="G382" s="350">
        <v>142147545.37723559</v>
      </c>
      <c r="H382" s="348">
        <v>699823061.30211496</v>
      </c>
      <c r="I382" s="369"/>
      <c r="J382" s="350">
        <v>176943164.51119164</v>
      </c>
      <c r="K382" s="350">
        <v>218040770.73544848</v>
      </c>
      <c r="L382" s="350">
        <v>259695604.01018754</v>
      </c>
      <c r="M382" s="350">
        <v>301973982.51617825</v>
      </c>
      <c r="N382" s="350">
        <v>344886287.45736665</v>
      </c>
      <c r="O382" s="348">
        <v>1301539809.2303724</v>
      </c>
      <c r="P382" s="369"/>
      <c r="Q382" s="350">
        <f t="shared" si="165"/>
        <v>39184268.142229378</v>
      </c>
      <c r="R382" s="350">
        <f t="shared" si="166"/>
        <v>79151975.833328366</v>
      </c>
      <c r="S382" s="350">
        <f t="shared" si="167"/>
        <v>119724254.97355035</v>
      </c>
      <c r="T382" s="350">
        <f t="shared" si="168"/>
        <v>160917506.8990185</v>
      </c>
      <c r="U382" s="350">
        <f t="shared" si="169"/>
        <v>202738742.08013105</v>
      </c>
      <c r="V382" s="350">
        <f t="shared" si="170"/>
        <v>601716747.92825747</v>
      </c>
      <c r="W382" s="365"/>
      <c r="X382" s="377">
        <f t="shared" si="148"/>
        <v>0</v>
      </c>
      <c r="Y382" s="377">
        <f t="shared" si="149"/>
        <v>0</v>
      </c>
      <c r="Z382" s="377">
        <f t="shared" si="150"/>
        <v>0</v>
      </c>
      <c r="AA382" s="377">
        <f t="shared" si="151"/>
        <v>0</v>
      </c>
      <c r="AB382" s="377">
        <f t="shared" si="152"/>
        <v>0</v>
      </c>
      <c r="AC382" s="377">
        <f t="shared" si="153"/>
        <v>0</v>
      </c>
      <c r="AD382" s="376"/>
      <c r="AE382" s="332">
        <v>367</v>
      </c>
      <c r="AF382" s="350">
        <v>134174590.68567443</v>
      </c>
      <c r="AG382" s="350">
        <v>135275090.74192303</v>
      </c>
      <c r="AH382" s="350">
        <v>136329478.23864698</v>
      </c>
      <c r="AI382" s="350">
        <v>137386371.24970743</v>
      </c>
      <c r="AJ382" s="350">
        <v>138449052.80658931</v>
      </c>
      <c r="AK382" s="348">
        <v>681614583.72254109</v>
      </c>
      <c r="AL382" s="369"/>
      <c r="AM382" s="350">
        <v>168138182.21829629</v>
      </c>
      <c r="AN382" s="350">
        <v>203869066.53737128</v>
      </c>
      <c r="AO382" s="350">
        <v>240077669.0635668</v>
      </c>
      <c r="AP382" s="350">
        <v>276826823.30976152</v>
      </c>
      <c r="AQ382" s="350">
        <v>314125886.87254286</v>
      </c>
      <c r="AR382" s="348">
        <v>1203037628.0015388</v>
      </c>
      <c r="AS382" s="369"/>
      <c r="AT382" s="350">
        <f t="shared" si="171"/>
        <v>33963591.532621861</v>
      </c>
      <c r="AU382" s="350">
        <f t="shared" si="154"/>
        <v>68593975.795448244</v>
      </c>
      <c r="AV382" s="350">
        <f t="shared" si="155"/>
        <v>103748190.82491982</v>
      </c>
      <c r="AW382" s="350">
        <f t="shared" si="156"/>
        <v>139440452.06005409</v>
      </c>
      <c r="AX382" s="350">
        <f t="shared" si="157"/>
        <v>175676834.06595355</v>
      </c>
      <c r="AY382" s="350">
        <f t="shared" si="158"/>
        <v>521423044.27899766</v>
      </c>
      <c r="AZ382" s="365"/>
      <c r="BA382" s="377">
        <f t="shared" si="159"/>
        <v>0</v>
      </c>
      <c r="BB382" s="377">
        <f t="shared" si="160"/>
        <v>0</v>
      </c>
      <c r="BC382" s="377">
        <f t="shared" si="161"/>
        <v>0</v>
      </c>
      <c r="BD382" s="377">
        <f t="shared" si="162"/>
        <v>0</v>
      </c>
      <c r="BE382" s="377">
        <f t="shared" si="163"/>
        <v>0</v>
      </c>
      <c r="BF382" s="377">
        <f t="shared" si="164"/>
        <v>0</v>
      </c>
      <c r="BG382" s="328"/>
    </row>
    <row r="383" spans="2:59">
      <c r="B383" s="332">
        <v>368</v>
      </c>
      <c r="C383" s="350">
        <v>119338301.61825219</v>
      </c>
      <c r="D383" s="350">
        <v>120317114.4245545</v>
      </c>
      <c r="E383" s="350">
        <v>121254913.54481655</v>
      </c>
      <c r="F383" s="350">
        <v>122194941.13340542</v>
      </c>
      <c r="G383" s="350">
        <v>123140117.2022218</v>
      </c>
      <c r="H383" s="348">
        <v>606245387.92325044</v>
      </c>
      <c r="I383" s="369"/>
      <c r="J383" s="350">
        <v>152808128.72700566</v>
      </c>
      <c r="K383" s="350">
        <v>187913716.54670882</v>
      </c>
      <c r="L383" s="350">
        <v>223494503.61538035</v>
      </c>
      <c r="M383" s="350">
        <v>259607740.85324007</v>
      </c>
      <c r="N383" s="350">
        <v>296262334.50191176</v>
      </c>
      <c r="O383" s="348">
        <v>1120086424.2442465</v>
      </c>
      <c r="P383" s="369"/>
      <c r="Q383" s="350">
        <f t="shared" si="165"/>
        <v>33469827.108753473</v>
      </c>
      <c r="R383" s="350">
        <f t="shared" si="166"/>
        <v>67596602.122154325</v>
      </c>
      <c r="S383" s="350">
        <f t="shared" si="167"/>
        <v>102239590.07056379</v>
      </c>
      <c r="T383" s="350">
        <f t="shared" si="168"/>
        <v>137412799.71983466</v>
      </c>
      <c r="U383" s="350">
        <f t="shared" si="169"/>
        <v>173122217.29968995</v>
      </c>
      <c r="V383" s="350">
        <f t="shared" si="170"/>
        <v>513841036.32099605</v>
      </c>
      <c r="W383" s="365"/>
      <c r="X383" s="377">
        <f t="shared" si="148"/>
        <v>0</v>
      </c>
      <c r="Y383" s="377">
        <f t="shared" si="149"/>
        <v>0</v>
      </c>
      <c r="Z383" s="377">
        <f t="shared" si="150"/>
        <v>0</v>
      </c>
      <c r="AA383" s="377">
        <f t="shared" si="151"/>
        <v>0</v>
      </c>
      <c r="AB383" s="377">
        <f t="shared" si="152"/>
        <v>0</v>
      </c>
      <c r="AC383" s="377">
        <f t="shared" si="153"/>
        <v>0</v>
      </c>
      <c r="AD383" s="376"/>
      <c r="AE383" s="332">
        <v>368</v>
      </c>
      <c r="AF383" s="350">
        <v>115528394.99926394</v>
      </c>
      <c r="AG383" s="350">
        <v>116475958.94967578</v>
      </c>
      <c r="AH383" s="350">
        <v>117383818.58674496</v>
      </c>
      <c r="AI383" s="350">
        <v>118293835.5477044</v>
      </c>
      <c r="AJ383" s="350">
        <v>119208836.62230794</v>
      </c>
      <c r="AK383" s="348">
        <v>586890844.70569706</v>
      </c>
      <c r="AL383" s="369"/>
      <c r="AM383" s="350">
        <v>154826224.82018873</v>
      </c>
      <c r="AN383" s="350">
        <v>195817900.13185927</v>
      </c>
      <c r="AO383" s="350">
        <v>237375580.07177308</v>
      </c>
      <c r="AP383" s="350">
        <v>279557572.95589012</v>
      </c>
      <c r="AQ383" s="350">
        <v>322373730.34326774</v>
      </c>
      <c r="AR383" s="348">
        <v>1189951008.322979</v>
      </c>
      <c r="AS383" s="369"/>
      <c r="AT383" s="350">
        <f t="shared" si="171"/>
        <v>39297829.820924789</v>
      </c>
      <c r="AU383" s="350">
        <f t="shared" si="154"/>
        <v>79341941.182183489</v>
      </c>
      <c r="AV383" s="350">
        <f t="shared" si="155"/>
        <v>119991761.48502812</v>
      </c>
      <c r="AW383" s="350">
        <f t="shared" si="156"/>
        <v>161263737.40818572</v>
      </c>
      <c r="AX383" s="350">
        <f t="shared" si="157"/>
        <v>203164893.72095978</v>
      </c>
      <c r="AY383" s="350">
        <f t="shared" si="158"/>
        <v>603060163.61728191</v>
      </c>
      <c r="AZ383" s="365"/>
      <c r="BA383" s="377">
        <f t="shared" si="159"/>
        <v>0</v>
      </c>
      <c r="BB383" s="377">
        <f t="shared" si="160"/>
        <v>0</v>
      </c>
      <c r="BC383" s="377">
        <f t="shared" si="161"/>
        <v>0</v>
      </c>
      <c r="BD383" s="377">
        <f t="shared" si="162"/>
        <v>0</v>
      </c>
      <c r="BE383" s="377">
        <f t="shared" si="163"/>
        <v>0</v>
      </c>
      <c r="BF383" s="377">
        <f t="shared" si="164"/>
        <v>0</v>
      </c>
      <c r="BG383" s="328"/>
    </row>
    <row r="384" spans="2:59">
      <c r="B384" s="332">
        <v>369</v>
      </c>
      <c r="C384" s="350">
        <v>143178029.32055357</v>
      </c>
      <c r="D384" s="350">
        <v>144352375.58474272</v>
      </c>
      <c r="E384" s="350">
        <v>145477515.02544969</v>
      </c>
      <c r="F384" s="350">
        <v>146605328.10654789</v>
      </c>
      <c r="G384" s="350">
        <v>147739318.15885285</v>
      </c>
      <c r="H384" s="348">
        <v>727352566.19614673</v>
      </c>
      <c r="I384" s="369"/>
      <c r="J384" s="350">
        <v>179953962.07841817</v>
      </c>
      <c r="K384" s="350">
        <v>218627252.42283961</v>
      </c>
      <c r="L384" s="350">
        <v>257818557.96977389</v>
      </c>
      <c r="M384" s="350">
        <v>297595151.7815398</v>
      </c>
      <c r="N384" s="350">
        <v>337967114.90933973</v>
      </c>
      <c r="O384" s="348">
        <v>1291962039.1619112</v>
      </c>
      <c r="P384" s="369"/>
      <c r="Q384" s="350">
        <f t="shared" si="165"/>
        <v>36775932.757864594</v>
      </c>
      <c r="R384" s="350">
        <f t="shared" si="166"/>
        <v>74274876.838096887</v>
      </c>
      <c r="S384" s="350">
        <f t="shared" si="167"/>
        <v>112341042.9443242</v>
      </c>
      <c r="T384" s="350">
        <f t="shared" si="168"/>
        <v>150989823.67499191</v>
      </c>
      <c r="U384" s="350">
        <f t="shared" si="169"/>
        <v>190227796.75048688</v>
      </c>
      <c r="V384" s="350">
        <f t="shared" si="170"/>
        <v>564609472.96576452</v>
      </c>
      <c r="W384" s="365"/>
      <c r="X384" s="377">
        <f t="shared" si="148"/>
        <v>0</v>
      </c>
      <c r="Y384" s="377">
        <f t="shared" si="149"/>
        <v>0</v>
      </c>
      <c r="Z384" s="377">
        <f t="shared" si="150"/>
        <v>0</v>
      </c>
      <c r="AA384" s="377">
        <f t="shared" si="151"/>
        <v>0</v>
      </c>
      <c r="AB384" s="377">
        <f t="shared" si="152"/>
        <v>0</v>
      </c>
      <c r="AC384" s="377">
        <f t="shared" si="153"/>
        <v>0</v>
      </c>
      <c r="AD384" s="376"/>
      <c r="AE384" s="332">
        <v>369</v>
      </c>
      <c r="AF384" s="350">
        <v>125986713.35657954</v>
      </c>
      <c r="AG384" s="350">
        <v>127020056.43910328</v>
      </c>
      <c r="AH384" s="350">
        <v>128010100.93737729</v>
      </c>
      <c r="AI384" s="350">
        <v>129002498.05334818</v>
      </c>
      <c r="AJ384" s="350">
        <v>130000330.47461374</v>
      </c>
      <c r="AK384" s="348">
        <v>640019699.26102209</v>
      </c>
      <c r="AL384" s="369"/>
      <c r="AM384" s="350">
        <v>157507004.70827231</v>
      </c>
      <c r="AN384" s="350">
        <v>190711356.90275162</v>
      </c>
      <c r="AO384" s="350">
        <v>224359054.69835824</v>
      </c>
      <c r="AP384" s="350">
        <v>258508943.8665109</v>
      </c>
      <c r="AQ384" s="350">
        <v>293169749.53121638</v>
      </c>
      <c r="AR384" s="348">
        <v>1124256109.7071095</v>
      </c>
      <c r="AS384" s="369"/>
      <c r="AT384" s="350">
        <f t="shared" si="171"/>
        <v>31520291.351692766</v>
      </c>
      <c r="AU384" s="350">
        <f t="shared" si="154"/>
        <v>63691300.463648349</v>
      </c>
      <c r="AV384" s="350">
        <f t="shared" si="155"/>
        <v>96348953.760980949</v>
      </c>
      <c r="AW384" s="350">
        <f t="shared" si="156"/>
        <v>129506445.81316271</v>
      </c>
      <c r="AX384" s="350">
        <f t="shared" si="157"/>
        <v>163169419.05660266</v>
      </c>
      <c r="AY384" s="350">
        <f t="shared" si="158"/>
        <v>484236410.44608736</v>
      </c>
      <c r="AZ384" s="365"/>
      <c r="BA384" s="377">
        <f t="shared" si="159"/>
        <v>0</v>
      </c>
      <c r="BB384" s="377">
        <f t="shared" si="160"/>
        <v>0</v>
      </c>
      <c r="BC384" s="377">
        <f t="shared" si="161"/>
        <v>0</v>
      </c>
      <c r="BD384" s="377">
        <f t="shared" si="162"/>
        <v>0</v>
      </c>
      <c r="BE384" s="377">
        <f t="shared" si="163"/>
        <v>0</v>
      </c>
      <c r="BF384" s="377">
        <f t="shared" si="164"/>
        <v>0</v>
      </c>
      <c r="BG384" s="328"/>
    </row>
    <row r="385" spans="2:59">
      <c r="B385" s="332">
        <v>370</v>
      </c>
      <c r="C385" s="350">
        <v>116152819.32855472</v>
      </c>
      <c r="D385" s="350">
        <v>117105504.80761066</v>
      </c>
      <c r="E385" s="350">
        <v>118018271.37379429</v>
      </c>
      <c r="F385" s="350">
        <v>118933206.92407966</v>
      </c>
      <c r="G385" s="350">
        <v>119853153.52685675</v>
      </c>
      <c r="H385" s="348">
        <v>590062955.96089613</v>
      </c>
      <c r="I385" s="369"/>
      <c r="J385" s="350">
        <v>151229385.85950804</v>
      </c>
      <c r="K385" s="350">
        <v>187932430.9582943</v>
      </c>
      <c r="L385" s="350">
        <v>225136322.16485935</v>
      </c>
      <c r="M385" s="350">
        <v>262897827.82500249</v>
      </c>
      <c r="N385" s="350">
        <v>301226061.36682075</v>
      </c>
      <c r="O385" s="348">
        <v>1128422028.174485</v>
      </c>
      <c r="P385" s="369"/>
      <c r="Q385" s="350">
        <f t="shared" si="165"/>
        <v>35076566.530953318</v>
      </c>
      <c r="R385" s="350">
        <f t="shared" si="166"/>
        <v>70826926.150683641</v>
      </c>
      <c r="S385" s="350">
        <f t="shared" si="167"/>
        <v>107118050.79106507</v>
      </c>
      <c r="T385" s="350">
        <f t="shared" si="168"/>
        <v>143964620.90092283</v>
      </c>
      <c r="U385" s="350">
        <f t="shared" si="169"/>
        <v>181372907.839964</v>
      </c>
      <c r="V385" s="350">
        <f t="shared" si="170"/>
        <v>538359072.21358883</v>
      </c>
      <c r="W385" s="365"/>
      <c r="X385" s="377">
        <f t="shared" si="148"/>
        <v>0</v>
      </c>
      <c r="Y385" s="377">
        <f t="shared" si="149"/>
        <v>0</v>
      </c>
      <c r="Z385" s="377">
        <f t="shared" si="150"/>
        <v>0</v>
      </c>
      <c r="AA385" s="377">
        <f t="shared" si="151"/>
        <v>0</v>
      </c>
      <c r="AB385" s="377">
        <f t="shared" si="152"/>
        <v>0</v>
      </c>
      <c r="AC385" s="377">
        <f t="shared" si="153"/>
        <v>0</v>
      </c>
      <c r="AD385" s="376"/>
      <c r="AE385" s="332">
        <v>370</v>
      </c>
      <c r="AF385" s="350">
        <v>127945358.50237828</v>
      </c>
      <c r="AG385" s="350">
        <v>128994766.393314</v>
      </c>
      <c r="AH385" s="350">
        <v>130000202.56106652</v>
      </c>
      <c r="AI385" s="350">
        <v>131008027.92135081</v>
      </c>
      <c r="AJ385" s="350">
        <v>132021373.08658881</v>
      </c>
      <c r="AK385" s="348">
        <v>649969728.46469843</v>
      </c>
      <c r="AL385" s="369"/>
      <c r="AM385" s="350">
        <v>154799902.22935879</v>
      </c>
      <c r="AN385" s="350">
        <v>183235654.77897698</v>
      </c>
      <c r="AO385" s="350">
        <v>212041692.72458857</v>
      </c>
      <c r="AP385" s="350">
        <v>241275617.18794399</v>
      </c>
      <c r="AQ385" s="350">
        <v>270945362.55502963</v>
      </c>
      <c r="AR385" s="348">
        <v>1062298229.475898</v>
      </c>
      <c r="AS385" s="369"/>
      <c r="AT385" s="350">
        <f t="shared" si="171"/>
        <v>26854543.726980507</v>
      </c>
      <c r="AU385" s="350">
        <f t="shared" si="154"/>
        <v>54240888.385662973</v>
      </c>
      <c r="AV385" s="350">
        <f t="shared" si="155"/>
        <v>82041490.16352205</v>
      </c>
      <c r="AW385" s="350">
        <f t="shared" si="156"/>
        <v>110267589.26659319</v>
      </c>
      <c r="AX385" s="350">
        <f t="shared" si="157"/>
        <v>138923989.46844083</v>
      </c>
      <c r="AY385" s="350">
        <f t="shared" si="158"/>
        <v>412328501.01119959</v>
      </c>
      <c r="AZ385" s="365"/>
      <c r="BA385" s="377">
        <f t="shared" si="159"/>
        <v>0</v>
      </c>
      <c r="BB385" s="377">
        <f t="shared" si="160"/>
        <v>0</v>
      </c>
      <c r="BC385" s="377">
        <f t="shared" si="161"/>
        <v>0</v>
      </c>
      <c r="BD385" s="377">
        <f t="shared" si="162"/>
        <v>0</v>
      </c>
      <c r="BE385" s="377">
        <f t="shared" si="163"/>
        <v>0</v>
      </c>
      <c r="BF385" s="377">
        <f t="shared" si="164"/>
        <v>0</v>
      </c>
      <c r="BG385" s="328"/>
    </row>
    <row r="386" spans="2:59">
      <c r="B386" s="332">
        <v>371</v>
      </c>
      <c r="C386" s="350">
        <v>124832342.13006201</v>
      </c>
      <c r="D386" s="350">
        <v>125856217.05924001</v>
      </c>
      <c r="E386" s="350">
        <v>126837190.13362071</v>
      </c>
      <c r="F386" s="350">
        <v>127820494.26950322</v>
      </c>
      <c r="G386" s="350">
        <v>128809183.90892056</v>
      </c>
      <c r="H386" s="348">
        <v>634155427.50134647</v>
      </c>
      <c r="I386" s="369"/>
      <c r="J386" s="350">
        <v>154825878.94299313</v>
      </c>
      <c r="K386" s="350">
        <v>186436372.24062511</v>
      </c>
      <c r="L386" s="350">
        <v>218466629.05241767</v>
      </c>
      <c r="M386" s="350">
        <v>250974436.30498847</v>
      </c>
      <c r="N386" s="350">
        <v>283968213.58638722</v>
      </c>
      <c r="O386" s="348">
        <v>1094671530.1274116</v>
      </c>
      <c r="P386" s="369"/>
      <c r="Q386" s="350">
        <f t="shared" si="165"/>
        <v>29993536.81293112</v>
      </c>
      <c r="R386" s="350">
        <f t="shared" si="166"/>
        <v>60580155.1813851</v>
      </c>
      <c r="S386" s="350">
        <f t="shared" si="167"/>
        <v>91629438.918796957</v>
      </c>
      <c r="T386" s="350">
        <f t="shared" si="168"/>
        <v>123153942.03548525</v>
      </c>
      <c r="U386" s="350">
        <f t="shared" si="169"/>
        <v>155159029.67746666</v>
      </c>
      <c r="V386" s="350">
        <f t="shared" si="170"/>
        <v>460516102.62606514</v>
      </c>
      <c r="W386" s="365"/>
      <c r="X386" s="377">
        <f t="shared" si="148"/>
        <v>0</v>
      </c>
      <c r="Y386" s="377">
        <f t="shared" si="149"/>
        <v>0</v>
      </c>
      <c r="Z386" s="377">
        <f t="shared" si="150"/>
        <v>0</v>
      </c>
      <c r="AA386" s="377">
        <f t="shared" si="151"/>
        <v>0</v>
      </c>
      <c r="AB386" s="377">
        <f t="shared" si="152"/>
        <v>0</v>
      </c>
      <c r="AC386" s="377">
        <f t="shared" si="153"/>
        <v>0</v>
      </c>
      <c r="AD386" s="376"/>
      <c r="AE386" s="332">
        <v>371</v>
      </c>
      <c r="AF386" s="350">
        <v>138272429.25666052</v>
      </c>
      <c r="AG386" s="350">
        <v>139406539.78680608</v>
      </c>
      <c r="AH386" s="350">
        <v>140493129.42948595</v>
      </c>
      <c r="AI386" s="350">
        <v>141582301.10764718</v>
      </c>
      <c r="AJ386" s="350">
        <v>142677438.12014264</v>
      </c>
      <c r="AK386" s="348">
        <v>702431837.70074224</v>
      </c>
      <c r="AL386" s="369"/>
      <c r="AM386" s="350">
        <v>169091674.30385512</v>
      </c>
      <c r="AN386" s="350">
        <v>201659386.14332935</v>
      </c>
      <c r="AO386" s="350">
        <v>234655056.55318433</v>
      </c>
      <c r="AP386" s="350">
        <v>268141688.34770361</v>
      </c>
      <c r="AQ386" s="350">
        <v>302128178.4269402</v>
      </c>
      <c r="AR386" s="348">
        <v>1175675983.7750125</v>
      </c>
      <c r="AS386" s="369"/>
      <c r="AT386" s="350">
        <f t="shared" si="171"/>
        <v>30819245.0471946</v>
      </c>
      <c r="AU386" s="350">
        <f t="shared" si="154"/>
        <v>62252846.356523275</v>
      </c>
      <c r="AV386" s="350">
        <f t="shared" si="155"/>
        <v>94161927.123698384</v>
      </c>
      <c r="AW386" s="350">
        <f t="shared" si="156"/>
        <v>126559387.24005643</v>
      </c>
      <c r="AX386" s="350">
        <f t="shared" si="157"/>
        <v>159450740.30679756</v>
      </c>
      <c r="AY386" s="350">
        <f t="shared" si="158"/>
        <v>473244146.07427025</v>
      </c>
      <c r="AZ386" s="365"/>
      <c r="BA386" s="377">
        <f t="shared" si="159"/>
        <v>0</v>
      </c>
      <c r="BB386" s="377">
        <f t="shared" si="160"/>
        <v>0</v>
      </c>
      <c r="BC386" s="377">
        <f t="shared" si="161"/>
        <v>0</v>
      </c>
      <c r="BD386" s="377">
        <f t="shared" si="162"/>
        <v>0</v>
      </c>
      <c r="BE386" s="377">
        <f t="shared" si="163"/>
        <v>0</v>
      </c>
      <c r="BF386" s="377">
        <f t="shared" si="164"/>
        <v>0</v>
      </c>
      <c r="BG386" s="328"/>
    </row>
    <row r="387" spans="2:59">
      <c r="B387" s="332">
        <v>372</v>
      </c>
      <c r="C387" s="350">
        <v>131145377.82504091</v>
      </c>
      <c r="D387" s="350">
        <v>132221032.27597427</v>
      </c>
      <c r="E387" s="350">
        <v>133251615.23453011</v>
      </c>
      <c r="F387" s="350">
        <v>134284647.14130053</v>
      </c>
      <c r="G387" s="350">
        <v>135323336.90791562</v>
      </c>
      <c r="H387" s="348">
        <v>666226009.38476145</v>
      </c>
      <c r="I387" s="369"/>
      <c r="J387" s="350">
        <v>167328830.8404876</v>
      </c>
      <c r="K387" s="350">
        <v>205316955.35168269</v>
      </c>
      <c r="L387" s="350">
        <v>243818367.35107905</v>
      </c>
      <c r="M387" s="350">
        <v>282895732.87573779</v>
      </c>
      <c r="N387" s="350">
        <v>322558735.28183377</v>
      </c>
      <c r="O387" s="348">
        <v>1221918621.7008209</v>
      </c>
      <c r="P387" s="369"/>
      <c r="Q387" s="350">
        <f t="shared" si="165"/>
        <v>36183453.015446693</v>
      </c>
      <c r="R387" s="350">
        <f t="shared" si="166"/>
        <v>73095923.075708419</v>
      </c>
      <c r="S387" s="350">
        <f t="shared" si="167"/>
        <v>110566752.11654894</v>
      </c>
      <c r="T387" s="350">
        <f t="shared" si="168"/>
        <v>148611085.73443726</v>
      </c>
      <c r="U387" s="350">
        <f t="shared" si="169"/>
        <v>187235398.37391815</v>
      </c>
      <c r="V387" s="350">
        <f t="shared" si="170"/>
        <v>555692612.31605947</v>
      </c>
      <c r="W387" s="365"/>
      <c r="X387" s="377">
        <f t="shared" si="148"/>
        <v>0</v>
      </c>
      <c r="Y387" s="377">
        <f t="shared" si="149"/>
        <v>0</v>
      </c>
      <c r="Z387" s="377">
        <f t="shared" si="150"/>
        <v>0</v>
      </c>
      <c r="AA387" s="377">
        <f t="shared" si="151"/>
        <v>0</v>
      </c>
      <c r="AB387" s="377">
        <f t="shared" si="152"/>
        <v>0</v>
      </c>
      <c r="AC387" s="377">
        <f t="shared" si="153"/>
        <v>0</v>
      </c>
      <c r="AD387" s="376"/>
      <c r="AE387" s="332">
        <v>372</v>
      </c>
      <c r="AF387" s="350">
        <v>157062313.51472524</v>
      </c>
      <c r="AG387" s="350">
        <v>158350538.68444028</v>
      </c>
      <c r="AH387" s="350">
        <v>159584785.33822298</v>
      </c>
      <c r="AI387" s="350">
        <v>160821964.9011074</v>
      </c>
      <c r="AJ387" s="350">
        <v>162065920.42950028</v>
      </c>
      <c r="AK387" s="348">
        <v>797885522.86799622</v>
      </c>
      <c r="AL387" s="369"/>
      <c r="AM387" s="350">
        <v>189208068.61628225</v>
      </c>
      <c r="AN387" s="350">
        <v>223305802.3377018</v>
      </c>
      <c r="AO387" s="350">
        <v>257845860.23421443</v>
      </c>
      <c r="AP387" s="350">
        <v>292898610.12978935</v>
      </c>
      <c r="AQ387" s="350">
        <v>328473649.50012118</v>
      </c>
      <c r="AR387" s="348">
        <v>1291731990.818109</v>
      </c>
      <c r="AS387" s="369"/>
      <c r="AT387" s="350">
        <f t="shared" si="171"/>
        <v>32145755.101557016</v>
      </c>
      <c r="AU387" s="350">
        <f t="shared" si="154"/>
        <v>64955263.653261513</v>
      </c>
      <c r="AV387" s="350">
        <f t="shared" si="155"/>
        <v>98261074.895991445</v>
      </c>
      <c r="AW387" s="350">
        <f t="shared" si="156"/>
        <v>132076645.22868195</v>
      </c>
      <c r="AX387" s="350">
        <f t="shared" si="157"/>
        <v>166407729.07062089</v>
      </c>
      <c r="AY387" s="350">
        <f t="shared" si="158"/>
        <v>493846467.95011282</v>
      </c>
      <c r="AZ387" s="365"/>
      <c r="BA387" s="377">
        <f t="shared" si="159"/>
        <v>0</v>
      </c>
      <c r="BB387" s="377">
        <f t="shared" si="160"/>
        <v>0</v>
      </c>
      <c r="BC387" s="377">
        <f t="shared" si="161"/>
        <v>0</v>
      </c>
      <c r="BD387" s="377">
        <f t="shared" si="162"/>
        <v>0</v>
      </c>
      <c r="BE387" s="377">
        <f t="shared" si="163"/>
        <v>0</v>
      </c>
      <c r="BF387" s="377">
        <f t="shared" si="164"/>
        <v>0</v>
      </c>
      <c r="BG387" s="328"/>
    </row>
    <row r="388" spans="2:59">
      <c r="B388" s="332">
        <v>373</v>
      </c>
      <c r="C388" s="350">
        <v>122407678.06078923</v>
      </c>
      <c r="D388" s="350">
        <v>123411665.89412454</v>
      </c>
      <c r="E388" s="350">
        <v>124373585.17102145</v>
      </c>
      <c r="F388" s="350">
        <v>125337790.23236319</v>
      </c>
      <c r="G388" s="350">
        <v>126307276.19264211</v>
      </c>
      <c r="H388" s="348">
        <v>621837995.55094051</v>
      </c>
      <c r="I388" s="369"/>
      <c r="J388" s="350">
        <v>154419644.79143342</v>
      </c>
      <c r="K388" s="350">
        <v>188063384.39577845</v>
      </c>
      <c r="L388" s="350">
        <v>222158774.91779819</v>
      </c>
      <c r="M388" s="350">
        <v>256763569.24764341</v>
      </c>
      <c r="N388" s="350">
        <v>291886487.90098643</v>
      </c>
      <c r="O388" s="348">
        <v>1113291861.2536399</v>
      </c>
      <c r="P388" s="369"/>
      <c r="Q388" s="350">
        <f t="shared" si="165"/>
        <v>32011966.730644196</v>
      </c>
      <c r="R388" s="350">
        <f t="shared" si="166"/>
        <v>64651718.50165391</v>
      </c>
      <c r="S388" s="350">
        <f t="shared" si="167"/>
        <v>97785189.746776745</v>
      </c>
      <c r="T388" s="350">
        <f t="shared" si="168"/>
        <v>131425779.01528022</v>
      </c>
      <c r="U388" s="350">
        <f t="shared" si="169"/>
        <v>165579211.70834434</v>
      </c>
      <c r="V388" s="350">
        <f t="shared" si="170"/>
        <v>491453865.70269942</v>
      </c>
      <c r="W388" s="365"/>
      <c r="X388" s="377">
        <f t="shared" si="148"/>
        <v>0</v>
      </c>
      <c r="Y388" s="377">
        <f t="shared" si="149"/>
        <v>0</v>
      </c>
      <c r="Z388" s="377">
        <f t="shared" si="150"/>
        <v>0</v>
      </c>
      <c r="AA388" s="377">
        <f t="shared" si="151"/>
        <v>0</v>
      </c>
      <c r="AB388" s="377">
        <f t="shared" si="152"/>
        <v>0</v>
      </c>
      <c r="AC388" s="377">
        <f t="shared" si="153"/>
        <v>0</v>
      </c>
      <c r="AD388" s="376"/>
      <c r="AE388" s="332">
        <v>373</v>
      </c>
      <c r="AF388" s="350">
        <v>145342014.41798091</v>
      </c>
      <c r="AG388" s="350">
        <v>146534109.68896252</v>
      </c>
      <c r="AH388" s="350">
        <v>147676254.42715657</v>
      </c>
      <c r="AI388" s="350">
        <v>148821113.21500009</v>
      </c>
      <c r="AJ388" s="350">
        <v>149972242.3324638</v>
      </c>
      <c r="AK388" s="348">
        <v>738345734.08156395</v>
      </c>
      <c r="AL388" s="369"/>
      <c r="AM388" s="350">
        <v>189625645.634983</v>
      </c>
      <c r="AN388" s="350">
        <v>235974418.71006447</v>
      </c>
      <c r="AO388" s="350">
        <v>282956297.93885398</v>
      </c>
      <c r="AP388" s="350">
        <v>330642482.99119359</v>
      </c>
      <c r="AQ388" s="350">
        <v>379044451.06132972</v>
      </c>
      <c r="AR388" s="348">
        <v>1418243296.3364248</v>
      </c>
      <c r="AS388" s="369"/>
      <c r="AT388" s="350">
        <f t="shared" si="171"/>
        <v>44283631.217002094</v>
      </c>
      <c r="AU388" s="350">
        <f t="shared" si="154"/>
        <v>89440309.021101952</v>
      </c>
      <c r="AV388" s="350">
        <f t="shared" si="155"/>
        <v>135280043.51169741</v>
      </c>
      <c r="AW388" s="350">
        <f t="shared" si="156"/>
        <v>181821369.7761935</v>
      </c>
      <c r="AX388" s="350">
        <f t="shared" si="157"/>
        <v>229072208.72886592</v>
      </c>
      <c r="AY388" s="350">
        <f t="shared" si="158"/>
        <v>679897562.25486088</v>
      </c>
      <c r="AZ388" s="365"/>
      <c r="BA388" s="377">
        <f t="shared" si="159"/>
        <v>0</v>
      </c>
      <c r="BB388" s="377">
        <f t="shared" si="160"/>
        <v>0</v>
      </c>
      <c r="BC388" s="377">
        <f t="shared" si="161"/>
        <v>0</v>
      </c>
      <c r="BD388" s="377">
        <f t="shared" si="162"/>
        <v>0</v>
      </c>
      <c r="BE388" s="377">
        <f t="shared" si="163"/>
        <v>0</v>
      </c>
      <c r="BF388" s="377">
        <f t="shared" si="164"/>
        <v>0</v>
      </c>
      <c r="BG388" s="328"/>
    </row>
    <row r="389" spans="2:59">
      <c r="B389" s="332">
        <v>374</v>
      </c>
      <c r="C389" s="350">
        <v>131451667.31460172</v>
      </c>
      <c r="D389" s="350">
        <v>132529833.95207332</v>
      </c>
      <c r="E389" s="350">
        <v>133562823.83288257</v>
      </c>
      <c r="F389" s="350">
        <v>134598268.38141495</v>
      </c>
      <c r="G389" s="350">
        <v>135639384.00370029</v>
      </c>
      <c r="H389" s="348">
        <v>667781977.4846729</v>
      </c>
      <c r="I389" s="369"/>
      <c r="J389" s="350">
        <v>164864767.8916682</v>
      </c>
      <c r="K389" s="350">
        <v>200012874.60953799</v>
      </c>
      <c r="L389" s="350">
        <v>235631158.26646256</v>
      </c>
      <c r="M389" s="350">
        <v>271781235.36568606</v>
      </c>
      <c r="N389" s="350">
        <v>308472298.55057484</v>
      </c>
      <c r="O389" s="348">
        <v>1180762334.6839297</v>
      </c>
      <c r="P389" s="369"/>
      <c r="Q389" s="350">
        <f t="shared" si="165"/>
        <v>33413100.577066481</v>
      </c>
      <c r="R389" s="350">
        <f t="shared" si="166"/>
        <v>67483040.657464668</v>
      </c>
      <c r="S389" s="350">
        <f t="shared" si="167"/>
        <v>102068334.43358</v>
      </c>
      <c r="T389" s="350">
        <f t="shared" si="168"/>
        <v>137182966.98427111</v>
      </c>
      <c r="U389" s="350">
        <f t="shared" si="169"/>
        <v>172832914.54687455</v>
      </c>
      <c r="V389" s="350">
        <f t="shared" si="170"/>
        <v>512980357.19925678</v>
      </c>
      <c r="W389" s="365"/>
      <c r="X389" s="377">
        <f t="shared" si="148"/>
        <v>0</v>
      </c>
      <c r="Y389" s="377">
        <f t="shared" si="149"/>
        <v>0</v>
      </c>
      <c r="Z389" s="377">
        <f t="shared" si="150"/>
        <v>0</v>
      </c>
      <c r="AA389" s="377">
        <f t="shared" si="151"/>
        <v>0</v>
      </c>
      <c r="AB389" s="377">
        <f t="shared" si="152"/>
        <v>0</v>
      </c>
      <c r="AC389" s="377">
        <f t="shared" si="153"/>
        <v>0</v>
      </c>
      <c r="AD389" s="376"/>
      <c r="AE389" s="332">
        <v>374</v>
      </c>
      <c r="AF389" s="350">
        <v>106428683.39891894</v>
      </c>
      <c r="AG389" s="350">
        <v>107301611.51048189</v>
      </c>
      <c r="AH389" s="350">
        <v>108137962.65934804</v>
      </c>
      <c r="AI389" s="350">
        <v>108976301.20829278</v>
      </c>
      <c r="AJ389" s="350">
        <v>109819231.29209834</v>
      </c>
      <c r="AK389" s="348">
        <v>540663790.06913996</v>
      </c>
      <c r="AL389" s="369"/>
      <c r="AM389" s="350">
        <v>134233382.38240856</v>
      </c>
      <c r="AN389" s="350">
        <v>163451599.27759629</v>
      </c>
      <c r="AO389" s="350">
        <v>193061997.07641429</v>
      </c>
      <c r="AP389" s="350">
        <v>223114777.48638016</v>
      </c>
      <c r="AQ389" s="350">
        <v>253617516.85021996</v>
      </c>
      <c r="AR389" s="348">
        <v>967479273.07301927</v>
      </c>
      <c r="AS389" s="369"/>
      <c r="AT389" s="350">
        <f t="shared" si="171"/>
        <v>27804698.983489618</v>
      </c>
      <c r="AU389" s="350">
        <f t="shared" si="154"/>
        <v>56149987.767114401</v>
      </c>
      <c r="AV389" s="350">
        <f t="shared" si="155"/>
        <v>84924034.417066246</v>
      </c>
      <c r="AW389" s="350">
        <f t="shared" si="156"/>
        <v>114138476.27808738</v>
      </c>
      <c r="AX389" s="350">
        <f t="shared" si="157"/>
        <v>143798285.55812162</v>
      </c>
      <c r="AY389" s="350">
        <f t="shared" si="158"/>
        <v>426815483.00387931</v>
      </c>
      <c r="AZ389" s="365"/>
      <c r="BA389" s="377">
        <f t="shared" si="159"/>
        <v>0</v>
      </c>
      <c r="BB389" s="377">
        <f t="shared" si="160"/>
        <v>0</v>
      </c>
      <c r="BC389" s="377">
        <f t="shared" si="161"/>
        <v>0</v>
      </c>
      <c r="BD389" s="377">
        <f t="shared" si="162"/>
        <v>0</v>
      </c>
      <c r="BE389" s="377">
        <f t="shared" si="163"/>
        <v>0</v>
      </c>
      <c r="BF389" s="377">
        <f t="shared" si="164"/>
        <v>0</v>
      </c>
      <c r="BG389" s="328"/>
    </row>
    <row r="390" spans="2:59">
      <c r="B390" s="332">
        <v>375</v>
      </c>
      <c r="C390" s="350">
        <v>138380630.45360735</v>
      </c>
      <c r="D390" s="350">
        <v>139515628.45002145</v>
      </c>
      <c r="E390" s="350">
        <v>140603068.3728371</v>
      </c>
      <c r="F390" s="350">
        <v>141693092.35163334</v>
      </c>
      <c r="G390" s="350">
        <v>142789086.3327682</v>
      </c>
      <c r="H390" s="348">
        <v>702981505.9608674</v>
      </c>
      <c r="I390" s="369"/>
      <c r="J390" s="350">
        <v>176439082.72693402</v>
      </c>
      <c r="K390" s="350">
        <v>216397003.62629235</v>
      </c>
      <c r="L390" s="350">
        <v>256894622.95307416</v>
      </c>
      <c r="M390" s="350">
        <v>297998013.13761246</v>
      </c>
      <c r="N390" s="350">
        <v>339717369.71697694</v>
      </c>
      <c r="O390" s="348">
        <v>1287446092.1608899</v>
      </c>
      <c r="P390" s="369"/>
      <c r="Q390" s="350">
        <f t="shared" si="165"/>
        <v>38058452.273326665</v>
      </c>
      <c r="R390" s="350">
        <f t="shared" si="166"/>
        <v>76881375.176270902</v>
      </c>
      <c r="S390" s="350">
        <f t="shared" si="167"/>
        <v>116291554.58023706</v>
      </c>
      <c r="T390" s="350">
        <f t="shared" si="168"/>
        <v>156304920.78597912</v>
      </c>
      <c r="U390" s="350">
        <f t="shared" si="169"/>
        <v>196928283.38420874</v>
      </c>
      <c r="V390" s="350">
        <f t="shared" si="170"/>
        <v>584464586.20002246</v>
      </c>
      <c r="W390" s="365"/>
      <c r="X390" s="377">
        <f t="shared" si="148"/>
        <v>0</v>
      </c>
      <c r="Y390" s="377">
        <f t="shared" si="149"/>
        <v>0</v>
      </c>
      <c r="Z390" s="377">
        <f t="shared" si="150"/>
        <v>0</v>
      </c>
      <c r="AA390" s="377">
        <f t="shared" si="151"/>
        <v>0</v>
      </c>
      <c r="AB390" s="377">
        <f t="shared" si="152"/>
        <v>0</v>
      </c>
      <c r="AC390" s="377">
        <f t="shared" si="153"/>
        <v>0</v>
      </c>
      <c r="AD390" s="376"/>
      <c r="AE390" s="332">
        <v>375</v>
      </c>
      <c r="AF390" s="350">
        <v>130191868.15202159</v>
      </c>
      <c r="AG390" s="350">
        <v>131259701.91616596</v>
      </c>
      <c r="AH390" s="350">
        <v>132282791.88613057</v>
      </c>
      <c r="AI390" s="350">
        <v>133308312.99891056</v>
      </c>
      <c r="AJ390" s="350">
        <v>134339450.83532301</v>
      </c>
      <c r="AK390" s="348">
        <v>661382125.78855169</v>
      </c>
      <c r="AL390" s="369"/>
      <c r="AM390" s="350">
        <v>159124862.49881008</v>
      </c>
      <c r="AN390" s="350">
        <v>189692909.39244217</v>
      </c>
      <c r="AO390" s="350">
        <v>220662442.2005907</v>
      </c>
      <c r="AP390" s="350">
        <v>252092745.7010788</v>
      </c>
      <c r="AQ390" s="350">
        <v>283992180.16764122</v>
      </c>
      <c r="AR390" s="348">
        <v>1105565139.9605629</v>
      </c>
      <c r="AS390" s="369"/>
      <c r="AT390" s="350">
        <f t="shared" si="171"/>
        <v>28932994.346788496</v>
      </c>
      <c r="AU390" s="350">
        <f t="shared" si="154"/>
        <v>58433207.476276204</v>
      </c>
      <c r="AV390" s="350">
        <f t="shared" si="155"/>
        <v>88379650.314460129</v>
      </c>
      <c r="AW390" s="350">
        <f t="shared" si="156"/>
        <v>118784432.70216824</v>
      </c>
      <c r="AX390" s="350">
        <f t="shared" si="157"/>
        <v>149652729.33231822</v>
      </c>
      <c r="AY390" s="350">
        <f t="shared" si="158"/>
        <v>444183014.17201126</v>
      </c>
      <c r="AZ390" s="365"/>
      <c r="BA390" s="377">
        <f t="shared" si="159"/>
        <v>0</v>
      </c>
      <c r="BB390" s="377">
        <f t="shared" si="160"/>
        <v>0</v>
      </c>
      <c r="BC390" s="377">
        <f t="shared" si="161"/>
        <v>0</v>
      </c>
      <c r="BD390" s="377">
        <f t="shared" si="162"/>
        <v>0</v>
      </c>
      <c r="BE390" s="377">
        <f t="shared" si="163"/>
        <v>0</v>
      </c>
      <c r="BF390" s="377">
        <f t="shared" si="164"/>
        <v>0</v>
      </c>
      <c r="BG390" s="328"/>
    </row>
    <row r="391" spans="2:59">
      <c r="B391" s="332">
        <v>376</v>
      </c>
      <c r="C391" s="350">
        <v>141299042.25983626</v>
      </c>
      <c r="D391" s="350">
        <v>142457977.07126498</v>
      </c>
      <c r="E391" s="350">
        <v>143568350.82158896</v>
      </c>
      <c r="F391" s="350">
        <v>144681363.12496763</v>
      </c>
      <c r="G391" s="350">
        <v>145800471.33649454</v>
      </c>
      <c r="H391" s="348">
        <v>717807204.61415231</v>
      </c>
      <c r="I391" s="369"/>
      <c r="J391" s="350">
        <v>175285175.44147384</v>
      </c>
      <c r="K391" s="350">
        <v>211133625.98636898</v>
      </c>
      <c r="L391" s="350">
        <v>247458257.39571017</v>
      </c>
      <c r="M391" s="350">
        <v>284324496.16598511</v>
      </c>
      <c r="N391" s="350">
        <v>321741883.76667511</v>
      </c>
      <c r="O391" s="348">
        <v>1239943438.7562132</v>
      </c>
      <c r="P391" s="369"/>
      <c r="Q391" s="350">
        <f t="shared" si="165"/>
        <v>33986133.181637585</v>
      </c>
      <c r="R391" s="350">
        <f t="shared" si="166"/>
        <v>68675648.915104002</v>
      </c>
      <c r="S391" s="350">
        <f t="shared" si="167"/>
        <v>103889906.57412121</v>
      </c>
      <c r="T391" s="350">
        <f t="shared" si="168"/>
        <v>139643133.04101747</v>
      </c>
      <c r="U391" s="350">
        <f t="shared" si="169"/>
        <v>175941412.43018058</v>
      </c>
      <c r="V391" s="350">
        <f t="shared" si="170"/>
        <v>522136234.14206088</v>
      </c>
      <c r="W391" s="365"/>
      <c r="X391" s="377">
        <f t="shared" si="148"/>
        <v>0</v>
      </c>
      <c r="Y391" s="377">
        <f t="shared" si="149"/>
        <v>0</v>
      </c>
      <c r="Z391" s="377">
        <f t="shared" si="150"/>
        <v>0</v>
      </c>
      <c r="AA391" s="377">
        <f t="shared" si="151"/>
        <v>0</v>
      </c>
      <c r="AB391" s="377">
        <f t="shared" si="152"/>
        <v>0</v>
      </c>
      <c r="AC391" s="377">
        <f t="shared" si="153"/>
        <v>0</v>
      </c>
      <c r="AD391" s="376"/>
      <c r="AE391" s="332">
        <v>376</v>
      </c>
      <c r="AF391" s="350">
        <v>149654873.78486174</v>
      </c>
      <c r="AG391" s="350">
        <v>150882343.13040981</v>
      </c>
      <c r="AH391" s="350">
        <v>152058379.71778578</v>
      </c>
      <c r="AI391" s="350">
        <v>153237210.89115521</v>
      </c>
      <c r="AJ391" s="350">
        <v>154422498.45906156</v>
      </c>
      <c r="AK391" s="348">
        <v>760255305.98327398</v>
      </c>
      <c r="AL391" s="369"/>
      <c r="AM391" s="350">
        <v>187449520.95479757</v>
      </c>
      <c r="AN391" s="350">
        <v>227216612.06241804</v>
      </c>
      <c r="AO391" s="350">
        <v>267515234.9842279</v>
      </c>
      <c r="AP391" s="350">
        <v>308415436.15417838</v>
      </c>
      <c r="AQ391" s="350">
        <v>349927637.60325348</v>
      </c>
      <c r="AR391" s="348">
        <v>1340524441.7588754</v>
      </c>
      <c r="AS391" s="369"/>
      <c r="AT391" s="350">
        <f t="shared" si="171"/>
        <v>37794647.169935822</v>
      </c>
      <c r="AU391" s="350">
        <f t="shared" si="154"/>
        <v>76334268.932008237</v>
      </c>
      <c r="AV391" s="350">
        <f t="shared" si="155"/>
        <v>115456855.26644212</v>
      </c>
      <c r="AW391" s="350">
        <f t="shared" si="156"/>
        <v>155178225.26302317</v>
      </c>
      <c r="AX391" s="350">
        <f t="shared" si="157"/>
        <v>195505139.14419192</v>
      </c>
      <c r="AY391" s="350">
        <f t="shared" si="158"/>
        <v>580269135.77560139</v>
      </c>
      <c r="AZ391" s="365"/>
      <c r="BA391" s="377">
        <f t="shared" si="159"/>
        <v>0</v>
      </c>
      <c r="BB391" s="377">
        <f t="shared" si="160"/>
        <v>0</v>
      </c>
      <c r="BC391" s="377">
        <f t="shared" si="161"/>
        <v>0</v>
      </c>
      <c r="BD391" s="377">
        <f t="shared" si="162"/>
        <v>0</v>
      </c>
      <c r="BE391" s="377">
        <f t="shared" si="163"/>
        <v>0</v>
      </c>
      <c r="BF391" s="377">
        <f t="shared" si="164"/>
        <v>0</v>
      </c>
      <c r="BG391" s="328"/>
    </row>
    <row r="392" spans="2:59">
      <c r="B392" s="332">
        <v>377</v>
      </c>
      <c r="C392" s="350">
        <v>124347011.10135835</v>
      </c>
      <c r="D392" s="350">
        <v>125366905.34520945</v>
      </c>
      <c r="E392" s="350">
        <v>126344064.53079182</v>
      </c>
      <c r="F392" s="350">
        <v>127323545.71502852</v>
      </c>
      <c r="G392" s="350">
        <v>128308391.46470076</v>
      </c>
      <c r="H392" s="348">
        <v>631689918.15708899</v>
      </c>
      <c r="I392" s="369"/>
      <c r="J392" s="350">
        <v>158446330.96300295</v>
      </c>
      <c r="K392" s="350">
        <v>194231688.00860262</v>
      </c>
      <c r="L392" s="350">
        <v>230500182.47290137</v>
      </c>
      <c r="M392" s="350">
        <v>267311143.47667363</v>
      </c>
      <c r="N392" s="350">
        <v>304673711.92159152</v>
      </c>
      <c r="O392" s="348">
        <v>1155163056.842772</v>
      </c>
      <c r="P392" s="369"/>
      <c r="Q392" s="350">
        <f t="shared" si="165"/>
        <v>34099319.861644596</v>
      </c>
      <c r="R392" s="350">
        <f t="shared" si="166"/>
        <v>68864782.66339317</v>
      </c>
      <c r="S392" s="350">
        <f t="shared" si="167"/>
        <v>104156117.94210956</v>
      </c>
      <c r="T392" s="350">
        <f t="shared" si="168"/>
        <v>139987597.76164511</v>
      </c>
      <c r="U392" s="350">
        <f t="shared" si="169"/>
        <v>176365320.45689076</v>
      </c>
      <c r="V392" s="350">
        <f t="shared" si="170"/>
        <v>523473138.68568301</v>
      </c>
      <c r="W392" s="365"/>
      <c r="X392" s="377">
        <f t="shared" si="148"/>
        <v>0</v>
      </c>
      <c r="Y392" s="377">
        <f t="shared" si="149"/>
        <v>0</v>
      </c>
      <c r="Z392" s="377">
        <f t="shared" si="150"/>
        <v>0</v>
      </c>
      <c r="AA392" s="377">
        <f t="shared" si="151"/>
        <v>0</v>
      </c>
      <c r="AB392" s="377">
        <f t="shared" si="152"/>
        <v>0</v>
      </c>
      <c r="AC392" s="377">
        <f t="shared" si="153"/>
        <v>0</v>
      </c>
      <c r="AD392" s="376"/>
      <c r="AE392" s="332">
        <v>377</v>
      </c>
      <c r="AF392" s="350">
        <v>140559780.7004483</v>
      </c>
      <c r="AG392" s="350">
        <v>141712652.08821738</v>
      </c>
      <c r="AH392" s="350">
        <v>142817216.48118803</v>
      </c>
      <c r="AI392" s="350">
        <v>143924405.62258446</v>
      </c>
      <c r="AJ392" s="350">
        <v>145037658.7789861</v>
      </c>
      <c r="AK392" s="348">
        <v>714051713.67142427</v>
      </c>
      <c r="AL392" s="369"/>
      <c r="AM392" s="350">
        <v>179799061.55854952</v>
      </c>
      <c r="AN392" s="350">
        <v>220961716.23405951</v>
      </c>
      <c r="AO392" s="350">
        <v>262681265.33111358</v>
      </c>
      <c r="AP392" s="350">
        <v>305025064.17573357</v>
      </c>
      <c r="AQ392" s="350">
        <v>348003570.20459914</v>
      </c>
      <c r="AR392" s="348">
        <v>1316470677.5040553</v>
      </c>
      <c r="AS392" s="369"/>
      <c r="AT392" s="350">
        <f t="shared" si="171"/>
        <v>39239280.858101219</v>
      </c>
      <c r="AU392" s="350">
        <f t="shared" si="154"/>
        <v>79249064.145842135</v>
      </c>
      <c r="AV392" s="350">
        <f t="shared" si="155"/>
        <v>119864048.84992555</v>
      </c>
      <c r="AW392" s="350">
        <f t="shared" si="156"/>
        <v>161100658.5531491</v>
      </c>
      <c r="AX392" s="350">
        <f t="shared" si="157"/>
        <v>202965911.42561305</v>
      </c>
      <c r="AY392" s="350">
        <f t="shared" si="158"/>
        <v>602418963.83263099</v>
      </c>
      <c r="AZ392" s="365"/>
      <c r="BA392" s="377">
        <f t="shared" si="159"/>
        <v>0</v>
      </c>
      <c r="BB392" s="377">
        <f t="shared" si="160"/>
        <v>0</v>
      </c>
      <c r="BC392" s="377">
        <f t="shared" si="161"/>
        <v>0</v>
      </c>
      <c r="BD392" s="377">
        <f t="shared" si="162"/>
        <v>0</v>
      </c>
      <c r="BE392" s="377">
        <f t="shared" si="163"/>
        <v>0</v>
      </c>
      <c r="BF392" s="377">
        <f t="shared" si="164"/>
        <v>0</v>
      </c>
      <c r="BG392" s="328"/>
    </row>
    <row r="393" spans="2:59">
      <c r="B393" s="332">
        <v>378</v>
      </c>
      <c r="C393" s="350">
        <v>130941052.25179645</v>
      </c>
      <c r="D393" s="350">
        <v>132015030.82428145</v>
      </c>
      <c r="E393" s="350">
        <v>133044008.12614329</v>
      </c>
      <c r="F393" s="350">
        <v>134075430.56073843</v>
      </c>
      <c r="G393" s="350">
        <v>135112502.04018617</v>
      </c>
      <c r="H393" s="348">
        <v>665188023.80314589</v>
      </c>
      <c r="I393" s="369"/>
      <c r="J393" s="350">
        <v>162032413.69499725</v>
      </c>
      <c r="K393" s="350">
        <v>194818127.1762839</v>
      </c>
      <c r="L393" s="350">
        <v>228038526.29867029</v>
      </c>
      <c r="M393" s="350">
        <v>261754071.28848737</v>
      </c>
      <c r="N393" s="350">
        <v>295973528.43149984</v>
      </c>
      <c r="O393" s="348">
        <v>1142616666.8899388</v>
      </c>
      <c r="P393" s="369"/>
      <c r="Q393" s="350">
        <f t="shared" si="165"/>
        <v>31091361.443200797</v>
      </c>
      <c r="R393" s="350">
        <f t="shared" si="166"/>
        <v>62803096.352002442</v>
      </c>
      <c r="S393" s="350">
        <f t="shared" si="167"/>
        <v>94994518.172527</v>
      </c>
      <c r="T393" s="350">
        <f t="shared" si="168"/>
        <v>127678640.72774895</v>
      </c>
      <c r="U393" s="350">
        <f t="shared" si="169"/>
        <v>160861026.39131367</v>
      </c>
      <c r="V393" s="350">
        <f t="shared" si="170"/>
        <v>477428643.08679295</v>
      </c>
      <c r="W393" s="365"/>
      <c r="X393" s="377">
        <f t="shared" si="148"/>
        <v>0</v>
      </c>
      <c r="Y393" s="377">
        <f t="shared" si="149"/>
        <v>0</v>
      </c>
      <c r="Z393" s="377">
        <f t="shared" si="150"/>
        <v>0</v>
      </c>
      <c r="AA393" s="377">
        <f t="shared" si="151"/>
        <v>0</v>
      </c>
      <c r="AB393" s="377">
        <f t="shared" si="152"/>
        <v>0</v>
      </c>
      <c r="AC393" s="377">
        <f t="shared" si="153"/>
        <v>0</v>
      </c>
      <c r="AD393" s="376"/>
      <c r="AE393" s="332">
        <v>378</v>
      </c>
      <c r="AF393" s="350">
        <v>136789128.12197673</v>
      </c>
      <c r="AG393" s="350">
        <v>137911072.61551425</v>
      </c>
      <c r="AH393" s="350">
        <v>138986005.99628717</v>
      </c>
      <c r="AI393" s="350">
        <v>140063493.71406114</v>
      </c>
      <c r="AJ393" s="350">
        <v>141146882.77375066</v>
      </c>
      <c r="AK393" s="348">
        <v>694896583.22158992</v>
      </c>
      <c r="AL393" s="369"/>
      <c r="AM393" s="350">
        <v>171033196.0500358</v>
      </c>
      <c r="AN393" s="350">
        <v>207087117.59979397</v>
      </c>
      <c r="AO393" s="350">
        <v>243622428.01572618</v>
      </c>
      <c r="AP393" s="350">
        <v>280703026.44719058</v>
      </c>
      <c r="AQ393" s="350">
        <v>318338387.01159841</v>
      </c>
      <c r="AR393" s="348">
        <v>1220784155.1243448</v>
      </c>
      <c r="AS393" s="369"/>
      <c r="AT393" s="350">
        <f t="shared" si="171"/>
        <v>34244067.928059071</v>
      </c>
      <c r="AU393" s="350">
        <f t="shared" si="154"/>
        <v>69176044.984279722</v>
      </c>
      <c r="AV393" s="350">
        <f t="shared" si="155"/>
        <v>104636422.01943901</v>
      </c>
      <c r="AW393" s="350">
        <f t="shared" si="156"/>
        <v>140639532.73312944</v>
      </c>
      <c r="AX393" s="350">
        <f t="shared" si="157"/>
        <v>177191504.23784775</v>
      </c>
      <c r="AY393" s="350">
        <f t="shared" si="158"/>
        <v>525887571.9027549</v>
      </c>
      <c r="AZ393" s="365"/>
      <c r="BA393" s="377">
        <f t="shared" si="159"/>
        <v>0</v>
      </c>
      <c r="BB393" s="377">
        <f t="shared" si="160"/>
        <v>0</v>
      </c>
      <c r="BC393" s="377">
        <f t="shared" si="161"/>
        <v>0</v>
      </c>
      <c r="BD393" s="377">
        <f t="shared" si="162"/>
        <v>0</v>
      </c>
      <c r="BE393" s="377">
        <f t="shared" si="163"/>
        <v>0</v>
      </c>
      <c r="BF393" s="377">
        <f t="shared" si="164"/>
        <v>0</v>
      </c>
      <c r="BG393" s="328"/>
    </row>
    <row r="394" spans="2:59">
      <c r="B394" s="332">
        <v>379</v>
      </c>
      <c r="C394" s="350">
        <v>120428590.31468257</v>
      </c>
      <c r="D394" s="350">
        <v>121416345.66938855</v>
      </c>
      <c r="E394" s="350">
        <v>122362712.63221648</v>
      </c>
      <c r="F394" s="350">
        <v>123311328.42291878</v>
      </c>
      <c r="G394" s="350">
        <v>124265139.73096672</v>
      </c>
      <c r="H394" s="348">
        <v>611784116.77017307</v>
      </c>
      <c r="I394" s="369"/>
      <c r="J394" s="350">
        <v>152189430.0524278</v>
      </c>
      <c r="K394" s="350">
        <v>185558756.05771005</v>
      </c>
      <c r="L394" s="350">
        <v>219376506.82911903</v>
      </c>
      <c r="M394" s="350">
        <v>253699612.90862375</v>
      </c>
      <c r="N394" s="350">
        <v>288536701.1473161</v>
      </c>
      <c r="O394" s="348">
        <v>1099361006.9951968</v>
      </c>
      <c r="P394" s="369"/>
      <c r="Q394" s="350">
        <f t="shared" si="165"/>
        <v>31760839.737745225</v>
      </c>
      <c r="R394" s="350">
        <f t="shared" si="166"/>
        <v>64142410.388321504</v>
      </c>
      <c r="S394" s="350">
        <f t="shared" si="167"/>
        <v>97013794.196902543</v>
      </c>
      <c r="T394" s="350">
        <f t="shared" si="168"/>
        <v>130388284.48570497</v>
      </c>
      <c r="U394" s="350">
        <f t="shared" si="169"/>
        <v>164271561.41634938</v>
      </c>
      <c r="V394" s="350">
        <f t="shared" si="170"/>
        <v>487576890.22502375</v>
      </c>
      <c r="W394" s="365"/>
      <c r="X394" s="377">
        <f t="shared" si="148"/>
        <v>0</v>
      </c>
      <c r="Y394" s="377">
        <f t="shared" si="149"/>
        <v>0</v>
      </c>
      <c r="Z394" s="377">
        <f t="shared" si="150"/>
        <v>0</v>
      </c>
      <c r="AA394" s="377">
        <f t="shared" si="151"/>
        <v>0</v>
      </c>
      <c r="AB394" s="377">
        <f t="shared" si="152"/>
        <v>0</v>
      </c>
      <c r="AC394" s="377">
        <f t="shared" si="153"/>
        <v>0</v>
      </c>
      <c r="AD394" s="376"/>
      <c r="AE394" s="332">
        <v>379</v>
      </c>
      <c r="AF394" s="350">
        <v>166243998.42922884</v>
      </c>
      <c r="AG394" s="350">
        <v>167607531.78295422</v>
      </c>
      <c r="AH394" s="350">
        <v>168913931.0978573</v>
      </c>
      <c r="AI394" s="350">
        <v>170223434.77640554</v>
      </c>
      <c r="AJ394" s="350">
        <v>171540110.5357295</v>
      </c>
      <c r="AK394" s="348">
        <v>844529006.62217546</v>
      </c>
      <c r="AL394" s="369"/>
      <c r="AM394" s="350">
        <v>205213925.9298797</v>
      </c>
      <c r="AN394" s="350">
        <v>246317995.81517273</v>
      </c>
      <c r="AO394" s="350">
        <v>287966062.85637456</v>
      </c>
      <c r="AP394" s="350">
        <v>330234676.60083491</v>
      </c>
      <c r="AQ394" s="350">
        <v>373134875.58399278</v>
      </c>
      <c r="AR394" s="348">
        <v>1442867536.7862546</v>
      </c>
      <c r="AS394" s="369"/>
      <c r="AT394" s="350">
        <f t="shared" si="171"/>
        <v>38969927.500650853</v>
      </c>
      <c r="AU394" s="350">
        <f t="shared" si="154"/>
        <v>78710464.032218516</v>
      </c>
      <c r="AV394" s="350">
        <f t="shared" si="155"/>
        <v>119052131.75851727</v>
      </c>
      <c r="AW394" s="350">
        <f t="shared" si="156"/>
        <v>160011241.82442936</v>
      </c>
      <c r="AX394" s="350">
        <f t="shared" si="157"/>
        <v>201594765.04826328</v>
      </c>
      <c r="AY394" s="350">
        <f t="shared" si="158"/>
        <v>598338530.16407919</v>
      </c>
      <c r="AZ394" s="365"/>
      <c r="BA394" s="377">
        <f t="shared" si="159"/>
        <v>0</v>
      </c>
      <c r="BB394" s="377">
        <f t="shared" si="160"/>
        <v>0</v>
      </c>
      <c r="BC394" s="377">
        <f t="shared" si="161"/>
        <v>0</v>
      </c>
      <c r="BD394" s="377">
        <f t="shared" si="162"/>
        <v>0</v>
      </c>
      <c r="BE394" s="377">
        <f t="shared" si="163"/>
        <v>0</v>
      </c>
      <c r="BF394" s="377">
        <f t="shared" si="164"/>
        <v>0</v>
      </c>
      <c r="BG394" s="328"/>
    </row>
    <row r="395" spans="2:59">
      <c r="B395" s="332">
        <v>380</v>
      </c>
      <c r="C395" s="350">
        <v>149959753.86212701</v>
      </c>
      <c r="D395" s="350">
        <v>151189723.83421296</v>
      </c>
      <c r="E395" s="350">
        <v>152368156.26822299</v>
      </c>
      <c r="F395" s="350">
        <v>153549388.98141617</v>
      </c>
      <c r="G395" s="350">
        <v>154737091.24225</v>
      </c>
      <c r="H395" s="348">
        <v>761804114.18822908</v>
      </c>
      <c r="I395" s="369"/>
      <c r="J395" s="350">
        <v>197083665.56120169</v>
      </c>
      <c r="K395" s="350">
        <v>246362171.82661796</v>
      </c>
      <c r="L395" s="350">
        <v>296315938.52356875</v>
      </c>
      <c r="M395" s="350">
        <v>347019027.12177193</v>
      </c>
      <c r="N395" s="350">
        <v>398483535.16425097</v>
      </c>
      <c r="O395" s="348">
        <v>1485264338.1974111</v>
      </c>
      <c r="P395" s="369"/>
      <c r="Q395" s="350">
        <f t="shared" si="165"/>
        <v>47123911.699074686</v>
      </c>
      <c r="R395" s="350">
        <f t="shared" si="166"/>
        <v>95172447.992404997</v>
      </c>
      <c r="S395" s="350">
        <f t="shared" si="167"/>
        <v>143947782.25534576</v>
      </c>
      <c r="T395" s="350">
        <f t="shared" si="168"/>
        <v>193469638.14035577</v>
      </c>
      <c r="U395" s="350">
        <f t="shared" si="169"/>
        <v>243746443.92200097</v>
      </c>
      <c r="V395" s="350">
        <f t="shared" si="170"/>
        <v>723460224.00918198</v>
      </c>
      <c r="W395" s="365"/>
      <c r="X395" s="377">
        <f t="shared" si="148"/>
        <v>0</v>
      </c>
      <c r="Y395" s="377">
        <f t="shared" si="149"/>
        <v>0</v>
      </c>
      <c r="Z395" s="377">
        <f t="shared" si="150"/>
        <v>0</v>
      </c>
      <c r="AA395" s="377">
        <f t="shared" si="151"/>
        <v>0</v>
      </c>
      <c r="AB395" s="377">
        <f t="shared" si="152"/>
        <v>0</v>
      </c>
      <c r="AC395" s="377">
        <f t="shared" si="153"/>
        <v>0</v>
      </c>
      <c r="AD395" s="376"/>
      <c r="AE395" s="332">
        <v>380</v>
      </c>
      <c r="AF395" s="350">
        <v>153498971.43150249</v>
      </c>
      <c r="AG395" s="350">
        <v>154757970.06776598</v>
      </c>
      <c r="AH395" s="350">
        <v>155964214.82253116</v>
      </c>
      <c r="AI395" s="350">
        <v>157173325.9461937</v>
      </c>
      <c r="AJ395" s="350">
        <v>158389059.30604222</v>
      </c>
      <c r="AK395" s="348">
        <v>779783541.57403553</v>
      </c>
      <c r="AL395" s="369"/>
      <c r="AM395" s="350">
        <v>183819090.38939804</v>
      </c>
      <c r="AN395" s="350">
        <v>216013474.14369076</v>
      </c>
      <c r="AO395" s="350">
        <v>248623052.24215919</v>
      </c>
      <c r="AP395" s="350">
        <v>281716136.51268327</v>
      </c>
      <c r="AQ395" s="350">
        <v>315301908.78710109</v>
      </c>
      <c r="AR395" s="348">
        <v>1245473662.0750325</v>
      </c>
      <c r="AS395" s="369"/>
      <c r="AT395" s="350">
        <f t="shared" si="171"/>
        <v>30320118.957895547</v>
      </c>
      <c r="AU395" s="350">
        <f t="shared" si="154"/>
        <v>61255504.075924784</v>
      </c>
      <c r="AV395" s="350">
        <f t="shared" si="155"/>
        <v>92658837.419628024</v>
      </c>
      <c r="AW395" s="350">
        <f t="shared" si="156"/>
        <v>124542810.56648958</v>
      </c>
      <c r="AX395" s="350">
        <f t="shared" si="157"/>
        <v>156912849.48105887</v>
      </c>
      <c r="AY395" s="350">
        <f t="shared" si="158"/>
        <v>465690120.50099695</v>
      </c>
      <c r="AZ395" s="365"/>
      <c r="BA395" s="377">
        <f t="shared" si="159"/>
        <v>0</v>
      </c>
      <c r="BB395" s="377">
        <f t="shared" si="160"/>
        <v>0</v>
      </c>
      <c r="BC395" s="377">
        <f t="shared" si="161"/>
        <v>0</v>
      </c>
      <c r="BD395" s="377">
        <f t="shared" si="162"/>
        <v>0</v>
      </c>
      <c r="BE395" s="377">
        <f t="shared" si="163"/>
        <v>0</v>
      </c>
      <c r="BF395" s="377">
        <f t="shared" si="164"/>
        <v>0</v>
      </c>
      <c r="BG395" s="328"/>
    </row>
    <row r="396" spans="2:59">
      <c r="B396" s="332">
        <v>381</v>
      </c>
      <c r="C396" s="350">
        <v>117458196.24698603</v>
      </c>
      <c r="D396" s="350">
        <v>118421588.42814417</v>
      </c>
      <c r="E396" s="350">
        <v>119344613.06997588</v>
      </c>
      <c r="F396" s="350">
        <v>120269831.07191508</v>
      </c>
      <c r="G396" s="350">
        <v>121200116.44277713</v>
      </c>
      <c r="H396" s="348">
        <v>596694345.25979829</v>
      </c>
      <c r="I396" s="369"/>
      <c r="J396" s="350">
        <v>145258915.87103856</v>
      </c>
      <c r="K396" s="350">
        <v>174574239.55817607</v>
      </c>
      <c r="L396" s="350">
        <v>204278059.00072601</v>
      </c>
      <c r="M396" s="350">
        <v>234424571.3718619</v>
      </c>
      <c r="N396" s="350">
        <v>265021623.80991542</v>
      </c>
      <c r="O396" s="348">
        <v>1023557409.6117179</v>
      </c>
      <c r="P396" s="369"/>
      <c r="Q396" s="350">
        <f t="shared" si="165"/>
        <v>27800719.624052525</v>
      </c>
      <c r="R396" s="350">
        <f t="shared" si="166"/>
        <v>56152651.130031899</v>
      </c>
      <c r="S396" s="350">
        <f t="shared" si="167"/>
        <v>84933445.930750132</v>
      </c>
      <c r="T396" s="350">
        <f t="shared" si="168"/>
        <v>114154740.29994683</v>
      </c>
      <c r="U396" s="350">
        <f t="shared" si="169"/>
        <v>143821507.3671383</v>
      </c>
      <c r="V396" s="350">
        <f t="shared" si="170"/>
        <v>426863064.35191965</v>
      </c>
      <c r="W396" s="365"/>
      <c r="X396" s="377">
        <f t="shared" si="148"/>
        <v>0</v>
      </c>
      <c r="Y396" s="377">
        <f t="shared" si="149"/>
        <v>0</v>
      </c>
      <c r="Z396" s="377">
        <f t="shared" si="150"/>
        <v>0</v>
      </c>
      <c r="AA396" s="377">
        <f t="shared" si="151"/>
        <v>0</v>
      </c>
      <c r="AB396" s="377">
        <f t="shared" si="152"/>
        <v>0</v>
      </c>
      <c r="AC396" s="377">
        <f t="shared" si="153"/>
        <v>0</v>
      </c>
      <c r="AD396" s="376"/>
      <c r="AE396" s="332">
        <v>381</v>
      </c>
      <c r="AF396" s="350">
        <v>130640038.53777565</v>
      </c>
      <c r="AG396" s="350">
        <v>131711548.19563594</v>
      </c>
      <c r="AH396" s="350">
        <v>132738160.03400145</v>
      </c>
      <c r="AI396" s="350">
        <v>133767211.38410911</v>
      </c>
      <c r="AJ396" s="350">
        <v>134801898.79276803</v>
      </c>
      <c r="AK396" s="348">
        <v>663658856.94429016</v>
      </c>
      <c r="AL396" s="369"/>
      <c r="AM396" s="350">
        <v>162166200.10057893</v>
      </c>
      <c r="AN396" s="350">
        <v>195391849.20562455</v>
      </c>
      <c r="AO396" s="350">
        <v>229058978.93087906</v>
      </c>
      <c r="AP396" s="350">
        <v>263228122.36408272</v>
      </c>
      <c r="AQ396" s="350">
        <v>297908116.04971826</v>
      </c>
      <c r="AR396" s="348">
        <v>1147753266.6508834</v>
      </c>
      <c r="AS396" s="369"/>
      <c r="AT396" s="350">
        <f t="shared" si="171"/>
        <v>31526161.562803283</v>
      </c>
      <c r="AU396" s="350">
        <f t="shared" si="154"/>
        <v>63680301.009988606</v>
      </c>
      <c r="AV396" s="350">
        <f t="shared" si="155"/>
        <v>96320818.896877602</v>
      </c>
      <c r="AW396" s="350">
        <f t="shared" si="156"/>
        <v>129460910.97997361</v>
      </c>
      <c r="AX396" s="350">
        <f t="shared" si="157"/>
        <v>163106217.25695023</v>
      </c>
      <c r="AY396" s="350">
        <f t="shared" si="158"/>
        <v>484094409.70659328</v>
      </c>
      <c r="AZ396" s="365"/>
      <c r="BA396" s="377">
        <f t="shared" si="159"/>
        <v>0</v>
      </c>
      <c r="BB396" s="377">
        <f t="shared" si="160"/>
        <v>0</v>
      </c>
      <c r="BC396" s="377">
        <f t="shared" si="161"/>
        <v>0</v>
      </c>
      <c r="BD396" s="377">
        <f t="shared" si="162"/>
        <v>0</v>
      </c>
      <c r="BE396" s="377">
        <f t="shared" si="163"/>
        <v>0</v>
      </c>
      <c r="BF396" s="377">
        <f t="shared" si="164"/>
        <v>0</v>
      </c>
      <c r="BG396" s="328"/>
    </row>
    <row r="397" spans="2:59">
      <c r="B397" s="332">
        <v>382</v>
      </c>
      <c r="C397" s="350">
        <v>118272117.57797489</v>
      </c>
      <c r="D397" s="350">
        <v>119242185.54227465</v>
      </c>
      <c r="E397" s="350">
        <v>120171606.2421851</v>
      </c>
      <c r="F397" s="350">
        <v>121103235.50099397</v>
      </c>
      <c r="G397" s="350">
        <v>122039967.24283265</v>
      </c>
      <c r="H397" s="348">
        <v>600829112.10626125</v>
      </c>
      <c r="I397" s="369"/>
      <c r="J397" s="350">
        <v>150803344.38030836</v>
      </c>
      <c r="K397" s="350">
        <v>184939884.35699967</v>
      </c>
      <c r="L397" s="350">
        <v>219537462.62536192</v>
      </c>
      <c r="M397" s="350">
        <v>254652550.74198568</v>
      </c>
      <c r="N397" s="350">
        <v>290293860.48718816</v>
      </c>
      <c r="O397" s="348">
        <v>1100227102.5918438</v>
      </c>
      <c r="P397" s="369"/>
      <c r="Q397" s="350">
        <f t="shared" si="165"/>
        <v>32531226.802333474</v>
      </c>
      <c r="R397" s="350">
        <f t="shared" si="166"/>
        <v>65697698.814725012</v>
      </c>
      <c r="S397" s="350">
        <f t="shared" si="167"/>
        <v>99365856.383176818</v>
      </c>
      <c r="T397" s="350">
        <f t="shared" si="168"/>
        <v>133549315.24099171</v>
      </c>
      <c r="U397" s="350">
        <f t="shared" si="169"/>
        <v>168253893.2443555</v>
      </c>
      <c r="V397" s="350">
        <f t="shared" si="170"/>
        <v>499397990.48558259</v>
      </c>
      <c r="W397" s="365"/>
      <c r="X397" s="377">
        <f t="shared" si="148"/>
        <v>0</v>
      </c>
      <c r="Y397" s="377">
        <f t="shared" si="149"/>
        <v>0</v>
      </c>
      <c r="Z397" s="377">
        <f t="shared" si="150"/>
        <v>0</v>
      </c>
      <c r="AA397" s="377">
        <f t="shared" si="151"/>
        <v>0</v>
      </c>
      <c r="AB397" s="377">
        <f t="shared" si="152"/>
        <v>0</v>
      </c>
      <c r="AC397" s="377">
        <f t="shared" si="153"/>
        <v>0</v>
      </c>
      <c r="AD397" s="376"/>
      <c r="AE397" s="332">
        <v>382</v>
      </c>
      <c r="AF397" s="350">
        <v>119241080.56856319</v>
      </c>
      <c r="AG397" s="350">
        <v>120219095.96776995</v>
      </c>
      <c r="AH397" s="350">
        <v>121156131.09345832</v>
      </c>
      <c r="AI397" s="350">
        <v>122095392.87201256</v>
      </c>
      <c r="AJ397" s="350">
        <v>123039798.93649411</v>
      </c>
      <c r="AK397" s="348">
        <v>605751499.43829823</v>
      </c>
      <c r="AL397" s="369"/>
      <c r="AM397" s="350">
        <v>156817578.22525868</v>
      </c>
      <c r="AN397" s="350">
        <v>196099712.75824007</v>
      </c>
      <c r="AO397" s="350">
        <v>235920263.25417161</v>
      </c>
      <c r="AP397" s="350">
        <v>276338163.69663846</v>
      </c>
      <c r="AQ397" s="350">
        <v>317363050.92889297</v>
      </c>
      <c r="AR397" s="348">
        <v>1182538768.8632019</v>
      </c>
      <c r="AS397" s="369"/>
      <c r="AT397" s="350">
        <f t="shared" si="171"/>
        <v>37576497.656695485</v>
      </c>
      <c r="AU397" s="350">
        <f t="shared" si="154"/>
        <v>75880616.790470123</v>
      </c>
      <c r="AV397" s="350">
        <f t="shared" si="155"/>
        <v>114764132.16071329</v>
      </c>
      <c r="AW397" s="350">
        <f t="shared" si="156"/>
        <v>154242770.82462591</v>
      </c>
      <c r="AX397" s="350">
        <f t="shared" si="157"/>
        <v>194323251.99239886</v>
      </c>
      <c r="AY397" s="350">
        <f t="shared" si="158"/>
        <v>576787269.42490363</v>
      </c>
      <c r="AZ397" s="365"/>
      <c r="BA397" s="377">
        <f t="shared" si="159"/>
        <v>0</v>
      </c>
      <c r="BB397" s="377">
        <f t="shared" si="160"/>
        <v>0</v>
      </c>
      <c r="BC397" s="377">
        <f t="shared" si="161"/>
        <v>0</v>
      </c>
      <c r="BD397" s="377">
        <f t="shared" si="162"/>
        <v>0</v>
      </c>
      <c r="BE397" s="377">
        <f t="shared" si="163"/>
        <v>0</v>
      </c>
      <c r="BF397" s="377">
        <f t="shared" si="164"/>
        <v>0</v>
      </c>
      <c r="BG397" s="328"/>
    </row>
    <row r="398" spans="2:59">
      <c r="B398" s="332">
        <v>383</v>
      </c>
      <c r="C398" s="350">
        <v>147537976.12567228</v>
      </c>
      <c r="D398" s="350">
        <v>148748082.67561868</v>
      </c>
      <c r="E398" s="350">
        <v>149907483.99388534</v>
      </c>
      <c r="F398" s="350">
        <v>151069640.36817622</v>
      </c>
      <c r="G398" s="350">
        <v>152238161.81003198</v>
      </c>
      <c r="H398" s="348">
        <v>749501344.9733845</v>
      </c>
      <c r="I398" s="369"/>
      <c r="J398" s="350">
        <v>178771557.23904085</v>
      </c>
      <c r="K398" s="350">
        <v>211829422.88910216</v>
      </c>
      <c r="L398" s="350">
        <v>245318323.61021078</v>
      </c>
      <c r="M398" s="350">
        <v>279304792.53959918</v>
      </c>
      <c r="N398" s="350">
        <v>313798026.12729305</v>
      </c>
      <c r="O398" s="348">
        <v>1229022122.405246</v>
      </c>
      <c r="P398" s="369"/>
      <c r="Q398" s="350">
        <f t="shared" si="165"/>
        <v>31233581.113368571</v>
      </c>
      <c r="R398" s="350">
        <f t="shared" si="166"/>
        <v>63081340.213483483</v>
      </c>
      <c r="S398" s="350">
        <f t="shared" si="167"/>
        <v>95410839.616325438</v>
      </c>
      <c r="T398" s="350">
        <f t="shared" si="168"/>
        <v>128235152.17142296</v>
      </c>
      <c r="U398" s="350">
        <f t="shared" si="169"/>
        <v>161559864.31726107</v>
      </c>
      <c r="V398" s="350">
        <f t="shared" si="170"/>
        <v>479520777.43186152</v>
      </c>
      <c r="W398" s="365"/>
      <c r="X398" s="377">
        <f t="shared" si="148"/>
        <v>0</v>
      </c>
      <c r="Y398" s="377">
        <f t="shared" si="149"/>
        <v>0</v>
      </c>
      <c r="Z398" s="377">
        <f t="shared" si="150"/>
        <v>0</v>
      </c>
      <c r="AA398" s="377">
        <f t="shared" si="151"/>
        <v>0</v>
      </c>
      <c r="AB398" s="377">
        <f t="shared" si="152"/>
        <v>0</v>
      </c>
      <c r="AC398" s="377">
        <f t="shared" si="153"/>
        <v>0</v>
      </c>
      <c r="AD398" s="376"/>
      <c r="AE398" s="332">
        <v>383</v>
      </c>
      <c r="AF398" s="350">
        <v>107245368.61821264</v>
      </c>
      <c r="AG398" s="350">
        <v>108124995.18233046</v>
      </c>
      <c r="AH398" s="350">
        <v>108967764.10880694</v>
      </c>
      <c r="AI398" s="350">
        <v>109812535.68576464</v>
      </c>
      <c r="AJ398" s="350">
        <v>110661934.03092943</v>
      </c>
      <c r="AK398" s="348">
        <v>544812597.62604415</v>
      </c>
      <c r="AL398" s="369"/>
      <c r="AM398" s="350">
        <v>138418812.2330786</v>
      </c>
      <c r="AN398" s="350">
        <v>171082994.91550848</v>
      </c>
      <c r="AO398" s="350">
        <v>204191103.36194697</v>
      </c>
      <c r="AP398" s="350">
        <v>237795045.43480411</v>
      </c>
      <c r="AQ398" s="350">
        <v>271903020.64668226</v>
      </c>
      <c r="AR398" s="348">
        <v>1023390976.5920204</v>
      </c>
      <c r="AS398" s="369"/>
      <c r="AT398" s="350">
        <f t="shared" si="171"/>
        <v>31173443.614865959</v>
      </c>
      <c r="AU398" s="350">
        <f t="shared" si="154"/>
        <v>62957999.73317802</v>
      </c>
      <c r="AV398" s="350">
        <f t="shared" si="155"/>
        <v>95223339.253140032</v>
      </c>
      <c r="AW398" s="350">
        <f t="shared" si="156"/>
        <v>127982509.74903947</v>
      </c>
      <c r="AX398" s="350">
        <f t="shared" si="157"/>
        <v>161241086.61575282</v>
      </c>
      <c r="AY398" s="350">
        <f t="shared" si="158"/>
        <v>478578378.96597624</v>
      </c>
      <c r="AZ398" s="365"/>
      <c r="BA398" s="377">
        <f t="shared" si="159"/>
        <v>0</v>
      </c>
      <c r="BB398" s="377">
        <f t="shared" si="160"/>
        <v>0</v>
      </c>
      <c r="BC398" s="377">
        <f t="shared" si="161"/>
        <v>0</v>
      </c>
      <c r="BD398" s="377">
        <f t="shared" si="162"/>
        <v>0</v>
      </c>
      <c r="BE398" s="377">
        <f t="shared" si="163"/>
        <v>0</v>
      </c>
      <c r="BF398" s="377">
        <f t="shared" si="164"/>
        <v>0</v>
      </c>
      <c r="BG398" s="328"/>
    </row>
    <row r="399" spans="2:59">
      <c r="B399" s="332">
        <v>384</v>
      </c>
      <c r="C399" s="350">
        <v>121770453.7654278</v>
      </c>
      <c r="D399" s="350">
        <v>122769215.08479127</v>
      </c>
      <c r="E399" s="350">
        <v>123726126.84628451</v>
      </c>
      <c r="F399" s="350">
        <v>124685312.49299042</v>
      </c>
      <c r="G399" s="350">
        <v>125649751.54757121</v>
      </c>
      <c r="H399" s="348">
        <v>618600859.7370652</v>
      </c>
      <c r="I399" s="369"/>
      <c r="J399" s="350">
        <v>149477789.6542902</v>
      </c>
      <c r="K399" s="350">
        <v>178747430.80755606</v>
      </c>
      <c r="L399" s="350">
        <v>208402866.23389384</v>
      </c>
      <c r="M399" s="350">
        <v>238499817.35152471</v>
      </c>
      <c r="N399" s="350">
        <v>269046222.27270013</v>
      </c>
      <c r="O399" s="348">
        <v>1044174126.3199649</v>
      </c>
      <c r="P399" s="369"/>
      <c r="Q399" s="350">
        <f t="shared" si="165"/>
        <v>27707335.888862401</v>
      </c>
      <c r="R399" s="350">
        <f t="shared" si="166"/>
        <v>55978215.72276479</v>
      </c>
      <c r="S399" s="350">
        <f t="shared" si="167"/>
        <v>84676739.387609333</v>
      </c>
      <c r="T399" s="350">
        <f t="shared" si="168"/>
        <v>113814504.85853429</v>
      </c>
      <c r="U399" s="350">
        <f t="shared" si="169"/>
        <v>143396470.72512892</v>
      </c>
      <c r="V399" s="350">
        <f t="shared" si="170"/>
        <v>425573266.58289969</v>
      </c>
      <c r="W399" s="365"/>
      <c r="X399" s="377">
        <f t="shared" si="148"/>
        <v>0</v>
      </c>
      <c r="Y399" s="377">
        <f t="shared" si="149"/>
        <v>0</v>
      </c>
      <c r="Z399" s="377">
        <f t="shared" si="150"/>
        <v>0</v>
      </c>
      <c r="AA399" s="377">
        <f t="shared" si="151"/>
        <v>0</v>
      </c>
      <c r="AB399" s="377">
        <f t="shared" si="152"/>
        <v>0</v>
      </c>
      <c r="AC399" s="377">
        <f t="shared" si="153"/>
        <v>0</v>
      </c>
      <c r="AD399" s="376"/>
      <c r="AE399" s="332">
        <v>384</v>
      </c>
      <c r="AF399" s="350">
        <v>128721930.31176175</v>
      </c>
      <c r="AG399" s="350">
        <v>129777707.6450453</v>
      </c>
      <c r="AH399" s="350">
        <v>130789246.36620924</v>
      </c>
      <c r="AI399" s="350">
        <v>131803188.78124832</v>
      </c>
      <c r="AJ399" s="350">
        <v>132822684.50401893</v>
      </c>
      <c r="AK399" s="348">
        <v>653914757.60828352</v>
      </c>
      <c r="AL399" s="369"/>
      <c r="AM399" s="350">
        <v>161906066.46841216</v>
      </c>
      <c r="AN399" s="350">
        <v>196800727.97220004</v>
      </c>
      <c r="AO399" s="350">
        <v>232163010.64226013</v>
      </c>
      <c r="AP399" s="350">
        <v>268053446.16409701</v>
      </c>
      <c r="AQ399" s="350">
        <v>304481119.80432695</v>
      </c>
      <c r="AR399" s="348">
        <v>1163404371.0512965</v>
      </c>
      <c r="AS399" s="369"/>
      <c r="AT399" s="350">
        <f t="shared" si="171"/>
        <v>33184136.156650409</v>
      </c>
      <c r="AU399" s="350">
        <f t="shared" si="154"/>
        <v>67023020.327154741</v>
      </c>
      <c r="AV399" s="350">
        <f t="shared" si="155"/>
        <v>101373764.2760509</v>
      </c>
      <c r="AW399" s="350">
        <f t="shared" si="156"/>
        <v>136250257.38284868</v>
      </c>
      <c r="AX399" s="350">
        <f t="shared" si="157"/>
        <v>171658435.30030802</v>
      </c>
      <c r="AY399" s="350">
        <f t="shared" si="158"/>
        <v>509489613.44301295</v>
      </c>
      <c r="AZ399" s="365"/>
      <c r="BA399" s="377">
        <f t="shared" si="159"/>
        <v>0</v>
      </c>
      <c r="BB399" s="377">
        <f t="shared" si="160"/>
        <v>0</v>
      </c>
      <c r="BC399" s="377">
        <f t="shared" si="161"/>
        <v>0</v>
      </c>
      <c r="BD399" s="377">
        <f t="shared" si="162"/>
        <v>0</v>
      </c>
      <c r="BE399" s="377">
        <f t="shared" si="163"/>
        <v>0</v>
      </c>
      <c r="BF399" s="377">
        <f t="shared" si="164"/>
        <v>0</v>
      </c>
      <c r="BG399" s="328"/>
    </row>
    <row r="400" spans="2:59">
      <c r="B400" s="332">
        <v>385</v>
      </c>
      <c r="C400" s="350">
        <v>124403800.79828042</v>
      </c>
      <c r="D400" s="350">
        <v>125424160.83125252</v>
      </c>
      <c r="E400" s="350">
        <v>126401766.2887115</v>
      </c>
      <c r="F400" s="350">
        <v>127381694.80528936</v>
      </c>
      <c r="G400" s="350">
        <v>128366990.33731779</v>
      </c>
      <c r="H400" s="348">
        <v>631978413.06085157</v>
      </c>
      <c r="I400" s="369"/>
      <c r="J400" s="350">
        <v>154251793.14851871</v>
      </c>
      <c r="K400" s="350">
        <v>185715834.73281935</v>
      </c>
      <c r="L400" s="350">
        <v>217597627.52784407</v>
      </c>
      <c r="M400" s="350">
        <v>249954742.56466937</v>
      </c>
      <c r="N400" s="350">
        <v>282795563.7484566</v>
      </c>
      <c r="O400" s="348">
        <v>1090315561.7223082</v>
      </c>
      <c r="P400" s="369"/>
      <c r="Q400" s="350">
        <f t="shared" si="165"/>
        <v>29847992.350238293</v>
      </c>
      <c r="R400" s="350">
        <f t="shared" si="166"/>
        <v>60291673.901566833</v>
      </c>
      <c r="S400" s="350">
        <f t="shared" si="167"/>
        <v>91195861.239132568</v>
      </c>
      <c r="T400" s="350">
        <f t="shared" si="168"/>
        <v>122573047.75938001</v>
      </c>
      <c r="U400" s="350">
        <f t="shared" si="169"/>
        <v>154428573.4111388</v>
      </c>
      <c r="V400" s="350">
        <f t="shared" si="170"/>
        <v>458337148.66145658</v>
      </c>
      <c r="W400" s="365"/>
      <c r="X400" s="377">
        <f t="shared" ref="X400:X463" si="172">IF(Q400&lt;Q$8,1,0)</f>
        <v>0</v>
      </c>
      <c r="Y400" s="377">
        <f t="shared" ref="Y400:Y463" si="173">IF(R400&lt;R$8,1,0)</f>
        <v>0</v>
      </c>
      <c r="Z400" s="377">
        <f t="shared" ref="Z400:Z463" si="174">IF(S400&lt;S$8,1,0)</f>
        <v>0</v>
      </c>
      <c r="AA400" s="377">
        <f t="shared" ref="AA400:AA463" si="175">IF(T400&lt;T$8,1,0)</f>
        <v>0</v>
      </c>
      <c r="AB400" s="377">
        <f t="shared" ref="AB400:AB463" si="176">IF(U400&lt;U$8,1,0)</f>
        <v>0</v>
      </c>
      <c r="AC400" s="377">
        <f t="shared" ref="AC400:AC463" si="177">IF(V400&lt;V$8,1,0)</f>
        <v>0</v>
      </c>
      <c r="AD400" s="376"/>
      <c r="AE400" s="332">
        <v>385</v>
      </c>
      <c r="AF400" s="350">
        <v>114775111.23070578</v>
      </c>
      <c r="AG400" s="350">
        <v>115716496.74729171</v>
      </c>
      <c r="AH400" s="350">
        <v>116618436.83593526</v>
      </c>
      <c r="AI400" s="350">
        <v>117522520.18199587</v>
      </c>
      <c r="AJ400" s="350">
        <v>118431555.14361295</v>
      </c>
      <c r="AK400" s="348">
        <v>583064120.13954163</v>
      </c>
      <c r="AL400" s="369"/>
      <c r="AM400" s="350">
        <v>148665273.09887511</v>
      </c>
      <c r="AN400" s="350">
        <v>184151064.16376954</v>
      </c>
      <c r="AO400" s="350">
        <v>220119934.88789585</v>
      </c>
      <c r="AP400" s="350">
        <v>256627658.04450944</v>
      </c>
      <c r="AQ400" s="350">
        <v>293683101.72811252</v>
      </c>
      <c r="AR400" s="348">
        <v>1103247031.9231625</v>
      </c>
      <c r="AS400" s="369"/>
      <c r="AT400" s="350">
        <f t="shared" si="171"/>
        <v>33890161.868169323</v>
      </c>
      <c r="AU400" s="350">
        <f t="shared" ref="AU400:AU463" si="178">AN400-AG400</f>
        <v>68434567.416477829</v>
      </c>
      <c r="AV400" s="350">
        <f t="shared" ref="AV400:AV463" si="179">AO400-AH400</f>
        <v>103501498.05196059</v>
      </c>
      <c r="AW400" s="350">
        <f t="shared" ref="AW400:AW463" si="180">AP400-AI400</f>
        <v>139105137.86251357</v>
      </c>
      <c r="AX400" s="350">
        <f t="shared" ref="AX400:AX463" si="181">AQ400-AJ400</f>
        <v>175251546.58449957</v>
      </c>
      <c r="AY400" s="350">
        <f t="shared" ref="AY400:AY463" si="182">AR400-AK400</f>
        <v>520182911.78362083</v>
      </c>
      <c r="AZ400" s="365"/>
      <c r="BA400" s="377">
        <f t="shared" ref="BA400:BA463" si="183">IF(AT400&lt;AT$8,1,0)</f>
        <v>0</v>
      </c>
      <c r="BB400" s="377">
        <f t="shared" ref="BB400:BB463" si="184">IF(AU400&lt;AU$8,1,0)</f>
        <v>0</v>
      </c>
      <c r="BC400" s="377">
        <f t="shared" ref="BC400:BC463" si="185">IF(AV400&lt;AV$8,1,0)</f>
        <v>0</v>
      </c>
      <c r="BD400" s="377">
        <f t="shared" ref="BD400:BD463" si="186">IF(AW400&lt;AW$8,1,0)</f>
        <v>0</v>
      </c>
      <c r="BE400" s="377">
        <f t="shared" ref="BE400:BE463" si="187">IF(AX400&lt;AX$8,1,0)</f>
        <v>0</v>
      </c>
      <c r="BF400" s="377">
        <f t="shared" ref="BF400:BF463" si="188">IF(AY400&lt;AY$8,1,0)</f>
        <v>0</v>
      </c>
      <c r="BG400" s="328"/>
    </row>
    <row r="401" spans="2:59">
      <c r="B401" s="332">
        <v>386</v>
      </c>
      <c r="C401" s="350">
        <v>101365543.82966013</v>
      </c>
      <c r="D401" s="350">
        <v>102196944.06808195</v>
      </c>
      <c r="E401" s="350">
        <v>102993507.42233872</v>
      </c>
      <c r="F401" s="350">
        <v>103791963.62994426</v>
      </c>
      <c r="G401" s="350">
        <v>104594792.93898557</v>
      </c>
      <c r="H401" s="348">
        <v>514942751.88901067</v>
      </c>
      <c r="I401" s="369"/>
      <c r="J401" s="350">
        <v>126867530.44796203</v>
      </c>
      <c r="K401" s="350">
        <v>153724159.27266037</v>
      </c>
      <c r="L401" s="350">
        <v>180939627.95773441</v>
      </c>
      <c r="M401" s="350">
        <v>208561341.33474216</v>
      </c>
      <c r="N401" s="350">
        <v>236596344.26028359</v>
      </c>
      <c r="O401" s="348">
        <v>906689003.27338254</v>
      </c>
      <c r="P401" s="369"/>
      <c r="Q401" s="350">
        <f t="shared" ref="Q401:Q464" si="189">J401-C401</f>
        <v>25501986.618301898</v>
      </c>
      <c r="R401" s="350">
        <f t="shared" ref="R401:R464" si="190">K401-D401</f>
        <v>51527215.204578429</v>
      </c>
      <c r="S401" s="350">
        <f t="shared" ref="S401:S464" si="191">L401-E401</f>
        <v>77946120.535395682</v>
      </c>
      <c r="T401" s="350">
        <f t="shared" ref="T401:T464" si="192">M401-F401</f>
        <v>104769377.70479789</v>
      </c>
      <c r="U401" s="350">
        <f t="shared" ref="U401:U464" si="193">N401-G401</f>
        <v>132001551.32129802</v>
      </c>
      <c r="V401" s="350">
        <f t="shared" ref="V401:V464" si="194">O401-H401</f>
        <v>391746251.38437188</v>
      </c>
      <c r="W401" s="365"/>
      <c r="X401" s="377">
        <f t="shared" si="172"/>
        <v>0</v>
      </c>
      <c r="Y401" s="377">
        <f t="shared" si="173"/>
        <v>0</v>
      </c>
      <c r="Z401" s="377">
        <f t="shared" si="174"/>
        <v>0</v>
      </c>
      <c r="AA401" s="377">
        <f t="shared" si="175"/>
        <v>0</v>
      </c>
      <c r="AB401" s="377">
        <f t="shared" si="176"/>
        <v>0</v>
      </c>
      <c r="AC401" s="377">
        <f t="shared" si="177"/>
        <v>0</v>
      </c>
      <c r="AD401" s="376"/>
      <c r="AE401" s="332">
        <v>386</v>
      </c>
      <c r="AF401" s="350">
        <v>106472999.24055842</v>
      </c>
      <c r="AG401" s="350">
        <v>107346290.83067545</v>
      </c>
      <c r="AH401" s="350">
        <v>108182990.22781345</v>
      </c>
      <c r="AI401" s="350">
        <v>109021677.85256356</v>
      </c>
      <c r="AJ401" s="350">
        <v>109864958.92404382</v>
      </c>
      <c r="AK401" s="348">
        <v>540888917.07565475</v>
      </c>
      <c r="AL401" s="369"/>
      <c r="AM401" s="350">
        <v>134684860.05264565</v>
      </c>
      <c r="AN401" s="350">
        <v>164319196.46594355</v>
      </c>
      <c r="AO401" s="350">
        <v>194351987.69513923</v>
      </c>
      <c r="AP401" s="350">
        <v>224833621.95625386</v>
      </c>
      <c r="AQ401" s="350">
        <v>255771749.59103453</v>
      </c>
      <c r="AR401" s="348">
        <v>973961415.76101685</v>
      </c>
      <c r="AS401" s="369"/>
      <c r="AT401" s="350">
        <f t="shared" ref="AT401:AT464" si="195">AM401-AF401</f>
        <v>28211860.812087238</v>
      </c>
      <c r="AU401" s="350">
        <f t="shared" si="178"/>
        <v>56972905.635268092</v>
      </c>
      <c r="AV401" s="350">
        <f t="shared" si="179"/>
        <v>86168997.467325777</v>
      </c>
      <c r="AW401" s="350">
        <f t="shared" si="180"/>
        <v>115811944.1036903</v>
      </c>
      <c r="AX401" s="350">
        <f t="shared" si="181"/>
        <v>145906790.6669907</v>
      </c>
      <c r="AY401" s="350">
        <f t="shared" si="182"/>
        <v>433072498.6853621</v>
      </c>
      <c r="AZ401" s="365"/>
      <c r="BA401" s="377">
        <f t="shared" si="183"/>
        <v>0</v>
      </c>
      <c r="BB401" s="377">
        <f t="shared" si="184"/>
        <v>0</v>
      </c>
      <c r="BC401" s="377">
        <f t="shared" si="185"/>
        <v>0</v>
      </c>
      <c r="BD401" s="377">
        <f t="shared" si="186"/>
        <v>0</v>
      </c>
      <c r="BE401" s="377">
        <f t="shared" si="187"/>
        <v>0</v>
      </c>
      <c r="BF401" s="377">
        <f t="shared" si="188"/>
        <v>0</v>
      </c>
      <c r="BG401" s="328"/>
    </row>
    <row r="402" spans="2:59">
      <c r="B402" s="332">
        <v>387</v>
      </c>
      <c r="C402" s="350">
        <v>123359650.22223738</v>
      </c>
      <c r="D402" s="350">
        <v>124371446.13169105</v>
      </c>
      <c r="E402" s="350">
        <v>125340846.31491402</v>
      </c>
      <c r="F402" s="350">
        <v>126312550.05927032</v>
      </c>
      <c r="G402" s="350">
        <v>127289575.77244484</v>
      </c>
      <c r="H402" s="348">
        <v>626674068.50055766</v>
      </c>
      <c r="I402" s="369"/>
      <c r="J402" s="350">
        <v>158020576.45061177</v>
      </c>
      <c r="K402" s="350">
        <v>194365251.5198423</v>
      </c>
      <c r="L402" s="350">
        <v>231201983.85721385</v>
      </c>
      <c r="M402" s="350">
        <v>268589979.58410496</v>
      </c>
      <c r="N402" s="350">
        <v>306538455.09316373</v>
      </c>
      <c r="O402" s="348">
        <v>1158716246.5049367</v>
      </c>
      <c r="P402" s="369"/>
      <c r="Q402" s="350">
        <f t="shared" si="189"/>
        <v>34660926.228374392</v>
      </c>
      <c r="R402" s="350">
        <f t="shared" si="190"/>
        <v>69993805.388151243</v>
      </c>
      <c r="S402" s="350">
        <f t="shared" si="191"/>
        <v>105861137.54229984</v>
      </c>
      <c r="T402" s="350">
        <f t="shared" si="192"/>
        <v>142277429.52483463</v>
      </c>
      <c r="U402" s="350">
        <f t="shared" si="193"/>
        <v>179248879.32071888</v>
      </c>
      <c r="V402" s="350">
        <f t="shared" si="194"/>
        <v>532042178.00437903</v>
      </c>
      <c r="W402" s="365"/>
      <c r="X402" s="377">
        <f t="shared" si="172"/>
        <v>0</v>
      </c>
      <c r="Y402" s="377">
        <f t="shared" si="173"/>
        <v>0</v>
      </c>
      <c r="Z402" s="377">
        <f t="shared" si="174"/>
        <v>0</v>
      </c>
      <c r="AA402" s="377">
        <f t="shared" si="175"/>
        <v>0</v>
      </c>
      <c r="AB402" s="377">
        <f t="shared" si="176"/>
        <v>0</v>
      </c>
      <c r="AC402" s="377">
        <f t="shared" si="177"/>
        <v>0</v>
      </c>
      <c r="AD402" s="376"/>
      <c r="AE402" s="332">
        <v>387</v>
      </c>
      <c r="AF402" s="350">
        <v>102904982.57027414</v>
      </c>
      <c r="AG402" s="350">
        <v>103749009.2859744</v>
      </c>
      <c r="AH402" s="350">
        <v>104557670.04967198</v>
      </c>
      <c r="AI402" s="350">
        <v>105368252.41348633</v>
      </c>
      <c r="AJ402" s="350">
        <v>106183274.29303774</v>
      </c>
      <c r="AK402" s="348">
        <v>522763188.61244464</v>
      </c>
      <c r="AL402" s="369"/>
      <c r="AM402" s="350">
        <v>135760306.34972683</v>
      </c>
      <c r="AN402" s="350">
        <v>170101833.73587793</v>
      </c>
      <c r="AO402" s="350">
        <v>204914688.23926145</v>
      </c>
      <c r="AP402" s="350">
        <v>240249908.82748401</v>
      </c>
      <c r="AQ402" s="350">
        <v>276115889.32560933</v>
      </c>
      <c r="AR402" s="348">
        <v>1027142626.4779595</v>
      </c>
      <c r="AS402" s="369"/>
      <c r="AT402" s="350">
        <f t="shared" si="195"/>
        <v>32855323.779452682</v>
      </c>
      <c r="AU402" s="350">
        <f t="shared" si="178"/>
        <v>66352824.449903533</v>
      </c>
      <c r="AV402" s="350">
        <f t="shared" si="179"/>
        <v>100357018.18958947</v>
      </c>
      <c r="AW402" s="350">
        <f t="shared" si="180"/>
        <v>134881656.41399768</v>
      </c>
      <c r="AX402" s="350">
        <f t="shared" si="181"/>
        <v>169932615.03257158</v>
      </c>
      <c r="AY402" s="350">
        <f t="shared" si="182"/>
        <v>504379437.86551487</v>
      </c>
      <c r="AZ402" s="365"/>
      <c r="BA402" s="377">
        <f t="shared" si="183"/>
        <v>0</v>
      </c>
      <c r="BB402" s="377">
        <f t="shared" si="184"/>
        <v>0</v>
      </c>
      <c r="BC402" s="377">
        <f t="shared" si="185"/>
        <v>0</v>
      </c>
      <c r="BD402" s="377">
        <f t="shared" si="186"/>
        <v>0</v>
      </c>
      <c r="BE402" s="377">
        <f t="shared" si="187"/>
        <v>0</v>
      </c>
      <c r="BF402" s="377">
        <f t="shared" si="188"/>
        <v>0</v>
      </c>
      <c r="BG402" s="328"/>
    </row>
    <row r="403" spans="2:59">
      <c r="B403" s="332">
        <v>388</v>
      </c>
      <c r="C403" s="350">
        <v>138493432.9899039</v>
      </c>
      <c r="D403" s="350">
        <v>139629356.19277397</v>
      </c>
      <c r="E403" s="350">
        <v>140717682.55454403</v>
      </c>
      <c r="F403" s="350">
        <v>141808595.07871708</v>
      </c>
      <c r="G403" s="350">
        <v>142905482.4717437</v>
      </c>
      <c r="H403" s="348">
        <v>703554549.28768265</v>
      </c>
      <c r="I403" s="369"/>
      <c r="J403" s="350">
        <v>172964313.22108945</v>
      </c>
      <c r="K403" s="350">
        <v>209254312.81351855</v>
      </c>
      <c r="L403" s="350">
        <v>246028470.85371858</v>
      </c>
      <c r="M403" s="350">
        <v>283351398.46762526</v>
      </c>
      <c r="N403" s="350">
        <v>321232650.64164811</v>
      </c>
      <c r="O403" s="348">
        <v>1232831145.9976001</v>
      </c>
      <c r="P403" s="369"/>
      <c r="Q403" s="350">
        <f t="shared" si="189"/>
        <v>34470880.231185555</v>
      </c>
      <c r="R403" s="350">
        <f t="shared" si="190"/>
        <v>69624956.620744586</v>
      </c>
      <c r="S403" s="350">
        <f t="shared" si="191"/>
        <v>105310788.29917455</v>
      </c>
      <c r="T403" s="350">
        <f t="shared" si="192"/>
        <v>141542803.38890818</v>
      </c>
      <c r="U403" s="350">
        <f t="shared" si="193"/>
        <v>178327168.16990441</v>
      </c>
      <c r="V403" s="350">
        <f t="shared" si="194"/>
        <v>529276596.70991743</v>
      </c>
      <c r="W403" s="365"/>
      <c r="X403" s="377">
        <f t="shared" si="172"/>
        <v>0</v>
      </c>
      <c r="Y403" s="377">
        <f t="shared" si="173"/>
        <v>0</v>
      </c>
      <c r="Z403" s="377">
        <f t="shared" si="174"/>
        <v>0</v>
      </c>
      <c r="AA403" s="377">
        <f t="shared" si="175"/>
        <v>0</v>
      </c>
      <c r="AB403" s="377">
        <f t="shared" si="176"/>
        <v>0</v>
      </c>
      <c r="AC403" s="377">
        <f t="shared" si="177"/>
        <v>0</v>
      </c>
      <c r="AD403" s="376"/>
      <c r="AE403" s="332">
        <v>388</v>
      </c>
      <c r="AF403" s="350">
        <v>140458960.40438849</v>
      </c>
      <c r="AG403" s="350">
        <v>141611004.86404163</v>
      </c>
      <c r="AH403" s="350">
        <v>142714776.978392</v>
      </c>
      <c r="AI403" s="350">
        <v>143821171.95849654</v>
      </c>
      <c r="AJ403" s="350">
        <v>144933626.6040279</v>
      </c>
      <c r="AK403" s="348">
        <v>713539540.80934656</v>
      </c>
      <c r="AL403" s="369"/>
      <c r="AM403" s="350">
        <v>169877606.62261644</v>
      </c>
      <c r="AN403" s="350">
        <v>201032976.56801948</v>
      </c>
      <c r="AO403" s="350">
        <v>232593917.78784248</v>
      </c>
      <c r="AP403" s="350">
        <v>264623639.0436441</v>
      </c>
      <c r="AQ403" s="350">
        <v>297130839.8992036</v>
      </c>
      <c r="AR403" s="348">
        <v>1165258979.9213262</v>
      </c>
      <c r="AS403" s="369"/>
      <c r="AT403" s="350">
        <f t="shared" si="195"/>
        <v>29418646.218227953</v>
      </c>
      <c r="AU403" s="350">
        <f t="shared" si="178"/>
        <v>59421971.703977853</v>
      </c>
      <c r="AV403" s="350">
        <f t="shared" si="179"/>
        <v>89879140.809450477</v>
      </c>
      <c r="AW403" s="350">
        <f t="shared" si="180"/>
        <v>120802467.08514756</v>
      </c>
      <c r="AX403" s="350">
        <f t="shared" si="181"/>
        <v>152197213.2951757</v>
      </c>
      <c r="AY403" s="350">
        <f t="shared" si="182"/>
        <v>451719439.1119796</v>
      </c>
      <c r="AZ403" s="365"/>
      <c r="BA403" s="377">
        <f t="shared" si="183"/>
        <v>0</v>
      </c>
      <c r="BB403" s="377">
        <f t="shared" si="184"/>
        <v>0</v>
      </c>
      <c r="BC403" s="377">
        <f t="shared" si="185"/>
        <v>0</v>
      </c>
      <c r="BD403" s="377">
        <f t="shared" si="186"/>
        <v>0</v>
      </c>
      <c r="BE403" s="377">
        <f t="shared" si="187"/>
        <v>0</v>
      </c>
      <c r="BF403" s="377">
        <f t="shared" si="188"/>
        <v>0</v>
      </c>
      <c r="BG403" s="328"/>
    </row>
    <row r="404" spans="2:59">
      <c r="B404" s="332">
        <v>389</v>
      </c>
      <c r="C404" s="350">
        <v>129601845.82205676</v>
      </c>
      <c r="D404" s="350">
        <v>130664840.22277179</v>
      </c>
      <c r="E404" s="350">
        <v>131683293.6057021</v>
      </c>
      <c r="F404" s="350">
        <v>132704167.11364333</v>
      </c>
      <c r="G404" s="350">
        <v>133730631.89053684</v>
      </c>
      <c r="H404" s="348">
        <v>658384778.65471077</v>
      </c>
      <c r="I404" s="369"/>
      <c r="J404" s="350">
        <v>166217617.67664522</v>
      </c>
      <c r="K404" s="350">
        <v>204638263.51290214</v>
      </c>
      <c r="L404" s="350">
        <v>243579463.29747209</v>
      </c>
      <c r="M404" s="350">
        <v>283103504.95948356</v>
      </c>
      <c r="N404" s="350">
        <v>323220112.07770681</v>
      </c>
      <c r="O404" s="348">
        <v>1220758961.5242097</v>
      </c>
      <c r="P404" s="369"/>
      <c r="Q404" s="350">
        <f t="shared" si="189"/>
        <v>36615771.854588464</v>
      </c>
      <c r="R404" s="350">
        <f t="shared" si="190"/>
        <v>73973423.290130347</v>
      </c>
      <c r="S404" s="350">
        <f t="shared" si="191"/>
        <v>111896169.69176999</v>
      </c>
      <c r="T404" s="350">
        <f t="shared" si="192"/>
        <v>150399337.84584022</v>
      </c>
      <c r="U404" s="350">
        <f t="shared" si="193"/>
        <v>189489480.18716997</v>
      </c>
      <c r="V404" s="350">
        <f t="shared" si="194"/>
        <v>562374182.86949897</v>
      </c>
      <c r="W404" s="365"/>
      <c r="X404" s="377">
        <f t="shared" si="172"/>
        <v>0</v>
      </c>
      <c r="Y404" s="377">
        <f t="shared" si="173"/>
        <v>0</v>
      </c>
      <c r="Z404" s="377">
        <f t="shared" si="174"/>
        <v>0</v>
      </c>
      <c r="AA404" s="377">
        <f t="shared" si="175"/>
        <v>0</v>
      </c>
      <c r="AB404" s="377">
        <f t="shared" si="176"/>
        <v>0</v>
      </c>
      <c r="AC404" s="377">
        <f t="shared" si="177"/>
        <v>0</v>
      </c>
      <c r="AD404" s="376"/>
      <c r="AE404" s="332">
        <v>389</v>
      </c>
      <c r="AF404" s="350">
        <v>131987436.30846682</v>
      </c>
      <c r="AG404" s="350">
        <v>133069997.32347946</v>
      </c>
      <c r="AH404" s="350">
        <v>134107197.45099324</v>
      </c>
      <c r="AI404" s="350">
        <v>135146862.25093287</v>
      </c>
      <c r="AJ404" s="350">
        <v>136192221.23871404</v>
      </c>
      <c r="AK404" s="348">
        <v>670503714.57258642</v>
      </c>
      <c r="AL404" s="369"/>
      <c r="AM404" s="350">
        <v>165533081.85904247</v>
      </c>
      <c r="AN404" s="350">
        <v>200815961.71937689</v>
      </c>
      <c r="AO404" s="350">
        <v>236570804.33552554</v>
      </c>
      <c r="AP404" s="350">
        <v>272859475.55792761</v>
      </c>
      <c r="AQ404" s="350">
        <v>309691204.11783415</v>
      </c>
      <c r="AR404" s="348">
        <v>1185470527.5897067</v>
      </c>
      <c r="AS404" s="369"/>
      <c r="AT404" s="350">
        <f t="shared" si="195"/>
        <v>33545645.550575644</v>
      </c>
      <c r="AU404" s="350">
        <f t="shared" si="178"/>
        <v>67745964.395897433</v>
      </c>
      <c r="AV404" s="350">
        <f t="shared" si="179"/>
        <v>102463606.8845323</v>
      </c>
      <c r="AW404" s="350">
        <f t="shared" si="180"/>
        <v>137712613.30699474</v>
      </c>
      <c r="AX404" s="350">
        <f t="shared" si="181"/>
        <v>173498982.87912011</v>
      </c>
      <c r="AY404" s="350">
        <f t="shared" si="182"/>
        <v>514966813.01712024</v>
      </c>
      <c r="AZ404" s="365"/>
      <c r="BA404" s="377">
        <f t="shared" si="183"/>
        <v>0</v>
      </c>
      <c r="BB404" s="377">
        <f t="shared" si="184"/>
        <v>0</v>
      </c>
      <c r="BC404" s="377">
        <f t="shared" si="185"/>
        <v>0</v>
      </c>
      <c r="BD404" s="377">
        <f t="shared" si="186"/>
        <v>0</v>
      </c>
      <c r="BE404" s="377">
        <f t="shared" si="187"/>
        <v>0</v>
      </c>
      <c r="BF404" s="377">
        <f t="shared" si="188"/>
        <v>0</v>
      </c>
      <c r="BG404" s="328"/>
    </row>
    <row r="405" spans="2:59">
      <c r="B405" s="332">
        <v>390</v>
      </c>
      <c r="C405" s="350">
        <v>126607724.88327202</v>
      </c>
      <c r="D405" s="350">
        <v>127646161.50263131</v>
      </c>
      <c r="E405" s="350">
        <v>128641086.1111089</v>
      </c>
      <c r="F405" s="350">
        <v>129638374.93376583</v>
      </c>
      <c r="G405" s="350">
        <v>130641125.85333017</v>
      </c>
      <c r="H405" s="348">
        <v>643174473.28410828</v>
      </c>
      <c r="I405" s="369"/>
      <c r="J405" s="350">
        <v>161215180.10116246</v>
      </c>
      <c r="K405" s="350">
        <v>197559436.15129042</v>
      </c>
      <c r="L405" s="350">
        <v>234394236.5699293</v>
      </c>
      <c r="M405" s="350">
        <v>271779943.56176811</v>
      </c>
      <c r="N405" s="350">
        <v>309725847.62264204</v>
      </c>
      <c r="O405" s="348">
        <v>1174674644.0067923</v>
      </c>
      <c r="P405" s="369"/>
      <c r="Q405" s="350">
        <f t="shared" si="189"/>
        <v>34607455.217890441</v>
      </c>
      <c r="R405" s="350">
        <f t="shared" si="190"/>
        <v>69913274.64865911</v>
      </c>
      <c r="S405" s="350">
        <f t="shared" si="191"/>
        <v>105753150.4588204</v>
      </c>
      <c r="T405" s="350">
        <f t="shared" si="192"/>
        <v>142141568.62800229</v>
      </c>
      <c r="U405" s="350">
        <f t="shared" si="193"/>
        <v>179084721.76931188</v>
      </c>
      <c r="V405" s="350">
        <f t="shared" si="194"/>
        <v>531500170.72268403</v>
      </c>
      <c r="W405" s="365"/>
      <c r="X405" s="377">
        <f t="shared" si="172"/>
        <v>0</v>
      </c>
      <c r="Y405" s="377">
        <f t="shared" si="173"/>
        <v>0</v>
      </c>
      <c r="Z405" s="377">
        <f t="shared" si="174"/>
        <v>0</v>
      </c>
      <c r="AA405" s="377">
        <f t="shared" si="175"/>
        <v>0</v>
      </c>
      <c r="AB405" s="377">
        <f t="shared" si="176"/>
        <v>0</v>
      </c>
      <c r="AC405" s="377">
        <f t="shared" si="177"/>
        <v>0</v>
      </c>
      <c r="AD405" s="376"/>
      <c r="AE405" s="332">
        <v>390</v>
      </c>
      <c r="AF405" s="350">
        <v>113483917.11924031</v>
      </c>
      <c r="AG405" s="350">
        <v>114414712.26111342</v>
      </c>
      <c r="AH405" s="350">
        <v>115306505.72721082</v>
      </c>
      <c r="AI405" s="350">
        <v>116200418.3395628</v>
      </c>
      <c r="AJ405" s="350">
        <v>117099226.86291313</v>
      </c>
      <c r="AK405" s="348">
        <v>576504780.31004047</v>
      </c>
      <c r="AL405" s="369"/>
      <c r="AM405" s="350">
        <v>151151491.51869702</v>
      </c>
      <c r="AN405" s="350">
        <v>190486362.64965242</v>
      </c>
      <c r="AO405" s="350">
        <v>230363143.60185802</v>
      </c>
      <c r="AP405" s="350">
        <v>270838720.76872474</v>
      </c>
      <c r="AQ405" s="350">
        <v>311922607.49728054</v>
      </c>
      <c r="AR405" s="348">
        <v>1154762326.0362127</v>
      </c>
      <c r="AS405" s="369"/>
      <c r="AT405" s="350">
        <f t="shared" si="195"/>
        <v>37667574.39945671</v>
      </c>
      <c r="AU405" s="350">
        <f t="shared" si="178"/>
        <v>76071650.388539001</v>
      </c>
      <c r="AV405" s="350">
        <f t="shared" si="179"/>
        <v>115056637.8746472</v>
      </c>
      <c r="AW405" s="350">
        <f t="shared" si="180"/>
        <v>154638302.42916194</v>
      </c>
      <c r="AX405" s="350">
        <f t="shared" si="181"/>
        <v>194823380.63436741</v>
      </c>
      <c r="AY405" s="350">
        <f t="shared" si="182"/>
        <v>578257545.72617221</v>
      </c>
      <c r="AZ405" s="365"/>
      <c r="BA405" s="377">
        <f t="shared" si="183"/>
        <v>0</v>
      </c>
      <c r="BB405" s="377">
        <f t="shared" si="184"/>
        <v>0</v>
      </c>
      <c r="BC405" s="377">
        <f t="shared" si="185"/>
        <v>0</v>
      </c>
      <c r="BD405" s="377">
        <f t="shared" si="186"/>
        <v>0</v>
      </c>
      <c r="BE405" s="377">
        <f t="shared" si="187"/>
        <v>0</v>
      </c>
      <c r="BF405" s="377">
        <f t="shared" si="188"/>
        <v>0</v>
      </c>
      <c r="BG405" s="328"/>
    </row>
    <row r="406" spans="2:59">
      <c r="B406" s="332">
        <v>391</v>
      </c>
      <c r="C406" s="350">
        <v>133475110.32177959</v>
      </c>
      <c r="D406" s="350">
        <v>134569873.23975286</v>
      </c>
      <c r="E406" s="350">
        <v>135618763.99267358</v>
      </c>
      <c r="F406" s="350">
        <v>136670147.19815758</v>
      </c>
      <c r="G406" s="350">
        <v>137727288.7725561</v>
      </c>
      <c r="H406" s="348">
        <v>678061183.52491963</v>
      </c>
      <c r="I406" s="369"/>
      <c r="J406" s="350">
        <v>169193727.46925411</v>
      </c>
      <c r="K406" s="350">
        <v>206708685.11339119</v>
      </c>
      <c r="L406" s="350">
        <v>244728674.78261647</v>
      </c>
      <c r="M406" s="350">
        <v>283317011.11667663</v>
      </c>
      <c r="N406" s="350">
        <v>322483348.54273689</v>
      </c>
      <c r="O406" s="348">
        <v>1226431447.0246754</v>
      </c>
      <c r="P406" s="369"/>
      <c r="Q406" s="350">
        <f t="shared" si="189"/>
        <v>35718617.147474512</v>
      </c>
      <c r="R406" s="350">
        <f t="shared" si="190"/>
        <v>72138811.873638332</v>
      </c>
      <c r="S406" s="350">
        <f t="shared" si="191"/>
        <v>109109910.78994289</v>
      </c>
      <c r="T406" s="350">
        <f t="shared" si="192"/>
        <v>146646863.91851905</v>
      </c>
      <c r="U406" s="350">
        <f t="shared" si="193"/>
        <v>184756059.77018079</v>
      </c>
      <c r="V406" s="350">
        <f t="shared" si="194"/>
        <v>548370263.49975574</v>
      </c>
      <c r="W406" s="365"/>
      <c r="X406" s="377">
        <f t="shared" si="172"/>
        <v>0</v>
      </c>
      <c r="Y406" s="377">
        <f t="shared" si="173"/>
        <v>0</v>
      </c>
      <c r="Z406" s="377">
        <f t="shared" si="174"/>
        <v>0</v>
      </c>
      <c r="AA406" s="377">
        <f t="shared" si="175"/>
        <v>0</v>
      </c>
      <c r="AB406" s="377">
        <f t="shared" si="176"/>
        <v>0</v>
      </c>
      <c r="AC406" s="377">
        <f t="shared" si="177"/>
        <v>0</v>
      </c>
      <c r="AD406" s="376"/>
      <c r="AE406" s="332">
        <v>391</v>
      </c>
      <c r="AF406" s="350">
        <v>117752101.05497272</v>
      </c>
      <c r="AG406" s="350">
        <v>118717903.84350492</v>
      </c>
      <c r="AH406" s="350">
        <v>119643238.08474135</v>
      </c>
      <c r="AI406" s="350">
        <v>120570771.17432781</v>
      </c>
      <c r="AJ406" s="350">
        <v>121503384.31244689</v>
      </c>
      <c r="AK406" s="348">
        <v>598187398.46999371</v>
      </c>
      <c r="AL406" s="369"/>
      <c r="AM406" s="350">
        <v>147813173.49926478</v>
      </c>
      <c r="AN406" s="350">
        <v>179441186.98461959</v>
      </c>
      <c r="AO406" s="350">
        <v>211492543.83915731</v>
      </c>
      <c r="AP406" s="350">
        <v>244022494.10983303</v>
      </c>
      <c r="AQ406" s="350">
        <v>277039297.24934781</v>
      </c>
      <c r="AR406" s="348">
        <v>1059808695.6822225</v>
      </c>
      <c r="AS406" s="369"/>
      <c r="AT406" s="350">
        <f t="shared" si="195"/>
        <v>30061072.444292054</v>
      </c>
      <c r="AU406" s="350">
        <f t="shared" si="178"/>
        <v>60723283.141114667</v>
      </c>
      <c r="AV406" s="350">
        <f t="shared" si="179"/>
        <v>91849305.754415959</v>
      </c>
      <c r="AW406" s="350">
        <f t="shared" si="180"/>
        <v>123451722.93550523</v>
      </c>
      <c r="AX406" s="350">
        <f t="shared" si="181"/>
        <v>155535912.93690091</v>
      </c>
      <c r="AY406" s="350">
        <f t="shared" si="182"/>
        <v>461621297.21222878</v>
      </c>
      <c r="AZ406" s="365"/>
      <c r="BA406" s="377">
        <f t="shared" si="183"/>
        <v>0</v>
      </c>
      <c r="BB406" s="377">
        <f t="shared" si="184"/>
        <v>0</v>
      </c>
      <c r="BC406" s="377">
        <f t="shared" si="185"/>
        <v>0</v>
      </c>
      <c r="BD406" s="377">
        <f t="shared" si="186"/>
        <v>0</v>
      </c>
      <c r="BE406" s="377">
        <f t="shared" si="187"/>
        <v>0</v>
      </c>
      <c r="BF406" s="377">
        <f t="shared" si="188"/>
        <v>0</v>
      </c>
      <c r="BG406" s="328"/>
    </row>
    <row r="407" spans="2:59">
      <c r="B407" s="332">
        <v>392</v>
      </c>
      <c r="C407" s="350">
        <v>132085518.29712714</v>
      </c>
      <c r="D407" s="350">
        <v>133168883.78065711</v>
      </c>
      <c r="E407" s="350">
        <v>134206854.66828254</v>
      </c>
      <c r="F407" s="350">
        <v>135247292.05987155</v>
      </c>
      <c r="G407" s="350">
        <v>136293427.87074476</v>
      </c>
      <c r="H407" s="348">
        <v>671001976.67668319</v>
      </c>
      <c r="I407" s="369"/>
      <c r="J407" s="350">
        <v>166601828.14483437</v>
      </c>
      <c r="K407" s="350">
        <v>202893452.92280468</v>
      </c>
      <c r="L407" s="350">
        <v>239672261.61801484</v>
      </c>
      <c r="M407" s="350">
        <v>277000562.90411896</v>
      </c>
      <c r="N407" s="350">
        <v>314887764.30169827</v>
      </c>
      <c r="O407" s="348">
        <v>1201055869.8914711</v>
      </c>
      <c r="P407" s="369"/>
      <c r="Q407" s="350">
        <f t="shared" si="189"/>
        <v>34516309.847707227</v>
      </c>
      <c r="R407" s="350">
        <f t="shared" si="190"/>
        <v>69724569.142147571</v>
      </c>
      <c r="S407" s="350">
        <f t="shared" si="191"/>
        <v>105465406.9497323</v>
      </c>
      <c r="T407" s="350">
        <f t="shared" si="192"/>
        <v>141753270.8442474</v>
      </c>
      <c r="U407" s="350">
        <f t="shared" si="193"/>
        <v>178594336.4309535</v>
      </c>
      <c r="V407" s="350">
        <f t="shared" si="194"/>
        <v>530053893.21478796</v>
      </c>
      <c r="W407" s="365"/>
      <c r="X407" s="377">
        <f t="shared" si="172"/>
        <v>0</v>
      </c>
      <c r="Y407" s="377">
        <f t="shared" si="173"/>
        <v>0</v>
      </c>
      <c r="Z407" s="377">
        <f t="shared" si="174"/>
        <v>0</v>
      </c>
      <c r="AA407" s="377">
        <f t="shared" si="175"/>
        <v>0</v>
      </c>
      <c r="AB407" s="377">
        <f t="shared" si="176"/>
        <v>0</v>
      </c>
      <c r="AC407" s="377">
        <f t="shared" si="177"/>
        <v>0</v>
      </c>
      <c r="AD407" s="376"/>
      <c r="AE407" s="332">
        <v>392</v>
      </c>
      <c r="AF407" s="350">
        <v>130283603.24378909</v>
      </c>
      <c r="AG407" s="350">
        <v>131352189.41919953</v>
      </c>
      <c r="AH407" s="350">
        <v>132376000.27329932</v>
      </c>
      <c r="AI407" s="350">
        <v>133402243.98323321</v>
      </c>
      <c r="AJ407" s="350">
        <v>134434108.37442508</v>
      </c>
      <c r="AK407" s="348">
        <v>661848145.29394627</v>
      </c>
      <c r="AL407" s="369"/>
      <c r="AM407" s="350">
        <v>164613753.75436449</v>
      </c>
      <c r="AN407" s="350">
        <v>200693462.82585973</v>
      </c>
      <c r="AO407" s="350">
        <v>237257989.75191075</v>
      </c>
      <c r="AP407" s="350">
        <v>274368911.95971859</v>
      </c>
      <c r="AQ407" s="350">
        <v>312035558.46671444</v>
      </c>
      <c r="AR407" s="348">
        <v>1188969676.758568</v>
      </c>
      <c r="AS407" s="369"/>
      <c r="AT407" s="350">
        <f t="shared" si="195"/>
        <v>34330150.510575399</v>
      </c>
      <c r="AU407" s="350">
        <f t="shared" si="178"/>
        <v>69341273.406660199</v>
      </c>
      <c r="AV407" s="350">
        <f t="shared" si="179"/>
        <v>104881989.47861142</v>
      </c>
      <c r="AW407" s="350">
        <f t="shared" si="180"/>
        <v>140966667.97648537</v>
      </c>
      <c r="AX407" s="350">
        <f t="shared" si="181"/>
        <v>177601450.09228936</v>
      </c>
      <c r="AY407" s="350">
        <f t="shared" si="182"/>
        <v>527121531.46462178</v>
      </c>
      <c r="AZ407" s="365"/>
      <c r="BA407" s="377">
        <f t="shared" si="183"/>
        <v>0</v>
      </c>
      <c r="BB407" s="377">
        <f t="shared" si="184"/>
        <v>0</v>
      </c>
      <c r="BC407" s="377">
        <f t="shared" si="185"/>
        <v>0</v>
      </c>
      <c r="BD407" s="377">
        <f t="shared" si="186"/>
        <v>0</v>
      </c>
      <c r="BE407" s="377">
        <f t="shared" si="187"/>
        <v>0</v>
      </c>
      <c r="BF407" s="377">
        <f t="shared" si="188"/>
        <v>0</v>
      </c>
      <c r="BG407" s="328"/>
    </row>
    <row r="408" spans="2:59">
      <c r="B408" s="332">
        <v>393</v>
      </c>
      <c r="C408" s="350">
        <v>150762050.11508191</v>
      </c>
      <c r="D408" s="350">
        <v>151998600.52141401</v>
      </c>
      <c r="E408" s="350">
        <v>153183337.6598652</v>
      </c>
      <c r="F408" s="350">
        <v>154370890.0592092</v>
      </c>
      <c r="G408" s="350">
        <v>155564946.61877286</v>
      </c>
      <c r="H408" s="348">
        <v>765879824.97434318</v>
      </c>
      <c r="I408" s="369"/>
      <c r="J408" s="350">
        <v>185745500.88575882</v>
      </c>
      <c r="K408" s="350">
        <v>222665623.4106355</v>
      </c>
      <c r="L408" s="350">
        <v>260073700.45929193</v>
      </c>
      <c r="M408" s="350">
        <v>298039003.60029078</v>
      </c>
      <c r="N408" s="350">
        <v>336571480.73627305</v>
      </c>
      <c r="O408" s="348">
        <v>1303095309.0922501</v>
      </c>
      <c r="P408" s="369"/>
      <c r="Q408" s="350">
        <f t="shared" si="189"/>
        <v>34983450.770676911</v>
      </c>
      <c r="R408" s="350">
        <f t="shared" si="190"/>
        <v>70667022.889221489</v>
      </c>
      <c r="S408" s="350">
        <f t="shared" si="191"/>
        <v>106890362.79942673</v>
      </c>
      <c r="T408" s="350">
        <f t="shared" si="192"/>
        <v>143668113.54108158</v>
      </c>
      <c r="U408" s="350">
        <f t="shared" si="193"/>
        <v>181006534.11750019</v>
      </c>
      <c r="V408" s="350">
        <f t="shared" si="194"/>
        <v>537215484.11790693</v>
      </c>
      <c r="W408" s="365"/>
      <c r="X408" s="377">
        <f t="shared" si="172"/>
        <v>0</v>
      </c>
      <c r="Y408" s="377">
        <f t="shared" si="173"/>
        <v>0</v>
      </c>
      <c r="Z408" s="377">
        <f t="shared" si="174"/>
        <v>0</v>
      </c>
      <c r="AA408" s="377">
        <f t="shared" si="175"/>
        <v>0</v>
      </c>
      <c r="AB408" s="377">
        <f t="shared" si="176"/>
        <v>0</v>
      </c>
      <c r="AC408" s="377">
        <f t="shared" si="177"/>
        <v>0</v>
      </c>
      <c r="AD408" s="376"/>
      <c r="AE408" s="332">
        <v>393</v>
      </c>
      <c r="AF408" s="350">
        <v>128267713.87159041</v>
      </c>
      <c r="AG408" s="350">
        <v>129319765.72141683</v>
      </c>
      <c r="AH408" s="350">
        <v>130327735.06232128</v>
      </c>
      <c r="AI408" s="350">
        <v>131338099.61527283</v>
      </c>
      <c r="AJ408" s="350">
        <v>132353997.88019884</v>
      </c>
      <c r="AK408" s="348">
        <v>651607312.15080023</v>
      </c>
      <c r="AL408" s="369"/>
      <c r="AM408" s="350">
        <v>155188374.94466531</v>
      </c>
      <c r="AN408" s="350">
        <v>183736561.86729267</v>
      </c>
      <c r="AO408" s="350">
        <v>212656603.72324687</v>
      </c>
      <c r="AP408" s="350">
        <v>242006248.46746665</v>
      </c>
      <c r="AQ408" s="350">
        <v>271793456.66708487</v>
      </c>
      <c r="AR408" s="348">
        <v>1065381245.6697564</v>
      </c>
      <c r="AS408" s="369"/>
      <c r="AT408" s="350">
        <f t="shared" si="195"/>
        <v>26920661.073074907</v>
      </c>
      <c r="AU408" s="350">
        <f t="shared" si="178"/>
        <v>54416796.145875841</v>
      </c>
      <c r="AV408" s="350">
        <f t="shared" si="179"/>
        <v>82328868.660925597</v>
      </c>
      <c r="AW408" s="350">
        <f t="shared" si="180"/>
        <v>110668148.85219382</v>
      </c>
      <c r="AX408" s="350">
        <f t="shared" si="181"/>
        <v>139439458.78688604</v>
      </c>
      <c r="AY408" s="350">
        <f t="shared" si="182"/>
        <v>413773933.51895618</v>
      </c>
      <c r="AZ408" s="365"/>
      <c r="BA408" s="377">
        <f t="shared" si="183"/>
        <v>0</v>
      </c>
      <c r="BB408" s="377">
        <f t="shared" si="184"/>
        <v>0</v>
      </c>
      <c r="BC408" s="377">
        <f t="shared" si="185"/>
        <v>0</v>
      </c>
      <c r="BD408" s="377">
        <f t="shared" si="186"/>
        <v>0</v>
      </c>
      <c r="BE408" s="377">
        <f t="shared" si="187"/>
        <v>0</v>
      </c>
      <c r="BF408" s="377">
        <f t="shared" si="188"/>
        <v>0</v>
      </c>
      <c r="BG408" s="328"/>
    </row>
    <row r="409" spans="2:59">
      <c r="B409" s="332">
        <v>394</v>
      </c>
      <c r="C409" s="350">
        <v>133372558.54187675</v>
      </c>
      <c r="D409" s="350">
        <v>134466480.33010271</v>
      </c>
      <c r="E409" s="350">
        <v>135514565.19784102</v>
      </c>
      <c r="F409" s="350">
        <v>136565140.60313797</v>
      </c>
      <c r="G409" s="350">
        <v>137621469.95307153</v>
      </c>
      <c r="H409" s="348">
        <v>677540214.62602997</v>
      </c>
      <c r="I409" s="369"/>
      <c r="J409" s="350">
        <v>162660323.07916695</v>
      </c>
      <c r="K409" s="350">
        <v>193629848.52984405</v>
      </c>
      <c r="L409" s="350">
        <v>225005451.36636472</v>
      </c>
      <c r="M409" s="350">
        <v>256847718.13518888</v>
      </c>
      <c r="N409" s="350">
        <v>289165152.47317874</v>
      </c>
      <c r="O409" s="348">
        <v>1127308493.5837431</v>
      </c>
      <c r="P409" s="369"/>
      <c r="Q409" s="350">
        <f t="shared" si="189"/>
        <v>29287764.537290201</v>
      </c>
      <c r="R409" s="350">
        <f t="shared" si="190"/>
        <v>59163368.199741334</v>
      </c>
      <c r="S409" s="350">
        <f t="shared" si="191"/>
        <v>89490886.168523699</v>
      </c>
      <c r="T409" s="350">
        <f t="shared" si="192"/>
        <v>120282577.53205091</v>
      </c>
      <c r="U409" s="350">
        <f t="shared" si="193"/>
        <v>151543682.52010721</v>
      </c>
      <c r="V409" s="350">
        <f t="shared" si="194"/>
        <v>449768278.95771313</v>
      </c>
      <c r="W409" s="365"/>
      <c r="X409" s="377">
        <f t="shared" si="172"/>
        <v>0</v>
      </c>
      <c r="Y409" s="377">
        <f t="shared" si="173"/>
        <v>0</v>
      </c>
      <c r="Z409" s="377">
        <f t="shared" si="174"/>
        <v>0</v>
      </c>
      <c r="AA409" s="377">
        <f t="shared" si="175"/>
        <v>0</v>
      </c>
      <c r="AB409" s="377">
        <f t="shared" si="176"/>
        <v>0</v>
      </c>
      <c r="AC409" s="377">
        <f t="shared" si="177"/>
        <v>0</v>
      </c>
      <c r="AD409" s="376"/>
      <c r="AE409" s="332">
        <v>394</v>
      </c>
      <c r="AF409" s="350">
        <v>114211072.19756928</v>
      </c>
      <c r="AG409" s="350">
        <v>115147831.46573871</v>
      </c>
      <c r="AH409" s="350">
        <v>116045339.1525306</v>
      </c>
      <c r="AI409" s="350">
        <v>116944979.56413513</v>
      </c>
      <c r="AJ409" s="350">
        <v>117849547.25758454</v>
      </c>
      <c r="AK409" s="348">
        <v>580198769.63755822</v>
      </c>
      <c r="AL409" s="369"/>
      <c r="AM409" s="350">
        <v>144641673.3120349</v>
      </c>
      <c r="AN409" s="350">
        <v>176603407.32866156</v>
      </c>
      <c r="AO409" s="350">
        <v>208995182.48731694</v>
      </c>
      <c r="AP409" s="350">
        <v>241871119.63249612</v>
      </c>
      <c r="AQ409" s="350">
        <v>275239455.52592325</v>
      </c>
      <c r="AR409" s="348">
        <v>1047350838.2864327</v>
      </c>
      <c r="AS409" s="369"/>
      <c r="AT409" s="350">
        <f t="shared" si="195"/>
        <v>30430601.114465624</v>
      </c>
      <c r="AU409" s="350">
        <f t="shared" si="178"/>
        <v>61455575.862922847</v>
      </c>
      <c r="AV409" s="350">
        <f t="shared" si="179"/>
        <v>92949843.334786341</v>
      </c>
      <c r="AW409" s="350">
        <f t="shared" si="180"/>
        <v>124926140.06836098</v>
      </c>
      <c r="AX409" s="350">
        <f t="shared" si="181"/>
        <v>157389908.26833871</v>
      </c>
      <c r="AY409" s="350">
        <f t="shared" si="182"/>
        <v>467152068.64887452</v>
      </c>
      <c r="AZ409" s="365"/>
      <c r="BA409" s="377">
        <f t="shared" si="183"/>
        <v>0</v>
      </c>
      <c r="BB409" s="377">
        <f t="shared" si="184"/>
        <v>0</v>
      </c>
      <c r="BC409" s="377">
        <f t="shared" si="185"/>
        <v>0</v>
      </c>
      <c r="BD409" s="377">
        <f t="shared" si="186"/>
        <v>0</v>
      </c>
      <c r="BE409" s="377">
        <f t="shared" si="187"/>
        <v>0</v>
      </c>
      <c r="BF409" s="377">
        <f t="shared" si="188"/>
        <v>0</v>
      </c>
      <c r="BG409" s="328"/>
    </row>
    <row r="410" spans="2:59">
      <c r="B410" s="332">
        <v>395</v>
      </c>
      <c r="C410" s="350">
        <v>136558292.48146075</v>
      </c>
      <c r="D410" s="350">
        <v>137678343.66096556</v>
      </c>
      <c r="E410" s="350">
        <v>138751463.06032884</v>
      </c>
      <c r="F410" s="350">
        <v>139827132.48617497</v>
      </c>
      <c r="G410" s="350">
        <v>140908693.29525018</v>
      </c>
      <c r="H410" s="348">
        <v>693723924.98418033</v>
      </c>
      <c r="I410" s="369"/>
      <c r="J410" s="350">
        <v>172488028.62581587</v>
      </c>
      <c r="K410" s="350">
        <v>210252420.13586733</v>
      </c>
      <c r="L410" s="350">
        <v>248524178.66468394</v>
      </c>
      <c r="M410" s="350">
        <v>287367824.89825553</v>
      </c>
      <c r="N410" s="350">
        <v>326793127.81960899</v>
      </c>
      <c r="O410" s="348">
        <v>1245425580.1442316</v>
      </c>
      <c r="P410" s="369"/>
      <c r="Q410" s="350">
        <f t="shared" si="189"/>
        <v>35929736.144355118</v>
      </c>
      <c r="R410" s="350">
        <f t="shared" si="190"/>
        <v>72574076.474901766</v>
      </c>
      <c r="S410" s="350">
        <f t="shared" si="191"/>
        <v>109772715.6043551</v>
      </c>
      <c r="T410" s="350">
        <f t="shared" si="192"/>
        <v>147540692.41208056</v>
      </c>
      <c r="U410" s="350">
        <f t="shared" si="193"/>
        <v>185884434.52435881</v>
      </c>
      <c r="V410" s="350">
        <f t="shared" si="194"/>
        <v>551701655.16005123</v>
      </c>
      <c r="W410" s="365"/>
      <c r="X410" s="377">
        <f t="shared" si="172"/>
        <v>0</v>
      </c>
      <c r="Y410" s="377">
        <f t="shared" si="173"/>
        <v>0</v>
      </c>
      <c r="Z410" s="377">
        <f t="shared" si="174"/>
        <v>0</v>
      </c>
      <c r="AA410" s="377">
        <f t="shared" si="175"/>
        <v>0</v>
      </c>
      <c r="AB410" s="377">
        <f t="shared" si="176"/>
        <v>0</v>
      </c>
      <c r="AC410" s="377">
        <f t="shared" si="177"/>
        <v>0</v>
      </c>
      <c r="AD410" s="376"/>
      <c r="AE410" s="332">
        <v>395</v>
      </c>
      <c r="AF410" s="350">
        <v>152096957.20467031</v>
      </c>
      <c r="AG410" s="350">
        <v>153344456.51958245</v>
      </c>
      <c r="AH410" s="350">
        <v>154539683.79135436</v>
      </c>
      <c r="AI410" s="350">
        <v>155737751.25145754</v>
      </c>
      <c r="AJ410" s="350">
        <v>156942380.46219909</v>
      </c>
      <c r="AK410" s="348">
        <v>772661229.22926378</v>
      </c>
      <c r="AL410" s="369"/>
      <c r="AM410" s="350">
        <v>188113093.08948162</v>
      </c>
      <c r="AN410" s="350">
        <v>226074295.40046981</v>
      </c>
      <c r="AO410" s="350">
        <v>264538565.00675043</v>
      </c>
      <c r="AP410" s="350">
        <v>303576088.14080018</v>
      </c>
      <c r="AQ410" s="350">
        <v>343197026.58475709</v>
      </c>
      <c r="AR410" s="348">
        <v>1325499068.222259</v>
      </c>
      <c r="AS410" s="369"/>
      <c r="AT410" s="350">
        <f t="shared" si="195"/>
        <v>36016135.884811312</v>
      </c>
      <c r="AU410" s="350">
        <f t="shared" si="178"/>
        <v>72729838.880887359</v>
      </c>
      <c r="AV410" s="350">
        <f t="shared" si="179"/>
        <v>109998881.21539608</v>
      </c>
      <c r="AW410" s="350">
        <f t="shared" si="180"/>
        <v>147838336.88934264</v>
      </c>
      <c r="AX410" s="350">
        <f t="shared" si="181"/>
        <v>186254646.122558</v>
      </c>
      <c r="AY410" s="350">
        <f t="shared" si="182"/>
        <v>552837838.99299526</v>
      </c>
      <c r="AZ410" s="365"/>
      <c r="BA410" s="377">
        <f t="shared" si="183"/>
        <v>0</v>
      </c>
      <c r="BB410" s="377">
        <f t="shared" si="184"/>
        <v>0</v>
      </c>
      <c r="BC410" s="377">
        <f t="shared" si="185"/>
        <v>0</v>
      </c>
      <c r="BD410" s="377">
        <f t="shared" si="186"/>
        <v>0</v>
      </c>
      <c r="BE410" s="377">
        <f t="shared" si="187"/>
        <v>0</v>
      </c>
      <c r="BF410" s="377">
        <f t="shared" si="188"/>
        <v>0</v>
      </c>
      <c r="BG410" s="328"/>
    </row>
    <row r="411" spans="2:59">
      <c r="B411" s="332">
        <v>396</v>
      </c>
      <c r="C411" s="350">
        <v>130447631.47515827</v>
      </c>
      <c r="D411" s="350">
        <v>131517563.01019998</v>
      </c>
      <c r="E411" s="350">
        <v>132542662.85139769</v>
      </c>
      <c r="F411" s="350">
        <v>133570198.61141697</v>
      </c>
      <c r="G411" s="350">
        <v>134603362.12918261</v>
      </c>
      <c r="H411" s="348">
        <v>662681418.0773555</v>
      </c>
      <c r="I411" s="369"/>
      <c r="J411" s="350">
        <v>160303051.4311837</v>
      </c>
      <c r="K411" s="350">
        <v>191826231.7933757</v>
      </c>
      <c r="L411" s="350">
        <v>223765231.88783893</v>
      </c>
      <c r="M411" s="350">
        <v>256179815.94329065</v>
      </c>
      <c r="N411" s="350">
        <v>289078517.38029617</v>
      </c>
      <c r="O411" s="348">
        <v>1121152848.4359853</v>
      </c>
      <c r="P411" s="369"/>
      <c r="Q411" s="350">
        <f t="shared" si="189"/>
        <v>29855419.956025422</v>
      </c>
      <c r="R411" s="350">
        <f t="shared" si="190"/>
        <v>60308668.783175722</v>
      </c>
      <c r="S411" s="350">
        <f t="shared" si="191"/>
        <v>91222569.036441237</v>
      </c>
      <c r="T411" s="350">
        <f t="shared" si="192"/>
        <v>122609617.33187369</v>
      </c>
      <c r="U411" s="350">
        <f t="shared" si="193"/>
        <v>154475155.25111356</v>
      </c>
      <c r="V411" s="350">
        <f t="shared" si="194"/>
        <v>458471430.35862982</v>
      </c>
      <c r="W411" s="365"/>
      <c r="X411" s="377">
        <f t="shared" si="172"/>
        <v>0</v>
      </c>
      <c r="Y411" s="377">
        <f t="shared" si="173"/>
        <v>0</v>
      </c>
      <c r="Z411" s="377">
        <f t="shared" si="174"/>
        <v>0</v>
      </c>
      <c r="AA411" s="377">
        <f t="shared" si="175"/>
        <v>0</v>
      </c>
      <c r="AB411" s="377">
        <f t="shared" si="176"/>
        <v>0</v>
      </c>
      <c r="AC411" s="377">
        <f t="shared" si="177"/>
        <v>0</v>
      </c>
      <c r="AD411" s="376"/>
      <c r="AE411" s="332">
        <v>396</v>
      </c>
      <c r="AF411" s="350">
        <v>126932233.75894457</v>
      </c>
      <c r="AG411" s="350">
        <v>127973332.00025558</v>
      </c>
      <c r="AH411" s="350">
        <v>128970806.70483807</v>
      </c>
      <c r="AI411" s="350">
        <v>129970651.68332881</v>
      </c>
      <c r="AJ411" s="350">
        <v>130975972.75865404</v>
      </c>
      <c r="AK411" s="348">
        <v>644822996.90602112</v>
      </c>
      <c r="AL411" s="369"/>
      <c r="AM411" s="350">
        <v>162376087.25493336</v>
      </c>
      <c r="AN411" s="350">
        <v>199542016.71383983</v>
      </c>
      <c r="AO411" s="350">
        <v>237210752.02711952</v>
      </c>
      <c r="AP411" s="350">
        <v>275443121.18049979</v>
      </c>
      <c r="AQ411" s="350">
        <v>314248567.04380715</v>
      </c>
      <c r="AR411" s="348">
        <v>1188820544.2201996</v>
      </c>
      <c r="AS411" s="369"/>
      <c r="AT411" s="350">
        <f t="shared" si="195"/>
        <v>35443853.495988786</v>
      </c>
      <c r="AU411" s="350">
        <f t="shared" si="178"/>
        <v>71568684.713584244</v>
      </c>
      <c r="AV411" s="350">
        <f t="shared" si="179"/>
        <v>108239945.32228145</v>
      </c>
      <c r="AW411" s="350">
        <f t="shared" si="180"/>
        <v>145472469.49717098</v>
      </c>
      <c r="AX411" s="350">
        <f t="shared" si="181"/>
        <v>183272594.28515309</v>
      </c>
      <c r="AY411" s="350">
        <f t="shared" si="182"/>
        <v>543997547.31417847</v>
      </c>
      <c r="AZ411" s="365"/>
      <c r="BA411" s="377">
        <f t="shared" si="183"/>
        <v>0</v>
      </c>
      <c r="BB411" s="377">
        <f t="shared" si="184"/>
        <v>0</v>
      </c>
      <c r="BC411" s="377">
        <f t="shared" si="185"/>
        <v>0</v>
      </c>
      <c r="BD411" s="377">
        <f t="shared" si="186"/>
        <v>0</v>
      </c>
      <c r="BE411" s="377">
        <f t="shared" si="187"/>
        <v>0</v>
      </c>
      <c r="BF411" s="377">
        <f t="shared" si="188"/>
        <v>0</v>
      </c>
      <c r="BG411" s="328"/>
    </row>
    <row r="412" spans="2:59">
      <c r="B412" s="332">
        <v>397</v>
      </c>
      <c r="C412" s="350">
        <v>132827796.32978913</v>
      </c>
      <c r="D412" s="350">
        <v>133917249.97809395</v>
      </c>
      <c r="E412" s="350">
        <v>134961053.92749906</v>
      </c>
      <c r="F412" s="350">
        <v>136007338.24182492</v>
      </c>
      <c r="G412" s="350">
        <v>137059352.99871436</v>
      </c>
      <c r="H412" s="348">
        <v>674772791.47592139</v>
      </c>
      <c r="I412" s="369"/>
      <c r="J412" s="350">
        <v>163235927.55945611</v>
      </c>
      <c r="K412" s="350">
        <v>195341772.54876012</v>
      </c>
      <c r="L412" s="350">
        <v>227871137.35297209</v>
      </c>
      <c r="M412" s="350">
        <v>260884879.96557412</v>
      </c>
      <c r="N412" s="350">
        <v>294391690.83704233</v>
      </c>
      <c r="O412" s="348">
        <v>1141725408.2638049</v>
      </c>
      <c r="P412" s="369"/>
      <c r="Q412" s="350">
        <f t="shared" si="189"/>
        <v>30408131.229666978</v>
      </c>
      <c r="R412" s="350">
        <f t="shared" si="190"/>
        <v>61424522.570666164</v>
      </c>
      <c r="S412" s="350">
        <f t="shared" si="191"/>
        <v>92910083.425473034</v>
      </c>
      <c r="T412" s="350">
        <f t="shared" si="192"/>
        <v>124877541.72374919</v>
      </c>
      <c r="U412" s="350">
        <f t="shared" si="193"/>
        <v>157332337.83832797</v>
      </c>
      <c r="V412" s="350">
        <f t="shared" si="194"/>
        <v>466952616.78788352</v>
      </c>
      <c r="W412" s="365"/>
      <c r="X412" s="377">
        <f t="shared" si="172"/>
        <v>0</v>
      </c>
      <c r="Y412" s="377">
        <f t="shared" si="173"/>
        <v>0</v>
      </c>
      <c r="Z412" s="377">
        <f t="shared" si="174"/>
        <v>0</v>
      </c>
      <c r="AA412" s="377">
        <f t="shared" si="175"/>
        <v>0</v>
      </c>
      <c r="AB412" s="377">
        <f t="shared" si="176"/>
        <v>0</v>
      </c>
      <c r="AC412" s="377">
        <f t="shared" si="177"/>
        <v>0</v>
      </c>
      <c r="AD412" s="376"/>
      <c r="AE412" s="332">
        <v>397</v>
      </c>
      <c r="AF412" s="350">
        <v>102644598.90911806</v>
      </c>
      <c r="AG412" s="350">
        <v>103486489.9579064</v>
      </c>
      <c r="AH412" s="350">
        <v>104293104.54225457</v>
      </c>
      <c r="AI412" s="350">
        <v>105101635.86443532</v>
      </c>
      <c r="AJ412" s="350">
        <v>105914595.46890913</v>
      </c>
      <c r="AK412" s="348">
        <v>521440424.74262345</v>
      </c>
      <c r="AL412" s="369"/>
      <c r="AM412" s="350">
        <v>127183277.18452838</v>
      </c>
      <c r="AN412" s="350">
        <v>153061529.53416711</v>
      </c>
      <c r="AO412" s="350">
        <v>179283221.1530298</v>
      </c>
      <c r="AP412" s="350">
        <v>205895816.77603248</v>
      </c>
      <c r="AQ412" s="350">
        <v>232906219.24886912</v>
      </c>
      <c r="AR412" s="348">
        <v>898330063.89662695</v>
      </c>
      <c r="AS412" s="369"/>
      <c r="AT412" s="350">
        <f t="shared" si="195"/>
        <v>24538678.275410324</v>
      </c>
      <c r="AU412" s="350">
        <f t="shared" si="178"/>
        <v>49575039.576260716</v>
      </c>
      <c r="AV412" s="350">
        <f t="shared" si="179"/>
        <v>74990116.610775232</v>
      </c>
      <c r="AW412" s="350">
        <f t="shared" si="180"/>
        <v>100794180.91159716</v>
      </c>
      <c r="AX412" s="350">
        <f t="shared" si="181"/>
        <v>126991623.77995999</v>
      </c>
      <c r="AY412" s="350">
        <f t="shared" si="182"/>
        <v>376889639.1540035</v>
      </c>
      <c r="AZ412" s="365"/>
      <c r="BA412" s="377">
        <f t="shared" si="183"/>
        <v>0</v>
      </c>
      <c r="BB412" s="377">
        <f t="shared" si="184"/>
        <v>0</v>
      </c>
      <c r="BC412" s="377">
        <f t="shared" si="185"/>
        <v>0</v>
      </c>
      <c r="BD412" s="377">
        <f t="shared" si="186"/>
        <v>0</v>
      </c>
      <c r="BE412" s="377">
        <f t="shared" si="187"/>
        <v>0</v>
      </c>
      <c r="BF412" s="377">
        <f t="shared" si="188"/>
        <v>0</v>
      </c>
      <c r="BG412" s="328"/>
    </row>
    <row r="413" spans="2:59">
      <c r="B413" s="332">
        <v>398</v>
      </c>
      <c r="C413" s="350">
        <v>126227461.04781178</v>
      </c>
      <c r="D413" s="350">
        <v>127262778.74301289</v>
      </c>
      <c r="E413" s="350">
        <v>128254715.11480932</v>
      </c>
      <c r="F413" s="350">
        <v>129249008.59991384</v>
      </c>
      <c r="G413" s="350">
        <v>130248747.77662413</v>
      </c>
      <c r="H413" s="348">
        <v>641242711.28217196</v>
      </c>
      <c r="I413" s="369"/>
      <c r="J413" s="350">
        <v>155592915.8393653</v>
      </c>
      <c r="K413" s="350">
        <v>186583058.50887108</v>
      </c>
      <c r="L413" s="350">
        <v>217982932.49202549</v>
      </c>
      <c r="M413" s="350">
        <v>249850567.83148193</v>
      </c>
      <c r="N413" s="350">
        <v>282194307.23151392</v>
      </c>
      <c r="O413" s="348">
        <v>1092203781.9032578</v>
      </c>
      <c r="P413" s="369"/>
      <c r="Q413" s="350">
        <f t="shared" si="189"/>
        <v>29365454.791553527</v>
      </c>
      <c r="R413" s="350">
        <f t="shared" si="190"/>
        <v>59320279.765858188</v>
      </c>
      <c r="S413" s="350">
        <f t="shared" si="191"/>
        <v>89728217.377216175</v>
      </c>
      <c r="T413" s="350">
        <f t="shared" si="192"/>
        <v>120601559.2315681</v>
      </c>
      <c r="U413" s="350">
        <f t="shared" si="193"/>
        <v>151945559.45488977</v>
      </c>
      <c r="V413" s="350">
        <f t="shared" si="194"/>
        <v>450961070.62108588</v>
      </c>
      <c r="W413" s="365"/>
      <c r="X413" s="377">
        <f t="shared" si="172"/>
        <v>0</v>
      </c>
      <c r="Y413" s="377">
        <f t="shared" si="173"/>
        <v>0</v>
      </c>
      <c r="Z413" s="377">
        <f t="shared" si="174"/>
        <v>0</v>
      </c>
      <c r="AA413" s="377">
        <f t="shared" si="175"/>
        <v>0</v>
      </c>
      <c r="AB413" s="377">
        <f t="shared" si="176"/>
        <v>0</v>
      </c>
      <c r="AC413" s="377">
        <f t="shared" si="177"/>
        <v>0</v>
      </c>
      <c r="AD413" s="376"/>
      <c r="AE413" s="332">
        <v>398</v>
      </c>
      <c r="AF413" s="350">
        <v>111376284.60159723</v>
      </c>
      <c r="AG413" s="350">
        <v>112289792.94056407</v>
      </c>
      <c r="AH413" s="350">
        <v>113165023.94604254</v>
      </c>
      <c r="AI413" s="350">
        <v>114042334.74081941</v>
      </c>
      <c r="AJ413" s="350">
        <v>114924450.51933828</v>
      </c>
      <c r="AK413" s="348">
        <v>565797886.74836147</v>
      </c>
      <c r="AL413" s="369"/>
      <c r="AM413" s="350">
        <v>141043869.55795759</v>
      </c>
      <c r="AN413" s="350">
        <v>172220063.40734369</v>
      </c>
      <c r="AO413" s="350">
        <v>203815749.26860201</v>
      </c>
      <c r="AP413" s="350">
        <v>235883702.31566212</v>
      </c>
      <c r="AQ413" s="350">
        <v>268431955.87578091</v>
      </c>
      <c r="AR413" s="348">
        <v>1021395340.4253464</v>
      </c>
      <c r="AS413" s="369"/>
      <c r="AT413" s="350">
        <f t="shared" si="195"/>
        <v>29667584.956360355</v>
      </c>
      <c r="AU413" s="350">
        <f t="shared" si="178"/>
        <v>59930270.466779619</v>
      </c>
      <c r="AV413" s="350">
        <f t="shared" si="179"/>
        <v>90650725.322559476</v>
      </c>
      <c r="AW413" s="350">
        <f t="shared" si="180"/>
        <v>121841367.57484271</v>
      </c>
      <c r="AX413" s="350">
        <f t="shared" si="181"/>
        <v>153507505.35644263</v>
      </c>
      <c r="AY413" s="350">
        <f t="shared" si="182"/>
        <v>455597453.67698491</v>
      </c>
      <c r="AZ413" s="365"/>
      <c r="BA413" s="377">
        <f t="shared" si="183"/>
        <v>0</v>
      </c>
      <c r="BB413" s="377">
        <f t="shared" si="184"/>
        <v>0</v>
      </c>
      <c r="BC413" s="377">
        <f t="shared" si="185"/>
        <v>0</v>
      </c>
      <c r="BD413" s="377">
        <f t="shared" si="186"/>
        <v>0</v>
      </c>
      <c r="BE413" s="377">
        <f t="shared" si="187"/>
        <v>0</v>
      </c>
      <c r="BF413" s="377">
        <f t="shared" si="188"/>
        <v>0</v>
      </c>
      <c r="BG413" s="328"/>
    </row>
    <row r="414" spans="2:59">
      <c r="B414" s="332">
        <v>399</v>
      </c>
      <c r="C414" s="350">
        <v>129167617.01497692</v>
      </c>
      <c r="D414" s="350">
        <v>130227049.87081094</v>
      </c>
      <c r="E414" s="350">
        <v>131242090.94279203</v>
      </c>
      <c r="F414" s="350">
        <v>132259544.03119588</v>
      </c>
      <c r="G414" s="350">
        <v>133282569.65509929</v>
      </c>
      <c r="H414" s="348">
        <v>656178871.51487505</v>
      </c>
      <c r="I414" s="369"/>
      <c r="J414" s="350">
        <v>159145036.37779433</v>
      </c>
      <c r="K414" s="350">
        <v>190792466.89964589</v>
      </c>
      <c r="L414" s="350">
        <v>222858200.10812524</v>
      </c>
      <c r="M414" s="350">
        <v>255401588.0576655</v>
      </c>
      <c r="N414" s="350">
        <v>288431156.24970996</v>
      </c>
      <c r="O414" s="348">
        <v>1116628447.6929407</v>
      </c>
      <c r="P414" s="369"/>
      <c r="Q414" s="350">
        <f t="shared" si="189"/>
        <v>29977419.362817407</v>
      </c>
      <c r="R414" s="350">
        <f t="shared" si="190"/>
        <v>60565417.028834954</v>
      </c>
      <c r="S414" s="350">
        <f t="shared" si="191"/>
        <v>91616109.165333211</v>
      </c>
      <c r="T414" s="350">
        <f t="shared" si="192"/>
        <v>123142044.02646962</v>
      </c>
      <c r="U414" s="350">
        <f t="shared" si="193"/>
        <v>155148586.59461069</v>
      </c>
      <c r="V414" s="350">
        <f t="shared" si="194"/>
        <v>460449576.17806566</v>
      </c>
      <c r="W414" s="365"/>
      <c r="X414" s="377">
        <f t="shared" si="172"/>
        <v>0</v>
      </c>
      <c r="Y414" s="377">
        <f t="shared" si="173"/>
        <v>0</v>
      </c>
      <c r="Z414" s="377">
        <f t="shared" si="174"/>
        <v>0</v>
      </c>
      <c r="AA414" s="377">
        <f t="shared" si="175"/>
        <v>0</v>
      </c>
      <c r="AB414" s="377">
        <f t="shared" si="176"/>
        <v>0</v>
      </c>
      <c r="AC414" s="377">
        <f t="shared" si="177"/>
        <v>0</v>
      </c>
      <c r="AD414" s="376"/>
      <c r="AE414" s="332">
        <v>399</v>
      </c>
      <c r="AF414" s="350">
        <v>145516554.36718926</v>
      </c>
      <c r="AG414" s="350">
        <v>146710081.21491677</v>
      </c>
      <c r="AH414" s="350">
        <v>147853597.54470044</v>
      </c>
      <c r="AI414" s="350">
        <v>148999831.18341202</v>
      </c>
      <c r="AJ414" s="350">
        <v>150152342.6817275</v>
      </c>
      <c r="AK414" s="348">
        <v>739232406.99194598</v>
      </c>
      <c r="AL414" s="369"/>
      <c r="AM414" s="350">
        <v>172231200.32918885</v>
      </c>
      <c r="AN414" s="350">
        <v>200666283.07507494</v>
      </c>
      <c r="AO414" s="350">
        <v>229463421.30730027</v>
      </c>
      <c r="AP414" s="350">
        <v>258686524.38549852</v>
      </c>
      <c r="AQ414" s="350">
        <v>288343931.28513455</v>
      </c>
      <c r="AR414" s="348">
        <v>1149391360.3821971</v>
      </c>
      <c r="AS414" s="369"/>
      <c r="AT414" s="350">
        <f t="shared" si="195"/>
        <v>26714645.961999595</v>
      </c>
      <c r="AU414" s="350">
        <f t="shared" si="178"/>
        <v>53956201.860158175</v>
      </c>
      <c r="AV414" s="350">
        <f t="shared" si="179"/>
        <v>81609823.762599826</v>
      </c>
      <c r="AW414" s="350">
        <f t="shared" si="180"/>
        <v>109686693.20208651</v>
      </c>
      <c r="AX414" s="350">
        <f t="shared" si="181"/>
        <v>138191588.60340706</v>
      </c>
      <c r="AY414" s="350">
        <f t="shared" si="182"/>
        <v>410158953.39025116</v>
      </c>
      <c r="AZ414" s="365"/>
      <c r="BA414" s="377">
        <f t="shared" si="183"/>
        <v>0</v>
      </c>
      <c r="BB414" s="377">
        <f t="shared" si="184"/>
        <v>0</v>
      </c>
      <c r="BC414" s="377">
        <f t="shared" si="185"/>
        <v>0</v>
      </c>
      <c r="BD414" s="377">
        <f t="shared" si="186"/>
        <v>0</v>
      </c>
      <c r="BE414" s="377">
        <f t="shared" si="187"/>
        <v>0</v>
      </c>
      <c r="BF414" s="377">
        <f t="shared" si="188"/>
        <v>0</v>
      </c>
      <c r="BG414" s="328"/>
    </row>
    <row r="415" spans="2:59">
      <c r="B415" s="332">
        <v>400</v>
      </c>
      <c r="C415" s="350">
        <v>133725172.72697297</v>
      </c>
      <c r="D415" s="350">
        <v>134821986.65691179</v>
      </c>
      <c r="E415" s="350">
        <v>135872842.48140156</v>
      </c>
      <c r="F415" s="350">
        <v>136926195.42800444</v>
      </c>
      <c r="G415" s="350">
        <v>137985317.53168726</v>
      </c>
      <c r="H415" s="348">
        <v>679331514.82497811</v>
      </c>
      <c r="I415" s="369"/>
      <c r="J415" s="350">
        <v>166280868.42287445</v>
      </c>
      <c r="K415" s="350">
        <v>200600091.89310321</v>
      </c>
      <c r="L415" s="350">
        <v>235375903.27438232</v>
      </c>
      <c r="M415" s="350">
        <v>270670385.49087393</v>
      </c>
      <c r="N415" s="350">
        <v>306492637.54022998</v>
      </c>
      <c r="O415" s="348">
        <v>1179419886.621464</v>
      </c>
      <c r="P415" s="369"/>
      <c r="Q415" s="350">
        <f t="shared" si="189"/>
        <v>32555695.695901483</v>
      </c>
      <c r="R415" s="350">
        <f t="shared" si="190"/>
        <v>65778105.236191422</v>
      </c>
      <c r="S415" s="350">
        <f t="shared" si="191"/>
        <v>99503060.79298076</v>
      </c>
      <c r="T415" s="350">
        <f t="shared" si="192"/>
        <v>133744190.06286949</v>
      </c>
      <c r="U415" s="350">
        <f t="shared" si="193"/>
        <v>168507320.00854272</v>
      </c>
      <c r="V415" s="350">
        <f t="shared" si="194"/>
        <v>500088371.7964859</v>
      </c>
      <c r="W415" s="365"/>
      <c r="X415" s="377">
        <f t="shared" si="172"/>
        <v>0</v>
      </c>
      <c r="Y415" s="377">
        <f t="shared" si="173"/>
        <v>0</v>
      </c>
      <c r="Z415" s="377">
        <f t="shared" si="174"/>
        <v>0</v>
      </c>
      <c r="AA415" s="377">
        <f t="shared" si="175"/>
        <v>0</v>
      </c>
      <c r="AB415" s="377">
        <f t="shared" si="176"/>
        <v>0</v>
      </c>
      <c r="AC415" s="377">
        <f t="shared" si="177"/>
        <v>0</v>
      </c>
      <c r="AD415" s="376"/>
      <c r="AE415" s="332">
        <v>400</v>
      </c>
      <c r="AF415" s="350">
        <v>122910042.93458821</v>
      </c>
      <c r="AG415" s="350">
        <v>123918151.16485599</v>
      </c>
      <c r="AH415" s="350">
        <v>124884018.18803641</v>
      </c>
      <c r="AI415" s="350">
        <v>125852180.37659138</v>
      </c>
      <c r="AJ415" s="350">
        <v>126825645.1370551</v>
      </c>
      <c r="AK415" s="348">
        <v>624390037.80112708</v>
      </c>
      <c r="AL415" s="369"/>
      <c r="AM415" s="350">
        <v>153532510.61769572</v>
      </c>
      <c r="AN415" s="350">
        <v>185781396.74903834</v>
      </c>
      <c r="AO415" s="350">
        <v>218460608.03493154</v>
      </c>
      <c r="AP415" s="350">
        <v>251627498.81249863</v>
      </c>
      <c r="AQ415" s="350">
        <v>285290556.08805215</v>
      </c>
      <c r="AR415" s="348">
        <v>1094692570.3022165</v>
      </c>
      <c r="AS415" s="369"/>
      <c r="AT415" s="350">
        <f t="shared" si="195"/>
        <v>30622467.68310751</v>
      </c>
      <c r="AU415" s="350">
        <f t="shared" si="178"/>
        <v>61863245.584182352</v>
      </c>
      <c r="AV415" s="350">
        <f t="shared" si="179"/>
        <v>93576589.846895128</v>
      </c>
      <c r="AW415" s="350">
        <f t="shared" si="180"/>
        <v>125775318.43590724</v>
      </c>
      <c r="AX415" s="350">
        <f t="shared" si="181"/>
        <v>158464910.95099705</v>
      </c>
      <c r="AY415" s="350">
        <f t="shared" si="182"/>
        <v>470302532.50108945</v>
      </c>
      <c r="AZ415" s="365"/>
      <c r="BA415" s="377">
        <f t="shared" si="183"/>
        <v>0</v>
      </c>
      <c r="BB415" s="377">
        <f t="shared" si="184"/>
        <v>0</v>
      </c>
      <c r="BC415" s="377">
        <f t="shared" si="185"/>
        <v>0</v>
      </c>
      <c r="BD415" s="377">
        <f t="shared" si="186"/>
        <v>0</v>
      </c>
      <c r="BE415" s="377">
        <f t="shared" si="187"/>
        <v>0</v>
      </c>
      <c r="BF415" s="377">
        <f t="shared" si="188"/>
        <v>0</v>
      </c>
      <c r="BG415" s="328"/>
    </row>
    <row r="416" spans="2:59">
      <c r="B416" s="332">
        <v>401</v>
      </c>
      <c r="C416" s="350">
        <v>129861122.97212015</v>
      </c>
      <c r="D416" s="350">
        <v>130926243.96414258</v>
      </c>
      <c r="E416" s="350">
        <v>131946734.83109888</v>
      </c>
      <c r="F416" s="350">
        <v>132969650.66468778</v>
      </c>
      <c r="G416" s="350">
        <v>133998168.95293605</v>
      </c>
      <c r="H416" s="348">
        <v>659701921.38498545</v>
      </c>
      <c r="I416" s="369"/>
      <c r="J416" s="350">
        <v>169721748.66989452</v>
      </c>
      <c r="K416" s="350">
        <v>211432540.31619763</v>
      </c>
      <c r="L416" s="350">
        <v>253713522.98257506</v>
      </c>
      <c r="M416" s="350">
        <v>296628435.53723967</v>
      </c>
      <c r="N416" s="350">
        <v>340187585.12685853</v>
      </c>
      <c r="O416" s="348">
        <v>1271683832.6327655</v>
      </c>
      <c r="P416" s="369"/>
      <c r="Q416" s="350">
        <f t="shared" si="189"/>
        <v>39860625.697774366</v>
      </c>
      <c r="R416" s="350">
        <f t="shared" si="190"/>
        <v>80506296.352055058</v>
      </c>
      <c r="S416" s="350">
        <f t="shared" si="191"/>
        <v>121766788.15147617</v>
      </c>
      <c r="T416" s="350">
        <f t="shared" si="192"/>
        <v>163658784.87255189</v>
      </c>
      <c r="U416" s="350">
        <f t="shared" si="193"/>
        <v>206189416.17392248</v>
      </c>
      <c r="V416" s="350">
        <f t="shared" si="194"/>
        <v>611981911.24778008</v>
      </c>
      <c r="W416" s="365"/>
      <c r="X416" s="377">
        <f t="shared" si="172"/>
        <v>0</v>
      </c>
      <c r="Y416" s="377">
        <f t="shared" si="173"/>
        <v>0</v>
      </c>
      <c r="Z416" s="377">
        <f t="shared" si="174"/>
        <v>0</v>
      </c>
      <c r="AA416" s="377">
        <f t="shared" si="175"/>
        <v>0</v>
      </c>
      <c r="AB416" s="377">
        <f t="shared" si="176"/>
        <v>0</v>
      </c>
      <c r="AC416" s="377">
        <f t="shared" si="177"/>
        <v>0</v>
      </c>
      <c r="AD416" s="376"/>
      <c r="AE416" s="332">
        <v>401</v>
      </c>
      <c r="AF416" s="350">
        <v>144155134.60638195</v>
      </c>
      <c r="AG416" s="350">
        <v>145337495.08858755</v>
      </c>
      <c r="AH416" s="350">
        <v>146470312.93987206</v>
      </c>
      <c r="AI416" s="350">
        <v>147605822.67756063</v>
      </c>
      <c r="AJ416" s="350">
        <v>148747551.54062757</v>
      </c>
      <c r="AK416" s="348">
        <v>732316316.85302985</v>
      </c>
      <c r="AL416" s="369"/>
      <c r="AM416" s="350">
        <v>181168431.96957356</v>
      </c>
      <c r="AN416" s="350">
        <v>220098327.94784117</v>
      </c>
      <c r="AO416" s="350">
        <v>259549666.63484758</v>
      </c>
      <c r="AP416" s="350">
        <v>299590174.86004311</v>
      </c>
      <c r="AQ416" s="350">
        <v>340230001.03904343</v>
      </c>
      <c r="AR416" s="348">
        <v>1300636602.4513488</v>
      </c>
      <c r="AS416" s="369"/>
      <c r="AT416" s="350">
        <f t="shared" si="195"/>
        <v>37013297.363191605</v>
      </c>
      <c r="AU416" s="350">
        <f t="shared" si="178"/>
        <v>74760832.859253615</v>
      </c>
      <c r="AV416" s="350">
        <f t="shared" si="179"/>
        <v>113079353.69497553</v>
      </c>
      <c r="AW416" s="350">
        <f t="shared" si="180"/>
        <v>151984352.18248248</v>
      </c>
      <c r="AX416" s="350">
        <f t="shared" si="181"/>
        <v>191482449.49841586</v>
      </c>
      <c r="AY416" s="350">
        <f t="shared" si="182"/>
        <v>568320285.59831893</v>
      </c>
      <c r="AZ416" s="365"/>
      <c r="BA416" s="377">
        <f t="shared" si="183"/>
        <v>0</v>
      </c>
      <c r="BB416" s="377">
        <f t="shared" si="184"/>
        <v>0</v>
      </c>
      <c r="BC416" s="377">
        <f t="shared" si="185"/>
        <v>0</v>
      </c>
      <c r="BD416" s="377">
        <f t="shared" si="186"/>
        <v>0</v>
      </c>
      <c r="BE416" s="377">
        <f t="shared" si="187"/>
        <v>0</v>
      </c>
      <c r="BF416" s="377">
        <f t="shared" si="188"/>
        <v>0</v>
      </c>
      <c r="BG416" s="328"/>
    </row>
    <row r="417" spans="2:59">
      <c r="B417" s="332">
        <v>402</v>
      </c>
      <c r="C417" s="350">
        <v>122533451.0089801</v>
      </c>
      <c r="D417" s="350">
        <v>123538470.43209596</v>
      </c>
      <c r="E417" s="350">
        <v>124501378.07365508</v>
      </c>
      <c r="F417" s="350">
        <v>125466573.84828496</v>
      </c>
      <c r="G417" s="350">
        <v>126437055.94793507</v>
      </c>
      <c r="H417" s="348">
        <v>622476929.31095111</v>
      </c>
      <c r="I417" s="369"/>
      <c r="J417" s="350">
        <v>153983764.17080155</v>
      </c>
      <c r="K417" s="350">
        <v>187062431.42604902</v>
      </c>
      <c r="L417" s="350">
        <v>220584146.33773303</v>
      </c>
      <c r="M417" s="350">
        <v>254606472.65542799</v>
      </c>
      <c r="N417" s="350">
        <v>289138034.52142501</v>
      </c>
      <c r="O417" s="348">
        <v>1105374849.1114366</v>
      </c>
      <c r="P417" s="369"/>
      <c r="Q417" s="350">
        <f t="shared" si="189"/>
        <v>31450313.161821455</v>
      </c>
      <c r="R417" s="350">
        <f t="shared" si="190"/>
        <v>63523960.993953064</v>
      </c>
      <c r="S417" s="350">
        <f t="shared" si="191"/>
        <v>96082768.264077947</v>
      </c>
      <c r="T417" s="350">
        <f t="shared" si="192"/>
        <v>129139898.80714303</v>
      </c>
      <c r="U417" s="350">
        <f t="shared" si="193"/>
        <v>162700978.57348993</v>
      </c>
      <c r="V417" s="350">
        <f t="shared" si="194"/>
        <v>482897919.80048549</v>
      </c>
      <c r="W417" s="365"/>
      <c r="X417" s="377">
        <f t="shared" si="172"/>
        <v>0</v>
      </c>
      <c r="Y417" s="377">
        <f t="shared" si="173"/>
        <v>0</v>
      </c>
      <c r="Z417" s="377">
        <f t="shared" si="174"/>
        <v>0</v>
      </c>
      <c r="AA417" s="377">
        <f t="shared" si="175"/>
        <v>0</v>
      </c>
      <c r="AB417" s="377">
        <f t="shared" si="176"/>
        <v>0</v>
      </c>
      <c r="AC417" s="377">
        <f t="shared" si="177"/>
        <v>0</v>
      </c>
      <c r="AD417" s="376"/>
      <c r="AE417" s="332">
        <v>402</v>
      </c>
      <c r="AF417" s="350">
        <v>133552894.23756343</v>
      </c>
      <c r="AG417" s="350">
        <v>134648295.1392507</v>
      </c>
      <c r="AH417" s="350">
        <v>135697797.14343619</v>
      </c>
      <c r="AI417" s="350">
        <v>136749793.0526858</v>
      </c>
      <c r="AJ417" s="350">
        <v>137807550.68659529</v>
      </c>
      <c r="AK417" s="348">
        <v>678456330.25953138</v>
      </c>
      <c r="AL417" s="369"/>
      <c r="AM417" s="350">
        <v>164320227.05864447</v>
      </c>
      <c r="AN417" s="350">
        <v>196798497.93145218</v>
      </c>
      <c r="AO417" s="350">
        <v>229705583.00285718</v>
      </c>
      <c r="AP417" s="350">
        <v>263102753.36117959</v>
      </c>
      <c r="AQ417" s="350">
        <v>296998781.47826481</v>
      </c>
      <c r="AR417" s="348">
        <v>1150925842.8323984</v>
      </c>
      <c r="AS417" s="369"/>
      <c r="AT417" s="350">
        <f t="shared" si="195"/>
        <v>30767332.821081042</v>
      </c>
      <c r="AU417" s="350">
        <f t="shared" si="178"/>
        <v>62150202.792201489</v>
      </c>
      <c r="AV417" s="350">
        <f t="shared" si="179"/>
        <v>94007785.859420985</v>
      </c>
      <c r="AW417" s="350">
        <f t="shared" si="180"/>
        <v>126352960.30849379</v>
      </c>
      <c r="AX417" s="350">
        <f t="shared" si="181"/>
        <v>159191230.79166952</v>
      </c>
      <c r="AY417" s="350">
        <f t="shared" si="182"/>
        <v>472469512.57286704</v>
      </c>
      <c r="AZ417" s="365"/>
      <c r="BA417" s="377">
        <f t="shared" si="183"/>
        <v>0</v>
      </c>
      <c r="BB417" s="377">
        <f t="shared" si="184"/>
        <v>0</v>
      </c>
      <c r="BC417" s="377">
        <f t="shared" si="185"/>
        <v>0</v>
      </c>
      <c r="BD417" s="377">
        <f t="shared" si="186"/>
        <v>0</v>
      </c>
      <c r="BE417" s="377">
        <f t="shared" si="187"/>
        <v>0</v>
      </c>
      <c r="BF417" s="377">
        <f t="shared" si="188"/>
        <v>0</v>
      </c>
      <c r="BG417" s="328"/>
    </row>
    <row r="418" spans="2:59">
      <c r="B418" s="332">
        <v>403</v>
      </c>
      <c r="C418" s="350">
        <v>121863399.65522164</v>
      </c>
      <c r="D418" s="350">
        <v>122862923.31681715</v>
      </c>
      <c r="E418" s="350">
        <v>123820565.47728959</v>
      </c>
      <c r="F418" s="350">
        <v>124780483.25860327</v>
      </c>
      <c r="G418" s="350">
        <v>125745658.45765355</v>
      </c>
      <c r="H418" s="348">
        <v>619073030.16558528</v>
      </c>
      <c r="I418" s="369"/>
      <c r="J418" s="350">
        <v>149982817.34633014</v>
      </c>
      <c r="K418" s="350">
        <v>179691718.36229777</v>
      </c>
      <c r="L418" s="350">
        <v>209793023.04286635</v>
      </c>
      <c r="M418" s="350">
        <v>240342659.97996065</v>
      </c>
      <c r="N418" s="350">
        <v>271348646.06028128</v>
      </c>
      <c r="O418" s="348">
        <v>1051158864.7917362</v>
      </c>
      <c r="P418" s="369"/>
      <c r="Q418" s="350">
        <f t="shared" si="189"/>
        <v>28119417.691108495</v>
      </c>
      <c r="R418" s="350">
        <f t="shared" si="190"/>
        <v>56828795.045480624</v>
      </c>
      <c r="S418" s="350">
        <f t="shared" si="191"/>
        <v>85972457.565576762</v>
      </c>
      <c r="T418" s="350">
        <f t="shared" si="192"/>
        <v>115562176.72135738</v>
      </c>
      <c r="U418" s="350">
        <f t="shared" si="193"/>
        <v>145602987.60262772</v>
      </c>
      <c r="V418" s="350">
        <f t="shared" si="194"/>
        <v>432085834.62615097</v>
      </c>
      <c r="W418" s="365"/>
      <c r="X418" s="377">
        <f t="shared" si="172"/>
        <v>0</v>
      </c>
      <c r="Y418" s="377">
        <f t="shared" si="173"/>
        <v>0</v>
      </c>
      <c r="Z418" s="377">
        <f t="shared" si="174"/>
        <v>0</v>
      </c>
      <c r="AA418" s="377">
        <f t="shared" si="175"/>
        <v>0</v>
      </c>
      <c r="AB418" s="377">
        <f t="shared" si="176"/>
        <v>0</v>
      </c>
      <c r="AC418" s="377">
        <f t="shared" si="177"/>
        <v>0</v>
      </c>
      <c r="AD418" s="376"/>
      <c r="AE418" s="332">
        <v>403</v>
      </c>
      <c r="AF418" s="350">
        <v>123583755.21781632</v>
      </c>
      <c r="AG418" s="350">
        <v>124597389.23654971</v>
      </c>
      <c r="AH418" s="350">
        <v>125568550.50958917</v>
      </c>
      <c r="AI418" s="350">
        <v>126542019.52859516</v>
      </c>
      <c r="AJ418" s="350">
        <v>127520820.18473314</v>
      </c>
      <c r="AK418" s="348">
        <v>627812534.67728341</v>
      </c>
      <c r="AL418" s="369"/>
      <c r="AM418" s="350">
        <v>151240209.03716394</v>
      </c>
      <c r="AN418" s="350">
        <v>180463531.19255298</v>
      </c>
      <c r="AO418" s="350">
        <v>210071094.52134657</v>
      </c>
      <c r="AP418" s="350">
        <v>240119255.67633981</v>
      </c>
      <c r="AQ418" s="350">
        <v>270615986.61656266</v>
      </c>
      <c r="AR418" s="348">
        <v>1052510077.0439658</v>
      </c>
      <c r="AS418" s="369"/>
      <c r="AT418" s="350">
        <f t="shared" si="195"/>
        <v>27656453.81934762</v>
      </c>
      <c r="AU418" s="350">
        <f t="shared" si="178"/>
        <v>55866141.956003278</v>
      </c>
      <c r="AV418" s="350">
        <f t="shared" si="179"/>
        <v>84502544.011757404</v>
      </c>
      <c r="AW418" s="350">
        <f t="shared" si="180"/>
        <v>113577236.14774464</v>
      </c>
      <c r="AX418" s="350">
        <f t="shared" si="181"/>
        <v>143095166.43182951</v>
      </c>
      <c r="AY418" s="350">
        <f t="shared" si="182"/>
        <v>424697542.36668241</v>
      </c>
      <c r="AZ418" s="365"/>
      <c r="BA418" s="377">
        <f t="shared" si="183"/>
        <v>0</v>
      </c>
      <c r="BB418" s="377">
        <f t="shared" si="184"/>
        <v>0</v>
      </c>
      <c r="BC418" s="377">
        <f t="shared" si="185"/>
        <v>0</v>
      </c>
      <c r="BD418" s="377">
        <f t="shared" si="186"/>
        <v>0</v>
      </c>
      <c r="BE418" s="377">
        <f t="shared" si="187"/>
        <v>0</v>
      </c>
      <c r="BF418" s="377">
        <f t="shared" si="188"/>
        <v>0</v>
      </c>
      <c r="BG418" s="328"/>
    </row>
    <row r="419" spans="2:59">
      <c r="B419" s="332">
        <v>404</v>
      </c>
      <c r="C419" s="350">
        <v>146477567.88945454</v>
      </c>
      <c r="D419" s="350">
        <v>147678976.97054607</v>
      </c>
      <c r="E419" s="350">
        <v>148830045.25660464</v>
      </c>
      <c r="F419" s="350">
        <v>149983848.79711372</v>
      </c>
      <c r="G419" s="350">
        <v>151143971.65716922</v>
      </c>
      <c r="H419" s="348">
        <v>744114410.57088816</v>
      </c>
      <c r="I419" s="369"/>
      <c r="J419" s="350">
        <v>182713875.54196325</v>
      </c>
      <c r="K419" s="350">
        <v>220868009.0282118</v>
      </c>
      <c r="L419" s="350">
        <v>259530763.29372418</v>
      </c>
      <c r="M419" s="350">
        <v>298770381.34893501</v>
      </c>
      <c r="N419" s="350">
        <v>338596929.07508481</v>
      </c>
      <c r="O419" s="348">
        <v>1300479958.287919</v>
      </c>
      <c r="P419" s="369"/>
      <c r="Q419" s="350">
        <f t="shared" si="189"/>
        <v>36236307.652508706</v>
      </c>
      <c r="R419" s="350">
        <f t="shared" si="190"/>
        <v>73189032.057665735</v>
      </c>
      <c r="S419" s="350">
        <f t="shared" si="191"/>
        <v>110700718.03711954</v>
      </c>
      <c r="T419" s="350">
        <f t="shared" si="192"/>
        <v>148786532.55182129</v>
      </c>
      <c r="U419" s="350">
        <f t="shared" si="193"/>
        <v>187452957.41791558</v>
      </c>
      <c r="V419" s="350">
        <f t="shared" si="194"/>
        <v>556365547.71703088</v>
      </c>
      <c r="W419" s="365"/>
      <c r="X419" s="377">
        <f t="shared" si="172"/>
        <v>0</v>
      </c>
      <c r="Y419" s="377">
        <f t="shared" si="173"/>
        <v>0</v>
      </c>
      <c r="Z419" s="377">
        <f t="shared" si="174"/>
        <v>0</v>
      </c>
      <c r="AA419" s="377">
        <f t="shared" si="175"/>
        <v>0</v>
      </c>
      <c r="AB419" s="377">
        <f t="shared" si="176"/>
        <v>0</v>
      </c>
      <c r="AC419" s="377">
        <f t="shared" si="177"/>
        <v>0</v>
      </c>
      <c r="AD419" s="376"/>
      <c r="AE419" s="332">
        <v>404</v>
      </c>
      <c r="AF419" s="350">
        <v>124915326.54855743</v>
      </c>
      <c r="AG419" s="350">
        <v>125939882.1159752</v>
      </c>
      <c r="AH419" s="350">
        <v>126921507.30885941</v>
      </c>
      <c r="AI419" s="350">
        <v>127905465.11285809</v>
      </c>
      <c r="AJ419" s="350">
        <v>128894812.00049649</v>
      </c>
      <c r="AK419" s="348">
        <v>634576993.08674657</v>
      </c>
      <c r="AL419" s="369"/>
      <c r="AM419" s="350">
        <v>152339045.34142694</v>
      </c>
      <c r="AN419" s="350">
        <v>181335374.04535201</v>
      </c>
      <c r="AO419" s="350">
        <v>210711887.22957146</v>
      </c>
      <c r="AP419" s="350">
        <v>240525326.59583661</v>
      </c>
      <c r="AQ419" s="350">
        <v>270783654.96543491</v>
      </c>
      <c r="AR419" s="348">
        <v>1055695288.177622</v>
      </c>
      <c r="AS419" s="369"/>
      <c r="AT419" s="350">
        <f t="shared" si="195"/>
        <v>27423718.792869508</v>
      </c>
      <c r="AU419" s="350">
        <f t="shared" si="178"/>
        <v>55395491.929376811</v>
      </c>
      <c r="AV419" s="350">
        <f t="shared" si="179"/>
        <v>83790379.920712054</v>
      </c>
      <c r="AW419" s="350">
        <f t="shared" si="180"/>
        <v>112619861.48297852</v>
      </c>
      <c r="AX419" s="350">
        <f t="shared" si="181"/>
        <v>141888842.9649384</v>
      </c>
      <c r="AY419" s="350">
        <f t="shared" si="182"/>
        <v>421118295.09087539</v>
      </c>
      <c r="AZ419" s="365"/>
      <c r="BA419" s="377">
        <f t="shared" si="183"/>
        <v>0</v>
      </c>
      <c r="BB419" s="377">
        <f t="shared" si="184"/>
        <v>0</v>
      </c>
      <c r="BC419" s="377">
        <f t="shared" si="185"/>
        <v>0</v>
      </c>
      <c r="BD419" s="377">
        <f t="shared" si="186"/>
        <v>0</v>
      </c>
      <c r="BE419" s="377">
        <f t="shared" si="187"/>
        <v>0</v>
      </c>
      <c r="BF419" s="377">
        <f t="shared" si="188"/>
        <v>0</v>
      </c>
      <c r="BG419" s="328"/>
    </row>
    <row r="420" spans="2:59">
      <c r="B420" s="332">
        <v>405</v>
      </c>
      <c r="C420" s="350">
        <v>140697174.77715448</v>
      </c>
      <c r="D420" s="350">
        <v>141851173.07120568</v>
      </c>
      <c r="E420" s="350">
        <v>142956817.15143952</v>
      </c>
      <c r="F420" s="350">
        <v>144065088.54573265</v>
      </c>
      <c r="G420" s="350">
        <v>145179429.88247156</v>
      </c>
      <c r="H420" s="348">
        <v>714749683.42800391</v>
      </c>
      <c r="I420" s="369"/>
      <c r="J420" s="350">
        <v>177069864.8403497</v>
      </c>
      <c r="K420" s="350">
        <v>215310200.99319729</v>
      </c>
      <c r="L420" s="350">
        <v>254063163.06951746</v>
      </c>
      <c r="M420" s="350">
        <v>293394956.33827275</v>
      </c>
      <c r="N420" s="350">
        <v>333315528.80533409</v>
      </c>
      <c r="O420" s="348">
        <v>1273153714.0466714</v>
      </c>
      <c r="P420" s="369"/>
      <c r="Q420" s="350">
        <f t="shared" si="189"/>
        <v>36372690.063195229</v>
      </c>
      <c r="R420" s="350">
        <f t="shared" si="190"/>
        <v>73459027.921991616</v>
      </c>
      <c r="S420" s="350">
        <f t="shared" si="191"/>
        <v>111106345.91807795</v>
      </c>
      <c r="T420" s="350">
        <f t="shared" si="192"/>
        <v>149329867.7925401</v>
      </c>
      <c r="U420" s="350">
        <f t="shared" si="193"/>
        <v>188136098.92286253</v>
      </c>
      <c r="V420" s="350">
        <f t="shared" si="194"/>
        <v>558404030.61866748</v>
      </c>
      <c r="W420" s="365"/>
      <c r="X420" s="377">
        <f t="shared" si="172"/>
        <v>0</v>
      </c>
      <c r="Y420" s="377">
        <f t="shared" si="173"/>
        <v>0</v>
      </c>
      <c r="Z420" s="377">
        <f t="shared" si="174"/>
        <v>0</v>
      </c>
      <c r="AA420" s="377">
        <f t="shared" si="175"/>
        <v>0</v>
      </c>
      <c r="AB420" s="377">
        <f t="shared" si="176"/>
        <v>0</v>
      </c>
      <c r="AC420" s="377">
        <f t="shared" si="177"/>
        <v>0</v>
      </c>
      <c r="AD420" s="376"/>
      <c r="AE420" s="332">
        <v>405</v>
      </c>
      <c r="AF420" s="350">
        <v>154338961.98007041</v>
      </c>
      <c r="AG420" s="350">
        <v>155604850.21921045</v>
      </c>
      <c r="AH420" s="350">
        <v>156817695.89243007</v>
      </c>
      <c r="AI420" s="350">
        <v>158033423.62014264</v>
      </c>
      <c r="AJ420" s="350">
        <v>159255809.82282346</v>
      </c>
      <c r="AK420" s="348">
        <v>784050741.53467703</v>
      </c>
      <c r="AL420" s="369"/>
      <c r="AM420" s="350">
        <v>189171049.89854711</v>
      </c>
      <c r="AN420" s="350">
        <v>225999634.76086834</v>
      </c>
      <c r="AO420" s="350">
        <v>263313131.91909769</v>
      </c>
      <c r="AP420" s="350">
        <v>301182047.53976011</v>
      </c>
      <c r="AQ420" s="350">
        <v>339616395.08186138</v>
      </c>
      <c r="AR420" s="348">
        <v>1319282259.2001348</v>
      </c>
      <c r="AS420" s="369"/>
      <c r="AT420" s="350">
        <f t="shared" si="195"/>
        <v>34832087.918476701</v>
      </c>
      <c r="AU420" s="350">
        <f t="shared" si="178"/>
        <v>70394784.541657895</v>
      </c>
      <c r="AV420" s="350">
        <f t="shared" si="179"/>
        <v>106495436.02666762</v>
      </c>
      <c r="AW420" s="350">
        <f t="shared" si="180"/>
        <v>143148623.91961747</v>
      </c>
      <c r="AX420" s="350">
        <f t="shared" si="181"/>
        <v>180360585.25903791</v>
      </c>
      <c r="AY420" s="350">
        <f t="shared" si="182"/>
        <v>535231517.66545773</v>
      </c>
      <c r="AZ420" s="365"/>
      <c r="BA420" s="377">
        <f t="shared" si="183"/>
        <v>0</v>
      </c>
      <c r="BB420" s="377">
        <f t="shared" si="184"/>
        <v>0</v>
      </c>
      <c r="BC420" s="377">
        <f t="shared" si="185"/>
        <v>0</v>
      </c>
      <c r="BD420" s="377">
        <f t="shared" si="186"/>
        <v>0</v>
      </c>
      <c r="BE420" s="377">
        <f t="shared" si="187"/>
        <v>0</v>
      </c>
      <c r="BF420" s="377">
        <f t="shared" si="188"/>
        <v>0</v>
      </c>
      <c r="BG420" s="328"/>
    </row>
    <row r="421" spans="2:59">
      <c r="B421" s="332">
        <v>406</v>
      </c>
      <c r="C421" s="350">
        <v>114601260.05491635</v>
      </c>
      <c r="D421" s="350">
        <v>115541219.64407626</v>
      </c>
      <c r="E421" s="350">
        <v>116441793.55373538</v>
      </c>
      <c r="F421" s="350">
        <v>117344507.47439496</v>
      </c>
      <c r="G421" s="350">
        <v>118252165.5103422</v>
      </c>
      <c r="H421" s="348">
        <v>582180946.23746514</v>
      </c>
      <c r="I421" s="369"/>
      <c r="J421" s="350">
        <v>144529156.41381943</v>
      </c>
      <c r="K421" s="350">
        <v>175988722.63859057</v>
      </c>
      <c r="L421" s="350">
        <v>207870554.87275758</v>
      </c>
      <c r="M421" s="350">
        <v>240228705.33878267</v>
      </c>
      <c r="N421" s="350">
        <v>273071331.53422612</v>
      </c>
      <c r="O421" s="348">
        <v>1041688470.7981763</v>
      </c>
      <c r="P421" s="369"/>
      <c r="Q421" s="350">
        <f t="shared" si="189"/>
        <v>29927896.35890308</v>
      </c>
      <c r="R421" s="350">
        <f t="shared" si="190"/>
        <v>60447502.994514316</v>
      </c>
      <c r="S421" s="350">
        <f t="shared" si="191"/>
        <v>91428761.319022208</v>
      </c>
      <c r="T421" s="350">
        <f t="shared" si="192"/>
        <v>122884197.86438771</v>
      </c>
      <c r="U421" s="350">
        <f t="shared" si="193"/>
        <v>154819166.02388394</v>
      </c>
      <c r="V421" s="350">
        <f t="shared" si="194"/>
        <v>459507524.56071115</v>
      </c>
      <c r="W421" s="365"/>
      <c r="X421" s="377">
        <f t="shared" si="172"/>
        <v>0</v>
      </c>
      <c r="Y421" s="377">
        <f t="shared" si="173"/>
        <v>0</v>
      </c>
      <c r="Z421" s="377">
        <f t="shared" si="174"/>
        <v>0</v>
      </c>
      <c r="AA421" s="377">
        <f t="shared" si="175"/>
        <v>0</v>
      </c>
      <c r="AB421" s="377">
        <f t="shared" si="176"/>
        <v>0</v>
      </c>
      <c r="AC421" s="377">
        <f t="shared" si="177"/>
        <v>0</v>
      </c>
      <c r="AD421" s="376"/>
      <c r="AE421" s="332">
        <v>406</v>
      </c>
      <c r="AF421" s="350">
        <v>124863537.51843895</v>
      </c>
      <c r="AG421" s="350">
        <v>125887668.31220713</v>
      </c>
      <c r="AH421" s="350">
        <v>126868886.53007808</v>
      </c>
      <c r="AI421" s="350">
        <v>127852436.39197911</v>
      </c>
      <c r="AJ421" s="350">
        <v>128841373.10324299</v>
      </c>
      <c r="AK421" s="348">
        <v>634313901.8559463</v>
      </c>
      <c r="AL421" s="369"/>
      <c r="AM421" s="350">
        <v>156671368.75058019</v>
      </c>
      <c r="AN421" s="350">
        <v>190140367.27107716</v>
      </c>
      <c r="AO421" s="350">
        <v>224057230.94037756</v>
      </c>
      <c r="AP421" s="350">
        <v>258480517.82364002</v>
      </c>
      <c r="AQ421" s="350">
        <v>293418974.04058695</v>
      </c>
      <c r="AR421" s="348">
        <v>1122768458.826262</v>
      </c>
      <c r="AS421" s="369"/>
      <c r="AT421" s="350">
        <f t="shared" si="195"/>
        <v>31807831.232141241</v>
      </c>
      <c r="AU421" s="350">
        <f t="shared" si="178"/>
        <v>64252698.958870023</v>
      </c>
      <c r="AV421" s="350">
        <f t="shared" si="179"/>
        <v>97188344.41029948</v>
      </c>
      <c r="AW421" s="350">
        <f t="shared" si="180"/>
        <v>130628081.43166091</v>
      </c>
      <c r="AX421" s="350">
        <f t="shared" si="181"/>
        <v>164577600.93734396</v>
      </c>
      <c r="AY421" s="350">
        <f t="shared" si="182"/>
        <v>488454556.97031569</v>
      </c>
      <c r="AZ421" s="365"/>
      <c r="BA421" s="377">
        <f t="shared" si="183"/>
        <v>0</v>
      </c>
      <c r="BB421" s="377">
        <f t="shared" si="184"/>
        <v>0</v>
      </c>
      <c r="BC421" s="377">
        <f t="shared" si="185"/>
        <v>0</v>
      </c>
      <c r="BD421" s="377">
        <f t="shared" si="186"/>
        <v>0</v>
      </c>
      <c r="BE421" s="377">
        <f t="shared" si="187"/>
        <v>0</v>
      </c>
      <c r="BF421" s="377">
        <f t="shared" si="188"/>
        <v>0</v>
      </c>
      <c r="BG421" s="328"/>
    </row>
    <row r="422" spans="2:59">
      <c r="B422" s="332">
        <v>407</v>
      </c>
      <c r="C422" s="350">
        <v>128679195.31915365</v>
      </c>
      <c r="D422" s="350">
        <v>129734622.14000763</v>
      </c>
      <c r="E422" s="350">
        <v>130745825.03572468</v>
      </c>
      <c r="F422" s="350">
        <v>131759430.82730335</v>
      </c>
      <c r="G422" s="350">
        <v>132778588.08294508</v>
      </c>
      <c r="H422" s="348">
        <v>653697661.40513444</v>
      </c>
      <c r="I422" s="369"/>
      <c r="J422" s="350">
        <v>159634664.15232509</v>
      </c>
      <c r="K422" s="350">
        <v>192257710.13439852</v>
      </c>
      <c r="L422" s="350">
        <v>225314036.5910511</v>
      </c>
      <c r="M422" s="350">
        <v>258863226.97981775</v>
      </c>
      <c r="N422" s="350">
        <v>292913967.08948553</v>
      </c>
      <c r="O422" s="348">
        <v>1128983604.947078</v>
      </c>
      <c r="P422" s="369"/>
      <c r="Q422" s="350">
        <f t="shared" si="189"/>
        <v>30955468.833171442</v>
      </c>
      <c r="R422" s="350">
        <f t="shared" si="190"/>
        <v>62523087.99439089</v>
      </c>
      <c r="S422" s="350">
        <f t="shared" si="191"/>
        <v>94568211.555326417</v>
      </c>
      <c r="T422" s="350">
        <f t="shared" si="192"/>
        <v>127103796.1525144</v>
      </c>
      <c r="U422" s="350">
        <f t="shared" si="193"/>
        <v>160135379.00654045</v>
      </c>
      <c r="V422" s="350">
        <f t="shared" si="194"/>
        <v>475285943.54194355</v>
      </c>
      <c r="W422" s="365"/>
      <c r="X422" s="377">
        <f t="shared" si="172"/>
        <v>0</v>
      </c>
      <c r="Y422" s="377">
        <f t="shared" si="173"/>
        <v>0</v>
      </c>
      <c r="Z422" s="377">
        <f t="shared" si="174"/>
        <v>0</v>
      </c>
      <c r="AA422" s="377">
        <f t="shared" si="175"/>
        <v>0</v>
      </c>
      <c r="AB422" s="377">
        <f t="shared" si="176"/>
        <v>0</v>
      </c>
      <c r="AC422" s="377">
        <f t="shared" si="177"/>
        <v>0</v>
      </c>
      <c r="AD422" s="376"/>
      <c r="AE422" s="332">
        <v>407</v>
      </c>
      <c r="AF422" s="350">
        <v>111761830.40985797</v>
      </c>
      <c r="AG422" s="350">
        <v>112678500.99572648</v>
      </c>
      <c r="AH422" s="350">
        <v>113556761.74534328</v>
      </c>
      <c r="AI422" s="350">
        <v>114437109.48376279</v>
      </c>
      <c r="AJ422" s="350">
        <v>115322278.83910038</v>
      </c>
      <c r="AK422" s="348">
        <v>567756481.47379088</v>
      </c>
      <c r="AL422" s="369"/>
      <c r="AM422" s="350">
        <v>141515514.31157589</v>
      </c>
      <c r="AN422" s="350">
        <v>172779532.32068601</v>
      </c>
      <c r="AO422" s="350">
        <v>204464189.01702079</v>
      </c>
      <c r="AP422" s="350">
        <v>236622435.13966244</v>
      </c>
      <c r="AQ422" s="350">
        <v>269262328.37141478</v>
      </c>
      <c r="AR422" s="348">
        <v>1024643999.16036</v>
      </c>
      <c r="AS422" s="369"/>
      <c r="AT422" s="350">
        <f t="shared" si="195"/>
        <v>29753683.901717916</v>
      </c>
      <c r="AU422" s="350">
        <f t="shared" si="178"/>
        <v>60101031.324959531</v>
      </c>
      <c r="AV422" s="350">
        <f t="shared" si="179"/>
        <v>90907427.271677509</v>
      </c>
      <c r="AW422" s="350">
        <f t="shared" si="180"/>
        <v>122185325.65589966</v>
      </c>
      <c r="AX422" s="350">
        <f t="shared" si="181"/>
        <v>153940049.53231442</v>
      </c>
      <c r="AY422" s="350">
        <f t="shared" si="182"/>
        <v>456887517.68656909</v>
      </c>
      <c r="AZ422" s="365"/>
      <c r="BA422" s="377">
        <f t="shared" si="183"/>
        <v>0</v>
      </c>
      <c r="BB422" s="377">
        <f t="shared" si="184"/>
        <v>0</v>
      </c>
      <c r="BC422" s="377">
        <f t="shared" si="185"/>
        <v>0</v>
      </c>
      <c r="BD422" s="377">
        <f t="shared" si="186"/>
        <v>0</v>
      </c>
      <c r="BE422" s="377">
        <f t="shared" si="187"/>
        <v>0</v>
      </c>
      <c r="BF422" s="377">
        <f t="shared" si="188"/>
        <v>0</v>
      </c>
      <c r="BG422" s="328"/>
    </row>
    <row r="423" spans="2:59">
      <c r="B423" s="332">
        <v>408</v>
      </c>
      <c r="C423" s="350">
        <v>127768564.7729103</v>
      </c>
      <c r="D423" s="350">
        <v>128816522.60159335</v>
      </c>
      <c r="E423" s="350">
        <v>129820569.4668192</v>
      </c>
      <c r="F423" s="350">
        <v>130827002.22321241</v>
      </c>
      <c r="G423" s="350">
        <v>131838947.15734318</v>
      </c>
      <c r="H423" s="348">
        <v>649071606.22187841</v>
      </c>
      <c r="I423" s="369"/>
      <c r="J423" s="350">
        <v>161121410.82007909</v>
      </c>
      <c r="K423" s="350">
        <v>196177411.47952208</v>
      </c>
      <c r="L423" s="350">
        <v>231703918.38011688</v>
      </c>
      <c r="M423" s="350">
        <v>267761188.21030563</v>
      </c>
      <c r="N423" s="350">
        <v>304358312.64697927</v>
      </c>
      <c r="O423" s="348">
        <v>1161122241.537003</v>
      </c>
      <c r="P423" s="369"/>
      <c r="Q423" s="350">
        <f t="shared" si="189"/>
        <v>33352846.047168791</v>
      </c>
      <c r="R423" s="350">
        <f t="shared" si="190"/>
        <v>67360888.877928734</v>
      </c>
      <c r="S423" s="350">
        <f t="shared" si="191"/>
        <v>101883348.91329768</v>
      </c>
      <c r="T423" s="350">
        <f t="shared" si="192"/>
        <v>136934185.98709321</v>
      </c>
      <c r="U423" s="350">
        <f t="shared" si="193"/>
        <v>172519365.48963609</v>
      </c>
      <c r="V423" s="350">
        <f t="shared" si="194"/>
        <v>512050635.31512463</v>
      </c>
      <c r="W423" s="365"/>
      <c r="X423" s="377">
        <f t="shared" si="172"/>
        <v>0</v>
      </c>
      <c r="Y423" s="377">
        <f t="shared" si="173"/>
        <v>0</v>
      </c>
      <c r="Z423" s="377">
        <f t="shared" si="174"/>
        <v>0</v>
      </c>
      <c r="AA423" s="377">
        <f t="shared" si="175"/>
        <v>0</v>
      </c>
      <c r="AB423" s="377">
        <f t="shared" si="176"/>
        <v>0</v>
      </c>
      <c r="AC423" s="377">
        <f t="shared" si="177"/>
        <v>0</v>
      </c>
      <c r="AD423" s="376"/>
      <c r="AE423" s="332">
        <v>408</v>
      </c>
      <c r="AF423" s="350">
        <v>140426950.90176657</v>
      </c>
      <c r="AG423" s="350">
        <v>141578732.81946403</v>
      </c>
      <c r="AH423" s="350">
        <v>142682253.39275014</v>
      </c>
      <c r="AI423" s="350">
        <v>143788396.23405972</v>
      </c>
      <c r="AJ423" s="350">
        <v>144900597.35984558</v>
      </c>
      <c r="AK423" s="348">
        <v>713376930.70788598</v>
      </c>
      <c r="AL423" s="369"/>
      <c r="AM423" s="350">
        <v>168495398.06401113</v>
      </c>
      <c r="AN423" s="350">
        <v>198291877.20504048</v>
      </c>
      <c r="AO423" s="350">
        <v>228473395.91678846</v>
      </c>
      <c r="AP423" s="350">
        <v>259102587.24179938</v>
      </c>
      <c r="AQ423" s="350">
        <v>290187911.23007107</v>
      </c>
      <c r="AR423" s="348">
        <v>1144551169.6577106</v>
      </c>
      <c r="AS423" s="369"/>
      <c r="AT423" s="350">
        <f t="shared" si="195"/>
        <v>28068447.162244558</v>
      </c>
      <c r="AU423" s="350">
        <f t="shared" si="178"/>
        <v>56713144.385576457</v>
      </c>
      <c r="AV423" s="350">
        <f t="shared" si="179"/>
        <v>85791142.524038315</v>
      </c>
      <c r="AW423" s="350">
        <f t="shared" si="180"/>
        <v>115314191.00773966</v>
      </c>
      <c r="AX423" s="350">
        <f t="shared" si="181"/>
        <v>145287313.87022549</v>
      </c>
      <c r="AY423" s="350">
        <f t="shared" si="182"/>
        <v>431174238.94982457</v>
      </c>
      <c r="AZ423" s="365"/>
      <c r="BA423" s="377">
        <f t="shared" si="183"/>
        <v>0</v>
      </c>
      <c r="BB423" s="377">
        <f t="shared" si="184"/>
        <v>0</v>
      </c>
      <c r="BC423" s="377">
        <f t="shared" si="185"/>
        <v>0</v>
      </c>
      <c r="BD423" s="377">
        <f t="shared" si="186"/>
        <v>0</v>
      </c>
      <c r="BE423" s="377">
        <f t="shared" si="187"/>
        <v>0</v>
      </c>
      <c r="BF423" s="377">
        <f t="shared" si="188"/>
        <v>0</v>
      </c>
      <c r="BG423" s="328"/>
    </row>
    <row r="424" spans="2:59">
      <c r="B424" s="332">
        <v>409</v>
      </c>
      <c r="C424" s="350">
        <v>131999786.96989657</v>
      </c>
      <c r="D424" s="350">
        <v>133082449.28504005</v>
      </c>
      <c r="E424" s="350">
        <v>134119746.4680613</v>
      </c>
      <c r="F424" s="350">
        <v>135159508.55413893</v>
      </c>
      <c r="G424" s="350">
        <v>136204965.36088905</v>
      </c>
      <c r="H424" s="348">
        <v>670566456.63802588</v>
      </c>
      <c r="I424" s="369"/>
      <c r="J424" s="350">
        <v>159426031.96626571</v>
      </c>
      <c r="K424" s="350">
        <v>188473991.25420156</v>
      </c>
      <c r="L424" s="350">
        <v>217899598.11809286</v>
      </c>
      <c r="M424" s="350">
        <v>247762161.86359113</v>
      </c>
      <c r="N424" s="350">
        <v>278069817.72718912</v>
      </c>
      <c r="O424" s="348">
        <v>1091631600.9293404</v>
      </c>
      <c r="P424" s="369"/>
      <c r="Q424" s="350">
        <f t="shared" si="189"/>
        <v>27426244.996369138</v>
      </c>
      <c r="R424" s="350">
        <f t="shared" si="190"/>
        <v>55391541.96916151</v>
      </c>
      <c r="S424" s="350">
        <f t="shared" si="191"/>
        <v>83779851.650031567</v>
      </c>
      <c r="T424" s="350">
        <f t="shared" si="192"/>
        <v>112602653.30945221</v>
      </c>
      <c r="U424" s="350">
        <f t="shared" si="193"/>
        <v>141864852.36630008</v>
      </c>
      <c r="V424" s="350">
        <f t="shared" si="194"/>
        <v>421065144.29131448</v>
      </c>
      <c r="W424" s="365"/>
      <c r="X424" s="377">
        <f t="shared" si="172"/>
        <v>0</v>
      </c>
      <c r="Y424" s="377">
        <f t="shared" si="173"/>
        <v>0</v>
      </c>
      <c r="Z424" s="377">
        <f t="shared" si="174"/>
        <v>0</v>
      </c>
      <c r="AA424" s="377">
        <f t="shared" si="175"/>
        <v>0</v>
      </c>
      <c r="AB424" s="377">
        <f t="shared" si="176"/>
        <v>0</v>
      </c>
      <c r="AC424" s="377">
        <f t="shared" si="177"/>
        <v>0</v>
      </c>
      <c r="AD424" s="376"/>
      <c r="AE424" s="332">
        <v>409</v>
      </c>
      <c r="AF424" s="350">
        <v>137686487.70110369</v>
      </c>
      <c r="AG424" s="350">
        <v>138815792.33833355</v>
      </c>
      <c r="AH424" s="350">
        <v>139897777.46202937</v>
      </c>
      <c r="AI424" s="350">
        <v>140982333.67960453</v>
      </c>
      <c r="AJ424" s="350">
        <v>142072829.9528861</v>
      </c>
      <c r="AK424" s="348">
        <v>699455221.13395727</v>
      </c>
      <c r="AL424" s="369"/>
      <c r="AM424" s="350">
        <v>170760752.79393452</v>
      </c>
      <c r="AN424" s="350">
        <v>205629712.38733095</v>
      </c>
      <c r="AO424" s="350">
        <v>240961717.1902512</v>
      </c>
      <c r="AP424" s="350">
        <v>276820501.91432613</v>
      </c>
      <c r="AQ424" s="350">
        <v>313215353.47678179</v>
      </c>
      <c r="AR424" s="348">
        <v>1207388037.7626247</v>
      </c>
      <c r="AS424" s="369"/>
      <c r="AT424" s="350">
        <f t="shared" si="195"/>
        <v>33074265.092830837</v>
      </c>
      <c r="AU424" s="350">
        <f t="shared" si="178"/>
        <v>66813920.048997402</v>
      </c>
      <c r="AV424" s="350">
        <f t="shared" si="179"/>
        <v>101063939.72822183</v>
      </c>
      <c r="AW424" s="350">
        <f t="shared" si="180"/>
        <v>135838168.2347216</v>
      </c>
      <c r="AX424" s="350">
        <f t="shared" si="181"/>
        <v>171142523.52389568</v>
      </c>
      <c r="AY424" s="350">
        <f t="shared" si="182"/>
        <v>507932816.62866747</v>
      </c>
      <c r="AZ424" s="365"/>
      <c r="BA424" s="377">
        <f t="shared" si="183"/>
        <v>0</v>
      </c>
      <c r="BB424" s="377">
        <f t="shared" si="184"/>
        <v>0</v>
      </c>
      <c r="BC424" s="377">
        <f t="shared" si="185"/>
        <v>0</v>
      </c>
      <c r="BD424" s="377">
        <f t="shared" si="186"/>
        <v>0</v>
      </c>
      <c r="BE424" s="377">
        <f t="shared" si="187"/>
        <v>0</v>
      </c>
      <c r="BF424" s="377">
        <f t="shared" si="188"/>
        <v>0</v>
      </c>
      <c r="BG424" s="328"/>
    </row>
    <row r="425" spans="2:59">
      <c r="B425" s="332">
        <v>410</v>
      </c>
      <c r="C425" s="350">
        <v>147848960.82578892</v>
      </c>
      <c r="D425" s="350">
        <v>149061618.07239273</v>
      </c>
      <c r="E425" s="350">
        <v>150223463.20940179</v>
      </c>
      <c r="F425" s="350">
        <v>151388069.20961976</v>
      </c>
      <c r="G425" s="350">
        <v>152559053.69387123</v>
      </c>
      <c r="H425" s="348">
        <v>751081165.01107454</v>
      </c>
      <c r="I425" s="369"/>
      <c r="J425" s="350">
        <v>174875502.56272221</v>
      </c>
      <c r="K425" s="350">
        <v>203682797.48042905</v>
      </c>
      <c r="L425" s="350">
        <v>232856703.34067243</v>
      </c>
      <c r="M425" s="350">
        <v>262462107.1410439</v>
      </c>
      <c r="N425" s="350">
        <v>292507466.06337947</v>
      </c>
      <c r="O425" s="348">
        <v>1166384576.5882471</v>
      </c>
      <c r="P425" s="369"/>
      <c r="Q425" s="350">
        <f t="shared" si="189"/>
        <v>27026541.736933291</v>
      </c>
      <c r="R425" s="350">
        <f t="shared" si="190"/>
        <v>54621179.408036321</v>
      </c>
      <c r="S425" s="350">
        <f t="shared" si="191"/>
        <v>82633240.131270647</v>
      </c>
      <c r="T425" s="350">
        <f t="shared" si="192"/>
        <v>111074037.93142414</v>
      </c>
      <c r="U425" s="350">
        <f t="shared" si="193"/>
        <v>139948412.36950824</v>
      </c>
      <c r="V425" s="350">
        <f t="shared" si="194"/>
        <v>415303411.57717252</v>
      </c>
      <c r="W425" s="365"/>
      <c r="X425" s="377">
        <f t="shared" si="172"/>
        <v>0</v>
      </c>
      <c r="Y425" s="377">
        <f t="shared" si="173"/>
        <v>0</v>
      </c>
      <c r="Z425" s="377">
        <f t="shared" si="174"/>
        <v>0</v>
      </c>
      <c r="AA425" s="377">
        <f t="shared" si="175"/>
        <v>0</v>
      </c>
      <c r="AB425" s="377">
        <f t="shared" si="176"/>
        <v>0</v>
      </c>
      <c r="AC425" s="377">
        <f t="shared" si="177"/>
        <v>0</v>
      </c>
      <c r="AD425" s="376"/>
      <c r="AE425" s="332">
        <v>410</v>
      </c>
      <c r="AF425" s="350">
        <v>129541975.88205516</v>
      </c>
      <c r="AG425" s="350">
        <v>130604479.22949398</v>
      </c>
      <c r="AH425" s="350">
        <v>131622462.1349975</v>
      </c>
      <c r="AI425" s="350">
        <v>132642864.04752833</v>
      </c>
      <c r="AJ425" s="350">
        <v>133668854.6461089</v>
      </c>
      <c r="AK425" s="348">
        <v>658080635.94018388</v>
      </c>
      <c r="AL425" s="369"/>
      <c r="AM425" s="350">
        <v>159182634.93371403</v>
      </c>
      <c r="AN425" s="350">
        <v>190485296.29549241</v>
      </c>
      <c r="AO425" s="350">
        <v>222200868.08079672</v>
      </c>
      <c r="AP425" s="350">
        <v>254388696.79368255</v>
      </c>
      <c r="AQ425" s="350">
        <v>287057256.18221962</v>
      </c>
      <c r="AR425" s="348">
        <v>1113314752.2859054</v>
      </c>
      <c r="AS425" s="369"/>
      <c r="AT425" s="350">
        <f t="shared" si="195"/>
        <v>29640659.051658869</v>
      </c>
      <c r="AU425" s="350">
        <f t="shared" si="178"/>
        <v>59880817.065998435</v>
      </c>
      <c r="AV425" s="350">
        <f t="shared" si="179"/>
        <v>90578405.945799217</v>
      </c>
      <c r="AW425" s="350">
        <f t="shared" si="180"/>
        <v>121745832.74615422</v>
      </c>
      <c r="AX425" s="350">
        <f t="shared" si="181"/>
        <v>153388401.53611073</v>
      </c>
      <c r="AY425" s="350">
        <f t="shared" si="182"/>
        <v>455234116.34572148</v>
      </c>
      <c r="AZ425" s="365"/>
      <c r="BA425" s="377">
        <f t="shared" si="183"/>
        <v>0</v>
      </c>
      <c r="BB425" s="377">
        <f t="shared" si="184"/>
        <v>0</v>
      </c>
      <c r="BC425" s="377">
        <f t="shared" si="185"/>
        <v>0</v>
      </c>
      <c r="BD425" s="377">
        <f t="shared" si="186"/>
        <v>0</v>
      </c>
      <c r="BE425" s="377">
        <f t="shared" si="187"/>
        <v>0</v>
      </c>
      <c r="BF425" s="377">
        <f t="shared" si="188"/>
        <v>0</v>
      </c>
      <c r="BG425" s="328"/>
    </row>
    <row r="426" spans="2:59">
      <c r="B426" s="332">
        <v>411</v>
      </c>
      <c r="C426" s="350">
        <v>123057837.13982658</v>
      </c>
      <c r="D426" s="350">
        <v>124067157.5782356</v>
      </c>
      <c r="E426" s="350">
        <v>125034186.01626591</v>
      </c>
      <c r="F426" s="350">
        <v>126003512.37951139</v>
      </c>
      <c r="G426" s="350">
        <v>126978147.69078743</v>
      </c>
      <c r="H426" s="348">
        <v>625140840.80462694</v>
      </c>
      <c r="I426" s="369"/>
      <c r="J426" s="350">
        <v>155132834.76574412</v>
      </c>
      <c r="K426" s="350">
        <v>188859708.41902035</v>
      </c>
      <c r="L426" s="350">
        <v>223039192.65513068</v>
      </c>
      <c r="M426" s="350">
        <v>257729303.08244067</v>
      </c>
      <c r="N426" s="350">
        <v>292938789.46406841</v>
      </c>
      <c r="O426" s="348">
        <v>1117699828.3864043</v>
      </c>
      <c r="P426" s="369"/>
      <c r="Q426" s="350">
        <f t="shared" si="189"/>
        <v>32074997.625917539</v>
      </c>
      <c r="R426" s="350">
        <f t="shared" si="190"/>
        <v>64792550.840784758</v>
      </c>
      <c r="S426" s="350">
        <f t="shared" si="191"/>
        <v>98005006.638864771</v>
      </c>
      <c r="T426" s="350">
        <f t="shared" si="192"/>
        <v>131725790.70292929</v>
      </c>
      <c r="U426" s="350">
        <f t="shared" si="193"/>
        <v>165960641.77328098</v>
      </c>
      <c r="V426" s="350">
        <f t="shared" si="194"/>
        <v>492558987.58177733</v>
      </c>
      <c r="W426" s="365"/>
      <c r="X426" s="377">
        <f t="shared" si="172"/>
        <v>0</v>
      </c>
      <c r="Y426" s="377">
        <f t="shared" si="173"/>
        <v>0</v>
      </c>
      <c r="Z426" s="377">
        <f t="shared" si="174"/>
        <v>0</v>
      </c>
      <c r="AA426" s="377">
        <f t="shared" si="175"/>
        <v>0</v>
      </c>
      <c r="AB426" s="377">
        <f t="shared" si="176"/>
        <v>0</v>
      </c>
      <c r="AC426" s="377">
        <f t="shared" si="177"/>
        <v>0</v>
      </c>
      <c r="AD426" s="376"/>
      <c r="AE426" s="332">
        <v>411</v>
      </c>
      <c r="AF426" s="350">
        <v>160337931.60827413</v>
      </c>
      <c r="AG426" s="350">
        <v>161653023.39914131</v>
      </c>
      <c r="AH426" s="350">
        <v>162913010.92341396</v>
      </c>
      <c r="AI426" s="350">
        <v>164175992.52416769</v>
      </c>
      <c r="AJ426" s="350">
        <v>165445891.40679491</v>
      </c>
      <c r="AK426" s="348">
        <v>814525849.86179197</v>
      </c>
      <c r="AL426" s="369"/>
      <c r="AM426" s="350">
        <v>194400024.07621273</v>
      </c>
      <c r="AN426" s="350">
        <v>230465349.61205524</v>
      </c>
      <c r="AO426" s="350">
        <v>267001223.50972298</v>
      </c>
      <c r="AP426" s="350">
        <v>304080001.85758746</v>
      </c>
      <c r="AQ426" s="350">
        <v>341711703.00705153</v>
      </c>
      <c r="AR426" s="348">
        <v>1337658302.0626299</v>
      </c>
      <c r="AS426" s="369"/>
      <c r="AT426" s="350">
        <f t="shared" si="195"/>
        <v>34062092.467938602</v>
      </c>
      <c r="AU426" s="350">
        <f t="shared" si="178"/>
        <v>68812326.21291393</v>
      </c>
      <c r="AV426" s="350">
        <f t="shared" si="179"/>
        <v>104088212.58630902</v>
      </c>
      <c r="AW426" s="350">
        <f t="shared" si="180"/>
        <v>139904009.33341977</v>
      </c>
      <c r="AX426" s="350">
        <f t="shared" si="181"/>
        <v>176265811.60025662</v>
      </c>
      <c r="AY426" s="350">
        <f t="shared" si="182"/>
        <v>523132452.20083797</v>
      </c>
      <c r="AZ426" s="365"/>
      <c r="BA426" s="377">
        <f t="shared" si="183"/>
        <v>0</v>
      </c>
      <c r="BB426" s="377">
        <f t="shared" si="184"/>
        <v>0</v>
      </c>
      <c r="BC426" s="377">
        <f t="shared" si="185"/>
        <v>0</v>
      </c>
      <c r="BD426" s="377">
        <f t="shared" si="186"/>
        <v>0</v>
      </c>
      <c r="BE426" s="377">
        <f t="shared" si="187"/>
        <v>0</v>
      </c>
      <c r="BF426" s="377">
        <f t="shared" si="188"/>
        <v>0</v>
      </c>
      <c r="BG426" s="328"/>
    </row>
    <row r="427" spans="2:59">
      <c r="B427" s="332">
        <v>412</v>
      </c>
      <c r="C427" s="350">
        <v>134648892.88630971</v>
      </c>
      <c r="D427" s="350">
        <v>135753283.16943225</v>
      </c>
      <c r="E427" s="350">
        <v>136811397.88684273</v>
      </c>
      <c r="F427" s="350">
        <v>137872026.97549</v>
      </c>
      <c r="G427" s="350">
        <v>138938465.07225347</v>
      </c>
      <c r="H427" s="348">
        <v>684024065.99032819</v>
      </c>
      <c r="I427" s="369"/>
      <c r="J427" s="350">
        <v>165515282.31529489</v>
      </c>
      <c r="K427" s="350">
        <v>198099966.31441545</v>
      </c>
      <c r="L427" s="350">
        <v>231114559.8535676</v>
      </c>
      <c r="M427" s="350">
        <v>264620772.41674402</v>
      </c>
      <c r="N427" s="350">
        <v>298627420.46377158</v>
      </c>
      <c r="O427" s="348">
        <v>1157978001.3637934</v>
      </c>
      <c r="P427" s="369"/>
      <c r="Q427" s="350">
        <f t="shared" si="189"/>
        <v>30866389.428985178</v>
      </c>
      <c r="R427" s="350">
        <f t="shared" si="190"/>
        <v>62346683.144983202</v>
      </c>
      <c r="S427" s="350">
        <f t="shared" si="191"/>
        <v>94303161.966724873</v>
      </c>
      <c r="T427" s="350">
        <f t="shared" si="192"/>
        <v>126748745.44125402</v>
      </c>
      <c r="U427" s="350">
        <f t="shared" si="193"/>
        <v>159688955.39151812</v>
      </c>
      <c r="V427" s="350">
        <f t="shared" si="194"/>
        <v>473953935.37346518</v>
      </c>
      <c r="W427" s="365"/>
      <c r="X427" s="377">
        <f t="shared" si="172"/>
        <v>0</v>
      </c>
      <c r="Y427" s="377">
        <f t="shared" si="173"/>
        <v>0</v>
      </c>
      <c r="Z427" s="377">
        <f t="shared" si="174"/>
        <v>0</v>
      </c>
      <c r="AA427" s="377">
        <f t="shared" si="175"/>
        <v>0</v>
      </c>
      <c r="AB427" s="377">
        <f t="shared" si="176"/>
        <v>0</v>
      </c>
      <c r="AC427" s="377">
        <f t="shared" si="177"/>
        <v>0</v>
      </c>
      <c r="AD427" s="376"/>
      <c r="AE427" s="332">
        <v>412</v>
      </c>
      <c r="AF427" s="350">
        <v>128466322.16891611</v>
      </c>
      <c r="AG427" s="350">
        <v>129520003.00409117</v>
      </c>
      <c r="AH427" s="350">
        <v>130529533.07347915</v>
      </c>
      <c r="AI427" s="350">
        <v>131541462.0636338</v>
      </c>
      <c r="AJ427" s="350">
        <v>132558933.33410087</v>
      </c>
      <c r="AK427" s="348">
        <v>652616253.64422107</v>
      </c>
      <c r="AL427" s="369"/>
      <c r="AM427" s="350">
        <v>162035982.9866069</v>
      </c>
      <c r="AN427" s="350">
        <v>197331730.87969553</v>
      </c>
      <c r="AO427" s="350">
        <v>233101291.13039213</v>
      </c>
      <c r="AP427" s="350">
        <v>269405264.72647047</v>
      </c>
      <c r="AQ427" s="350">
        <v>306252801.17339259</v>
      </c>
      <c r="AR427" s="348">
        <v>1168127070.8965576</v>
      </c>
      <c r="AS427" s="369"/>
      <c r="AT427" s="350">
        <f t="shared" si="195"/>
        <v>33569660.81769079</v>
      </c>
      <c r="AU427" s="350">
        <f t="shared" si="178"/>
        <v>67811727.875604361</v>
      </c>
      <c r="AV427" s="350">
        <f t="shared" si="179"/>
        <v>102571758.05691299</v>
      </c>
      <c r="AW427" s="350">
        <f t="shared" si="180"/>
        <v>137863802.66283667</v>
      </c>
      <c r="AX427" s="350">
        <f t="shared" si="181"/>
        <v>173693867.83929172</v>
      </c>
      <c r="AY427" s="350">
        <f t="shared" si="182"/>
        <v>515510817.2523365</v>
      </c>
      <c r="AZ427" s="365"/>
      <c r="BA427" s="377">
        <f t="shared" si="183"/>
        <v>0</v>
      </c>
      <c r="BB427" s="377">
        <f t="shared" si="184"/>
        <v>0</v>
      </c>
      <c r="BC427" s="377">
        <f t="shared" si="185"/>
        <v>0</v>
      </c>
      <c r="BD427" s="377">
        <f t="shared" si="186"/>
        <v>0</v>
      </c>
      <c r="BE427" s="377">
        <f t="shared" si="187"/>
        <v>0</v>
      </c>
      <c r="BF427" s="377">
        <f t="shared" si="188"/>
        <v>0</v>
      </c>
      <c r="BG427" s="328"/>
    </row>
    <row r="428" spans="2:59">
      <c r="B428" s="332">
        <v>413</v>
      </c>
      <c r="C428" s="350">
        <v>165236334.68270022</v>
      </c>
      <c r="D428" s="350">
        <v>166591603.17790008</v>
      </c>
      <c r="E428" s="350">
        <v>167890083.9439199</v>
      </c>
      <c r="F428" s="350">
        <v>169191650.25693738</v>
      </c>
      <c r="G428" s="350">
        <v>170500345.17820925</v>
      </c>
      <c r="H428" s="348">
        <v>839410017.23966694</v>
      </c>
      <c r="I428" s="369"/>
      <c r="J428" s="350">
        <v>207395900.00447866</v>
      </c>
      <c r="K428" s="350">
        <v>251733199.78618401</v>
      </c>
      <c r="L428" s="350">
        <v>296663869.98867357</v>
      </c>
      <c r="M428" s="350">
        <v>342265429.45573759</v>
      </c>
      <c r="N428" s="350">
        <v>388549460.90724683</v>
      </c>
      <c r="O428" s="348">
        <v>1486607860.1423206</v>
      </c>
      <c r="P428" s="369"/>
      <c r="Q428" s="350">
        <f t="shared" si="189"/>
        <v>42159565.321778446</v>
      </c>
      <c r="R428" s="350">
        <f t="shared" si="190"/>
        <v>85141596.608283937</v>
      </c>
      <c r="S428" s="350">
        <f t="shared" si="191"/>
        <v>128773786.04475367</v>
      </c>
      <c r="T428" s="350">
        <f t="shared" si="192"/>
        <v>173073779.19880021</v>
      </c>
      <c r="U428" s="350">
        <f t="shared" si="193"/>
        <v>218049115.72903758</v>
      </c>
      <c r="V428" s="350">
        <f t="shared" si="194"/>
        <v>647197842.90265369</v>
      </c>
      <c r="W428" s="365"/>
      <c r="X428" s="377">
        <f t="shared" si="172"/>
        <v>0</v>
      </c>
      <c r="Y428" s="377">
        <f t="shared" si="173"/>
        <v>0</v>
      </c>
      <c r="Z428" s="377">
        <f t="shared" si="174"/>
        <v>0</v>
      </c>
      <c r="AA428" s="377">
        <f t="shared" si="175"/>
        <v>0</v>
      </c>
      <c r="AB428" s="377">
        <f t="shared" si="176"/>
        <v>0</v>
      </c>
      <c r="AC428" s="377">
        <f t="shared" si="177"/>
        <v>0</v>
      </c>
      <c r="AD428" s="376"/>
      <c r="AE428" s="332">
        <v>413</v>
      </c>
      <c r="AF428" s="350">
        <v>144829634.89238775</v>
      </c>
      <c r="AG428" s="350">
        <v>146017527.62625808</v>
      </c>
      <c r="AH428" s="350">
        <v>147155645.91978323</v>
      </c>
      <c r="AI428" s="350">
        <v>148296468.69501936</v>
      </c>
      <c r="AJ428" s="350">
        <v>149443539.69485295</v>
      </c>
      <c r="AK428" s="348">
        <v>735742816.82830131</v>
      </c>
      <c r="AL428" s="369"/>
      <c r="AM428" s="350">
        <v>177680949.32840157</v>
      </c>
      <c r="AN428" s="350">
        <v>212394857.88120669</v>
      </c>
      <c r="AO428" s="350">
        <v>247566131.47011176</v>
      </c>
      <c r="AP428" s="350">
        <v>283261000.56614494</v>
      </c>
      <c r="AQ428" s="350">
        <v>319488889.08116466</v>
      </c>
      <c r="AR428" s="348">
        <v>1240391828.3270297</v>
      </c>
      <c r="AS428" s="369"/>
      <c r="AT428" s="350">
        <f t="shared" si="195"/>
        <v>32851314.436013818</v>
      </c>
      <c r="AU428" s="350">
        <f t="shared" si="178"/>
        <v>66377330.254948616</v>
      </c>
      <c r="AV428" s="350">
        <f t="shared" si="179"/>
        <v>100410485.55032852</v>
      </c>
      <c r="AW428" s="350">
        <f t="shared" si="180"/>
        <v>134964531.87112558</v>
      </c>
      <c r="AX428" s="350">
        <f t="shared" si="181"/>
        <v>170045349.38631171</v>
      </c>
      <c r="AY428" s="350">
        <f t="shared" si="182"/>
        <v>504649011.49872839</v>
      </c>
      <c r="AZ428" s="365"/>
      <c r="BA428" s="377">
        <f t="shared" si="183"/>
        <v>0</v>
      </c>
      <c r="BB428" s="377">
        <f t="shared" si="184"/>
        <v>0</v>
      </c>
      <c r="BC428" s="377">
        <f t="shared" si="185"/>
        <v>0</v>
      </c>
      <c r="BD428" s="377">
        <f t="shared" si="186"/>
        <v>0</v>
      </c>
      <c r="BE428" s="377">
        <f t="shared" si="187"/>
        <v>0</v>
      </c>
      <c r="BF428" s="377">
        <f t="shared" si="188"/>
        <v>0</v>
      </c>
      <c r="BG428" s="328"/>
    </row>
    <row r="429" spans="2:59">
      <c r="B429" s="332">
        <v>414</v>
      </c>
      <c r="C429" s="350">
        <v>158459300.03702924</v>
      </c>
      <c r="D429" s="350">
        <v>159758983.29086077</v>
      </c>
      <c r="E429" s="350">
        <v>161004207.91830212</v>
      </c>
      <c r="F429" s="350">
        <v>162252391.54152626</v>
      </c>
      <c r="G429" s="350">
        <v>163507411.39890188</v>
      </c>
      <c r="H429" s="348">
        <v>804982294.18662024</v>
      </c>
      <c r="I429" s="369"/>
      <c r="J429" s="350">
        <v>196992937.21940255</v>
      </c>
      <c r="K429" s="350">
        <v>237576641.36177444</v>
      </c>
      <c r="L429" s="350">
        <v>278700107.27213925</v>
      </c>
      <c r="M429" s="350">
        <v>320436880.4606483</v>
      </c>
      <c r="N429" s="350">
        <v>362797729.17140526</v>
      </c>
      <c r="O429" s="348">
        <v>1396504295.4853699</v>
      </c>
      <c r="P429" s="369"/>
      <c r="Q429" s="350">
        <f t="shared" si="189"/>
        <v>38533637.182373315</v>
      </c>
      <c r="R429" s="350">
        <f t="shared" si="190"/>
        <v>77817658.070913672</v>
      </c>
      <c r="S429" s="350">
        <f t="shared" si="191"/>
        <v>117695899.35383713</v>
      </c>
      <c r="T429" s="350">
        <f t="shared" si="192"/>
        <v>158184488.91912204</v>
      </c>
      <c r="U429" s="350">
        <f t="shared" si="193"/>
        <v>199290317.77250338</v>
      </c>
      <c r="V429" s="350">
        <f t="shared" si="194"/>
        <v>591522001.29874969</v>
      </c>
      <c r="W429" s="365"/>
      <c r="X429" s="377">
        <f t="shared" si="172"/>
        <v>0</v>
      </c>
      <c r="Y429" s="377">
        <f t="shared" si="173"/>
        <v>0</v>
      </c>
      <c r="Z429" s="377">
        <f t="shared" si="174"/>
        <v>0</v>
      </c>
      <c r="AA429" s="377">
        <f t="shared" si="175"/>
        <v>0</v>
      </c>
      <c r="AB429" s="377">
        <f t="shared" si="176"/>
        <v>0</v>
      </c>
      <c r="AC429" s="377">
        <f t="shared" si="177"/>
        <v>0</v>
      </c>
      <c r="AD429" s="376"/>
      <c r="AE429" s="332">
        <v>414</v>
      </c>
      <c r="AF429" s="350">
        <v>134785665.18177545</v>
      </c>
      <c r="AG429" s="350">
        <v>135891177.27133003</v>
      </c>
      <c r="AH429" s="350">
        <v>136950366.78984484</v>
      </c>
      <c r="AI429" s="350">
        <v>138012073.23361906</v>
      </c>
      <c r="AJ429" s="350">
        <v>139079594.58612522</v>
      </c>
      <c r="AK429" s="348">
        <v>684718877.06269467</v>
      </c>
      <c r="AL429" s="369"/>
      <c r="AM429" s="350">
        <v>175620200.25152707</v>
      </c>
      <c r="AN429" s="350">
        <v>218350694.46634364</v>
      </c>
      <c r="AO429" s="350">
        <v>261664494.30379531</v>
      </c>
      <c r="AP429" s="350">
        <v>305627529.90357268</v>
      </c>
      <c r="AQ429" s="350">
        <v>350250401.00256711</v>
      </c>
      <c r="AR429" s="348">
        <v>1311513319.9278059</v>
      </c>
      <c r="AS429" s="369"/>
      <c r="AT429" s="350">
        <f t="shared" si="195"/>
        <v>40834535.06975162</v>
      </c>
      <c r="AU429" s="350">
        <f t="shared" si="178"/>
        <v>82459517.195013613</v>
      </c>
      <c r="AV429" s="350">
        <f t="shared" si="179"/>
        <v>124714127.51395047</v>
      </c>
      <c r="AW429" s="350">
        <f t="shared" si="180"/>
        <v>167615456.66995361</v>
      </c>
      <c r="AX429" s="350">
        <f t="shared" si="181"/>
        <v>211170806.41644189</v>
      </c>
      <c r="AY429" s="350">
        <f t="shared" si="182"/>
        <v>626794442.86511123</v>
      </c>
      <c r="AZ429" s="365"/>
      <c r="BA429" s="377">
        <f t="shared" si="183"/>
        <v>0</v>
      </c>
      <c r="BB429" s="377">
        <f t="shared" si="184"/>
        <v>0</v>
      </c>
      <c r="BC429" s="377">
        <f t="shared" si="185"/>
        <v>0</v>
      </c>
      <c r="BD429" s="377">
        <f t="shared" si="186"/>
        <v>0</v>
      </c>
      <c r="BE429" s="377">
        <f t="shared" si="187"/>
        <v>0</v>
      </c>
      <c r="BF429" s="377">
        <f t="shared" si="188"/>
        <v>0</v>
      </c>
      <c r="BG429" s="328"/>
    </row>
    <row r="430" spans="2:59">
      <c r="B430" s="332">
        <v>415</v>
      </c>
      <c r="C430" s="350">
        <v>106940543.07639645</v>
      </c>
      <c r="D430" s="350">
        <v>107817669.4612761</v>
      </c>
      <c r="E430" s="350">
        <v>108658042.96967582</v>
      </c>
      <c r="F430" s="350">
        <v>109500413.43638536</v>
      </c>
      <c r="G430" s="350">
        <v>110347397.52055109</v>
      </c>
      <c r="H430" s="348">
        <v>543264066.46428478</v>
      </c>
      <c r="I430" s="369"/>
      <c r="J430" s="350">
        <v>140033358.49188054</v>
      </c>
      <c r="K430" s="350">
        <v>174635653.94983637</v>
      </c>
      <c r="L430" s="350">
        <v>209711326.68985194</v>
      </c>
      <c r="M430" s="350">
        <v>245312976.55927098</v>
      </c>
      <c r="N430" s="350">
        <v>281449136.39215523</v>
      </c>
      <c r="O430" s="348">
        <v>1051142452.0829949</v>
      </c>
      <c r="P430" s="369"/>
      <c r="Q430" s="350">
        <f t="shared" si="189"/>
        <v>33092815.415484086</v>
      </c>
      <c r="R430" s="350">
        <f t="shared" si="190"/>
        <v>66817984.488560274</v>
      </c>
      <c r="S430" s="350">
        <f t="shared" si="191"/>
        <v>101053283.72017612</v>
      </c>
      <c r="T430" s="350">
        <f t="shared" si="192"/>
        <v>135812563.12288561</v>
      </c>
      <c r="U430" s="350">
        <f t="shared" si="193"/>
        <v>171101738.87160414</v>
      </c>
      <c r="V430" s="350">
        <f t="shared" si="194"/>
        <v>507878385.61871016</v>
      </c>
      <c r="W430" s="365"/>
      <c r="X430" s="377">
        <f t="shared" si="172"/>
        <v>0</v>
      </c>
      <c r="Y430" s="377">
        <f t="shared" si="173"/>
        <v>0</v>
      </c>
      <c r="Z430" s="377">
        <f t="shared" si="174"/>
        <v>0</v>
      </c>
      <c r="AA430" s="377">
        <f t="shared" si="175"/>
        <v>0</v>
      </c>
      <c r="AB430" s="377">
        <f t="shared" si="176"/>
        <v>0</v>
      </c>
      <c r="AC430" s="377">
        <f t="shared" si="177"/>
        <v>0</v>
      </c>
      <c r="AD430" s="376"/>
      <c r="AE430" s="332">
        <v>415</v>
      </c>
      <c r="AF430" s="350">
        <v>131634502.84487489</v>
      </c>
      <c r="AG430" s="350">
        <v>132714169.09945221</v>
      </c>
      <c r="AH430" s="350">
        <v>133748595.76122048</v>
      </c>
      <c r="AI430" s="350">
        <v>134785480.50489807</v>
      </c>
      <c r="AJ430" s="350">
        <v>135828044.21019953</v>
      </c>
      <c r="AK430" s="348">
        <v>668710792.42064524</v>
      </c>
      <c r="AL430" s="369"/>
      <c r="AM430" s="350">
        <v>164536981.26337299</v>
      </c>
      <c r="AN430" s="350">
        <v>199178053.38127553</v>
      </c>
      <c r="AO430" s="350">
        <v>234281552.94517577</v>
      </c>
      <c r="AP430" s="350">
        <v>269908949.66112453</v>
      </c>
      <c r="AQ430" s="350">
        <v>306069351.16766071</v>
      </c>
      <c r="AR430" s="348">
        <v>1173974888.4186096</v>
      </c>
      <c r="AS430" s="369"/>
      <c r="AT430" s="350">
        <f t="shared" si="195"/>
        <v>32902478.418498099</v>
      </c>
      <c r="AU430" s="350">
        <f t="shared" si="178"/>
        <v>66463884.281823322</v>
      </c>
      <c r="AV430" s="350">
        <f t="shared" si="179"/>
        <v>100532957.18395528</v>
      </c>
      <c r="AW430" s="350">
        <f t="shared" si="180"/>
        <v>135123469.15622646</v>
      </c>
      <c r="AX430" s="350">
        <f t="shared" si="181"/>
        <v>170241306.95746118</v>
      </c>
      <c r="AY430" s="350">
        <f t="shared" si="182"/>
        <v>505264095.99796438</v>
      </c>
      <c r="AZ430" s="365"/>
      <c r="BA430" s="377">
        <f t="shared" si="183"/>
        <v>0</v>
      </c>
      <c r="BB430" s="377">
        <f t="shared" si="184"/>
        <v>0</v>
      </c>
      <c r="BC430" s="377">
        <f t="shared" si="185"/>
        <v>0</v>
      </c>
      <c r="BD430" s="377">
        <f t="shared" si="186"/>
        <v>0</v>
      </c>
      <c r="BE430" s="377">
        <f t="shared" si="187"/>
        <v>0</v>
      </c>
      <c r="BF430" s="377">
        <f t="shared" si="188"/>
        <v>0</v>
      </c>
      <c r="BG430" s="328"/>
    </row>
    <row r="431" spans="2:59">
      <c r="B431" s="332">
        <v>416</v>
      </c>
      <c r="C431" s="350">
        <v>137191609.18874297</v>
      </c>
      <c r="D431" s="350">
        <v>138316854.83218041</v>
      </c>
      <c r="E431" s="350">
        <v>139394951.03985149</v>
      </c>
      <c r="F431" s="350">
        <v>140475609.10026914</v>
      </c>
      <c r="G431" s="350">
        <v>141562185.86639741</v>
      </c>
      <c r="H431" s="348">
        <v>696941210.02744138</v>
      </c>
      <c r="I431" s="369"/>
      <c r="J431" s="350">
        <v>180585450.94143403</v>
      </c>
      <c r="K431" s="350">
        <v>225923268.70169535</v>
      </c>
      <c r="L431" s="350">
        <v>271882695.81423783</v>
      </c>
      <c r="M431" s="350">
        <v>318531604.18676215</v>
      </c>
      <c r="N431" s="350">
        <v>365881106.81857377</v>
      </c>
      <c r="O431" s="348">
        <v>1362804126.462703</v>
      </c>
      <c r="P431" s="369"/>
      <c r="Q431" s="350">
        <f t="shared" si="189"/>
        <v>43393841.75269106</v>
      </c>
      <c r="R431" s="350">
        <f t="shared" si="190"/>
        <v>87606413.869514942</v>
      </c>
      <c r="S431" s="350">
        <f t="shared" si="191"/>
        <v>132487744.77438635</v>
      </c>
      <c r="T431" s="350">
        <f t="shared" si="192"/>
        <v>178055995.08649302</v>
      </c>
      <c r="U431" s="350">
        <f t="shared" si="193"/>
        <v>224318920.95217636</v>
      </c>
      <c r="V431" s="350">
        <f t="shared" si="194"/>
        <v>665862916.43526161</v>
      </c>
      <c r="W431" s="365"/>
      <c r="X431" s="377">
        <f t="shared" si="172"/>
        <v>0</v>
      </c>
      <c r="Y431" s="377">
        <f t="shared" si="173"/>
        <v>0</v>
      </c>
      <c r="Z431" s="377">
        <f t="shared" si="174"/>
        <v>0</v>
      </c>
      <c r="AA431" s="377">
        <f t="shared" si="175"/>
        <v>0</v>
      </c>
      <c r="AB431" s="377">
        <f t="shared" si="176"/>
        <v>0</v>
      </c>
      <c r="AC431" s="377">
        <f t="shared" si="177"/>
        <v>0</v>
      </c>
      <c r="AD431" s="376"/>
      <c r="AE431" s="332">
        <v>416</v>
      </c>
      <c r="AF431" s="350">
        <v>136185614.88668191</v>
      </c>
      <c r="AG431" s="350">
        <v>137302609.36437809</v>
      </c>
      <c r="AH431" s="350">
        <v>138372800.14220253</v>
      </c>
      <c r="AI431" s="350">
        <v>139445533.98730057</v>
      </c>
      <c r="AJ431" s="350">
        <v>140524143.13761079</v>
      </c>
      <c r="AK431" s="348">
        <v>691830701.51817381</v>
      </c>
      <c r="AL431" s="369"/>
      <c r="AM431" s="350">
        <v>169852323.17605722</v>
      </c>
      <c r="AN431" s="350">
        <v>205322901.58409852</v>
      </c>
      <c r="AO431" s="350">
        <v>241266332.06749287</v>
      </c>
      <c r="AP431" s="350">
        <v>277746054.01188469</v>
      </c>
      <c r="AQ431" s="350">
        <v>314771425.07638568</v>
      </c>
      <c r="AR431" s="348">
        <v>1208959035.9159191</v>
      </c>
      <c r="AS431" s="369"/>
      <c r="AT431" s="350">
        <f t="shared" si="195"/>
        <v>33666708.289375305</v>
      </c>
      <c r="AU431" s="350">
        <f t="shared" si="178"/>
        <v>68020292.219720423</v>
      </c>
      <c r="AV431" s="350">
        <f t="shared" si="179"/>
        <v>102893531.92529035</v>
      </c>
      <c r="AW431" s="350">
        <f t="shared" si="180"/>
        <v>138300520.02458411</v>
      </c>
      <c r="AX431" s="350">
        <f t="shared" si="181"/>
        <v>174247281.93877488</v>
      </c>
      <c r="AY431" s="350">
        <f t="shared" si="182"/>
        <v>517128334.39774525</v>
      </c>
      <c r="AZ431" s="365"/>
      <c r="BA431" s="377">
        <f t="shared" si="183"/>
        <v>0</v>
      </c>
      <c r="BB431" s="377">
        <f t="shared" si="184"/>
        <v>0</v>
      </c>
      <c r="BC431" s="377">
        <f t="shared" si="185"/>
        <v>0</v>
      </c>
      <c r="BD431" s="377">
        <f t="shared" si="186"/>
        <v>0</v>
      </c>
      <c r="BE431" s="377">
        <f t="shared" si="187"/>
        <v>0</v>
      </c>
      <c r="BF431" s="377">
        <f t="shared" si="188"/>
        <v>0</v>
      </c>
      <c r="BG431" s="328"/>
    </row>
    <row r="432" spans="2:59">
      <c r="B432" s="332">
        <v>417</v>
      </c>
      <c r="C432" s="350">
        <v>112954302.02065255</v>
      </c>
      <c r="D432" s="350">
        <v>113880753.2592366</v>
      </c>
      <c r="E432" s="350">
        <v>114768384.83793662</v>
      </c>
      <c r="F432" s="350">
        <v>115658125.67310342</v>
      </c>
      <c r="G432" s="350">
        <v>116552739.57067075</v>
      </c>
      <c r="H432" s="348">
        <v>573814305.36159992</v>
      </c>
      <c r="I432" s="369"/>
      <c r="J432" s="350">
        <v>139439451.59137601</v>
      </c>
      <c r="K432" s="350">
        <v>167366984.58459541</v>
      </c>
      <c r="L432" s="350">
        <v>195664123.43686441</v>
      </c>
      <c r="M432" s="350">
        <v>224382882.18210736</v>
      </c>
      <c r="N432" s="350">
        <v>253530761.01650077</v>
      </c>
      <c r="O432" s="348">
        <v>980384202.81144381</v>
      </c>
      <c r="P432" s="369"/>
      <c r="Q432" s="350">
        <f t="shared" si="189"/>
        <v>26485149.570723459</v>
      </c>
      <c r="R432" s="350">
        <f t="shared" si="190"/>
        <v>53486231.325358808</v>
      </c>
      <c r="S432" s="350">
        <f t="shared" si="191"/>
        <v>80895738.598927781</v>
      </c>
      <c r="T432" s="350">
        <f t="shared" si="192"/>
        <v>108724756.50900394</v>
      </c>
      <c r="U432" s="350">
        <f t="shared" si="193"/>
        <v>136978021.44583002</v>
      </c>
      <c r="V432" s="350">
        <f t="shared" si="194"/>
        <v>406569897.44984388</v>
      </c>
      <c r="W432" s="365"/>
      <c r="X432" s="377">
        <f t="shared" si="172"/>
        <v>0</v>
      </c>
      <c r="Y432" s="377">
        <f t="shared" si="173"/>
        <v>0</v>
      </c>
      <c r="Z432" s="377">
        <f t="shared" si="174"/>
        <v>0</v>
      </c>
      <c r="AA432" s="377">
        <f t="shared" si="175"/>
        <v>0</v>
      </c>
      <c r="AB432" s="377">
        <f t="shared" si="176"/>
        <v>0</v>
      </c>
      <c r="AC432" s="377">
        <f t="shared" si="177"/>
        <v>0</v>
      </c>
      <c r="AD432" s="376"/>
      <c r="AE432" s="332">
        <v>417</v>
      </c>
      <c r="AF432" s="350">
        <v>158522715.84464705</v>
      </c>
      <c r="AG432" s="350">
        <v>159822919.2349627</v>
      </c>
      <c r="AH432" s="350">
        <v>161068642.20440981</v>
      </c>
      <c r="AI432" s="350">
        <v>162317325.35383731</v>
      </c>
      <c r="AJ432" s="350">
        <v>163572847.47329411</v>
      </c>
      <c r="AK432" s="348">
        <v>805304450.1111511</v>
      </c>
      <c r="AL432" s="369"/>
      <c r="AM432" s="350">
        <v>195320848.94375935</v>
      </c>
      <c r="AN432" s="350">
        <v>234152521.8682718</v>
      </c>
      <c r="AO432" s="350">
        <v>273497432.96214586</v>
      </c>
      <c r="AP432" s="350">
        <v>313428425.26610965</v>
      </c>
      <c r="AQ432" s="350">
        <v>353955960.77076298</v>
      </c>
      <c r="AR432" s="348">
        <v>1370355189.8110497</v>
      </c>
      <c r="AS432" s="369"/>
      <c r="AT432" s="350">
        <f t="shared" si="195"/>
        <v>36798133.099112302</v>
      </c>
      <c r="AU432" s="350">
        <f t="shared" si="178"/>
        <v>74329602.633309096</v>
      </c>
      <c r="AV432" s="350">
        <f t="shared" si="179"/>
        <v>112428790.75773606</v>
      </c>
      <c r="AW432" s="350">
        <f t="shared" si="180"/>
        <v>151111099.91227233</v>
      </c>
      <c r="AX432" s="350">
        <f t="shared" si="181"/>
        <v>190383113.29746887</v>
      </c>
      <c r="AY432" s="350">
        <f t="shared" si="182"/>
        <v>565050739.6998986</v>
      </c>
      <c r="AZ432" s="365"/>
      <c r="BA432" s="377">
        <f t="shared" si="183"/>
        <v>0</v>
      </c>
      <c r="BB432" s="377">
        <f t="shared" si="184"/>
        <v>0</v>
      </c>
      <c r="BC432" s="377">
        <f t="shared" si="185"/>
        <v>0</v>
      </c>
      <c r="BD432" s="377">
        <f t="shared" si="186"/>
        <v>0</v>
      </c>
      <c r="BE432" s="377">
        <f t="shared" si="187"/>
        <v>0</v>
      </c>
      <c r="BF432" s="377">
        <f t="shared" si="188"/>
        <v>0</v>
      </c>
      <c r="BG432" s="328"/>
    </row>
    <row r="433" spans="2:59">
      <c r="B433" s="332">
        <v>418</v>
      </c>
      <c r="C433" s="350">
        <v>142174135.34039918</v>
      </c>
      <c r="D433" s="350">
        <v>143340247.66568848</v>
      </c>
      <c r="E433" s="350">
        <v>144457498.18156022</v>
      </c>
      <c r="F433" s="350">
        <v>145577403.59157071</v>
      </c>
      <c r="G433" s="350">
        <v>146703442.6629014</v>
      </c>
      <c r="H433" s="348">
        <v>722252727.44211996</v>
      </c>
      <c r="I433" s="369"/>
      <c r="J433" s="350">
        <v>178464008.63956046</v>
      </c>
      <c r="K433" s="350">
        <v>216629684.56171548</v>
      </c>
      <c r="L433" s="350">
        <v>255306165.15699658</v>
      </c>
      <c r="M433" s="350">
        <v>294560156.07758921</v>
      </c>
      <c r="N433" s="350">
        <v>334401626.30005091</v>
      </c>
      <c r="O433" s="348">
        <v>1279361640.7359128</v>
      </c>
      <c r="P433" s="369"/>
      <c r="Q433" s="350">
        <f t="shared" si="189"/>
        <v>36289873.299161285</v>
      </c>
      <c r="R433" s="350">
        <f t="shared" si="190"/>
        <v>73289436.896026999</v>
      </c>
      <c r="S433" s="350">
        <f t="shared" si="191"/>
        <v>110848666.97543636</v>
      </c>
      <c r="T433" s="350">
        <f t="shared" si="192"/>
        <v>148982752.48601851</v>
      </c>
      <c r="U433" s="350">
        <f t="shared" si="193"/>
        <v>187698183.63714951</v>
      </c>
      <c r="V433" s="350">
        <f t="shared" si="194"/>
        <v>557108913.29379284</v>
      </c>
      <c r="W433" s="365"/>
      <c r="X433" s="377">
        <f t="shared" si="172"/>
        <v>0</v>
      </c>
      <c r="Y433" s="377">
        <f t="shared" si="173"/>
        <v>0</v>
      </c>
      <c r="Z433" s="377">
        <f t="shared" si="174"/>
        <v>0</v>
      </c>
      <c r="AA433" s="377">
        <f t="shared" si="175"/>
        <v>0</v>
      </c>
      <c r="AB433" s="377">
        <f t="shared" si="176"/>
        <v>0</v>
      </c>
      <c r="AC433" s="377">
        <f t="shared" si="177"/>
        <v>0</v>
      </c>
      <c r="AD433" s="376"/>
      <c r="AE433" s="332">
        <v>418</v>
      </c>
      <c r="AF433" s="350">
        <v>136564465.03079987</v>
      </c>
      <c r="AG433" s="350">
        <v>137684566.83755729</v>
      </c>
      <c r="AH433" s="350">
        <v>138757734.74281731</v>
      </c>
      <c r="AI433" s="350">
        <v>139833452.78982353</v>
      </c>
      <c r="AJ433" s="350">
        <v>140915062.48635432</v>
      </c>
      <c r="AK433" s="348">
        <v>693755281.88735235</v>
      </c>
      <c r="AL433" s="369"/>
      <c r="AM433" s="350">
        <v>172806160.97443998</v>
      </c>
      <c r="AN433" s="350">
        <v>210868198.4290942</v>
      </c>
      <c r="AO433" s="350">
        <v>249442092.83210742</v>
      </c>
      <c r="AP433" s="350">
        <v>288592496.53818649</v>
      </c>
      <c r="AQ433" s="350">
        <v>328329231.34953272</v>
      </c>
      <c r="AR433" s="348">
        <v>1250038180.1233606</v>
      </c>
      <c r="AS433" s="369"/>
      <c r="AT433" s="350">
        <f t="shared" si="195"/>
        <v>36241695.943640113</v>
      </c>
      <c r="AU433" s="350">
        <f t="shared" si="178"/>
        <v>73183631.591536909</v>
      </c>
      <c r="AV433" s="350">
        <f t="shared" si="179"/>
        <v>110684358.08929011</v>
      </c>
      <c r="AW433" s="350">
        <f t="shared" si="180"/>
        <v>148759043.74836296</v>
      </c>
      <c r="AX433" s="350">
        <f t="shared" si="181"/>
        <v>187414168.8631784</v>
      </c>
      <c r="AY433" s="350">
        <f t="shared" si="182"/>
        <v>556282898.23600829</v>
      </c>
      <c r="AZ433" s="365"/>
      <c r="BA433" s="377">
        <f t="shared" si="183"/>
        <v>0</v>
      </c>
      <c r="BB433" s="377">
        <f t="shared" si="184"/>
        <v>0</v>
      </c>
      <c r="BC433" s="377">
        <f t="shared" si="185"/>
        <v>0</v>
      </c>
      <c r="BD433" s="377">
        <f t="shared" si="186"/>
        <v>0</v>
      </c>
      <c r="BE433" s="377">
        <f t="shared" si="187"/>
        <v>0</v>
      </c>
      <c r="BF433" s="377">
        <f t="shared" si="188"/>
        <v>0</v>
      </c>
      <c r="BG433" s="328"/>
    </row>
    <row r="434" spans="2:59">
      <c r="B434" s="332">
        <v>419</v>
      </c>
      <c r="C434" s="350">
        <v>136351795.13979995</v>
      </c>
      <c r="D434" s="350">
        <v>137470152.62801081</v>
      </c>
      <c r="E434" s="350">
        <v>138541649.30421877</v>
      </c>
      <c r="F434" s="350">
        <v>139615692.15087372</v>
      </c>
      <c r="G434" s="350">
        <v>140695617.47207141</v>
      </c>
      <c r="H434" s="348">
        <v>692674906.69497466</v>
      </c>
      <c r="I434" s="369"/>
      <c r="J434" s="350">
        <v>175451270.58813152</v>
      </c>
      <c r="K434" s="350">
        <v>216436201.54635289</v>
      </c>
      <c r="L434" s="350">
        <v>257977306.56427956</v>
      </c>
      <c r="M434" s="350">
        <v>300140357.65504175</v>
      </c>
      <c r="N434" s="350">
        <v>342935684.18721759</v>
      </c>
      <c r="O434" s="348">
        <v>1292940820.5410233</v>
      </c>
      <c r="P434" s="369"/>
      <c r="Q434" s="350">
        <f t="shared" si="189"/>
        <v>39099475.448331565</v>
      </c>
      <c r="R434" s="350">
        <f t="shared" si="190"/>
        <v>78966048.918342084</v>
      </c>
      <c r="S434" s="350">
        <f t="shared" si="191"/>
        <v>119435657.26006079</v>
      </c>
      <c r="T434" s="350">
        <f t="shared" si="192"/>
        <v>160524665.50416803</v>
      </c>
      <c r="U434" s="350">
        <f t="shared" si="193"/>
        <v>202240066.71514618</v>
      </c>
      <c r="V434" s="350">
        <f t="shared" si="194"/>
        <v>600265913.84604859</v>
      </c>
      <c r="W434" s="365"/>
      <c r="X434" s="377">
        <f t="shared" si="172"/>
        <v>0</v>
      </c>
      <c r="Y434" s="377">
        <f t="shared" si="173"/>
        <v>0</v>
      </c>
      <c r="Z434" s="377">
        <f t="shared" si="174"/>
        <v>0</v>
      </c>
      <c r="AA434" s="377">
        <f t="shared" si="175"/>
        <v>0</v>
      </c>
      <c r="AB434" s="377">
        <f t="shared" si="176"/>
        <v>0</v>
      </c>
      <c r="AC434" s="377">
        <f t="shared" si="177"/>
        <v>0</v>
      </c>
      <c r="AD434" s="376"/>
      <c r="AE434" s="332">
        <v>419</v>
      </c>
      <c r="AF434" s="350">
        <v>150986529.37879187</v>
      </c>
      <c r="AG434" s="350">
        <v>152224920.96415102</v>
      </c>
      <c r="AH434" s="350">
        <v>153411422.1335392</v>
      </c>
      <c r="AI434" s="350">
        <v>154600742.75564235</v>
      </c>
      <c r="AJ434" s="350">
        <v>155796577.22242543</v>
      </c>
      <c r="AK434" s="348">
        <v>767020192.45454991</v>
      </c>
      <c r="AL434" s="369"/>
      <c r="AM434" s="350">
        <v>189751354.69009224</v>
      </c>
      <c r="AN434" s="350">
        <v>230509796.70383719</v>
      </c>
      <c r="AO434" s="350">
        <v>271814139.09763646</v>
      </c>
      <c r="AP434" s="350">
        <v>313735316.40860778</v>
      </c>
      <c r="AQ434" s="350">
        <v>356283955.42983991</v>
      </c>
      <c r="AR434" s="348">
        <v>1362094562.3300135</v>
      </c>
      <c r="AS434" s="369"/>
      <c r="AT434" s="350">
        <f t="shared" si="195"/>
        <v>38764825.311300367</v>
      </c>
      <c r="AU434" s="350">
        <f t="shared" si="178"/>
        <v>78284875.739686161</v>
      </c>
      <c r="AV434" s="350">
        <f t="shared" si="179"/>
        <v>118402716.96409726</v>
      </c>
      <c r="AW434" s="350">
        <f t="shared" si="180"/>
        <v>159134573.65296543</v>
      </c>
      <c r="AX434" s="350">
        <f t="shared" si="181"/>
        <v>200487378.20741448</v>
      </c>
      <c r="AY434" s="350">
        <f t="shared" si="182"/>
        <v>595074369.8754636</v>
      </c>
      <c r="AZ434" s="365"/>
      <c r="BA434" s="377">
        <f t="shared" si="183"/>
        <v>0</v>
      </c>
      <c r="BB434" s="377">
        <f t="shared" si="184"/>
        <v>0</v>
      </c>
      <c r="BC434" s="377">
        <f t="shared" si="185"/>
        <v>0</v>
      </c>
      <c r="BD434" s="377">
        <f t="shared" si="186"/>
        <v>0</v>
      </c>
      <c r="BE434" s="377">
        <f t="shared" si="187"/>
        <v>0</v>
      </c>
      <c r="BF434" s="377">
        <f t="shared" si="188"/>
        <v>0</v>
      </c>
      <c r="BG434" s="328"/>
    </row>
    <row r="435" spans="2:59">
      <c r="B435" s="332">
        <v>420</v>
      </c>
      <c r="C435" s="350">
        <v>115207392.05161494</v>
      </c>
      <c r="D435" s="350">
        <v>116152323.13569835</v>
      </c>
      <c r="E435" s="350">
        <v>117057660.22738335</v>
      </c>
      <c r="F435" s="350">
        <v>117965148.64869775</v>
      </c>
      <c r="G435" s="350">
        <v>118877607.3349815</v>
      </c>
      <c r="H435" s="348">
        <v>585260131.39837587</v>
      </c>
      <c r="I435" s="369"/>
      <c r="J435" s="350">
        <v>144610846.28843555</v>
      </c>
      <c r="K435" s="350">
        <v>175532821.17796475</v>
      </c>
      <c r="L435" s="350">
        <v>206868643.15877262</v>
      </c>
      <c r="M435" s="350">
        <v>238672364.14517003</v>
      </c>
      <c r="N435" s="350">
        <v>270952061.47221065</v>
      </c>
      <c r="O435" s="348">
        <v>1036636736.2425535</v>
      </c>
      <c r="P435" s="369"/>
      <c r="Q435" s="350">
        <f t="shared" si="189"/>
        <v>29403454.236820608</v>
      </c>
      <c r="R435" s="350">
        <f t="shared" si="190"/>
        <v>59380498.042266399</v>
      </c>
      <c r="S435" s="350">
        <f t="shared" si="191"/>
        <v>89810982.931389272</v>
      </c>
      <c r="T435" s="350">
        <f t="shared" si="192"/>
        <v>120707215.49647228</v>
      </c>
      <c r="U435" s="350">
        <f t="shared" si="193"/>
        <v>152074454.13722914</v>
      </c>
      <c r="V435" s="350">
        <f t="shared" si="194"/>
        <v>451376604.8441776</v>
      </c>
      <c r="W435" s="365"/>
      <c r="X435" s="377">
        <f t="shared" si="172"/>
        <v>0</v>
      </c>
      <c r="Y435" s="377">
        <f t="shared" si="173"/>
        <v>0</v>
      </c>
      <c r="Z435" s="377">
        <f t="shared" si="174"/>
        <v>0</v>
      </c>
      <c r="AA435" s="377">
        <f t="shared" si="175"/>
        <v>0</v>
      </c>
      <c r="AB435" s="377">
        <f t="shared" si="176"/>
        <v>0</v>
      </c>
      <c r="AC435" s="377">
        <f t="shared" si="177"/>
        <v>0</v>
      </c>
      <c r="AD435" s="376"/>
      <c r="AE435" s="332">
        <v>420</v>
      </c>
      <c r="AF435" s="350">
        <v>148190351.50600621</v>
      </c>
      <c r="AG435" s="350">
        <v>149405808.83913064</v>
      </c>
      <c r="AH435" s="350">
        <v>150570336.73494583</v>
      </c>
      <c r="AI435" s="350">
        <v>151737631.86894178</v>
      </c>
      <c r="AJ435" s="350">
        <v>152911320.21521142</v>
      </c>
      <c r="AK435" s="348">
        <v>752815449.16423583</v>
      </c>
      <c r="AL435" s="369"/>
      <c r="AM435" s="350">
        <v>190401626.50873706</v>
      </c>
      <c r="AN435" s="350">
        <v>234626544.53729743</v>
      </c>
      <c r="AO435" s="350">
        <v>279451094.48688322</v>
      </c>
      <c r="AP435" s="350">
        <v>324946638.83811086</v>
      </c>
      <c r="AQ435" s="350">
        <v>371124348.61108059</v>
      </c>
      <c r="AR435" s="348">
        <v>1400550252.9821093</v>
      </c>
      <c r="AS435" s="369"/>
      <c r="AT435" s="350">
        <f t="shared" si="195"/>
        <v>42211275.002730846</v>
      </c>
      <c r="AU435" s="350">
        <f t="shared" si="178"/>
        <v>85220735.698166788</v>
      </c>
      <c r="AV435" s="350">
        <f t="shared" si="179"/>
        <v>128880757.75193739</v>
      </c>
      <c r="AW435" s="350">
        <f t="shared" si="180"/>
        <v>173209006.96916908</v>
      </c>
      <c r="AX435" s="350">
        <f t="shared" si="181"/>
        <v>218213028.39586917</v>
      </c>
      <c r="AY435" s="350">
        <f t="shared" si="182"/>
        <v>647734803.81787348</v>
      </c>
      <c r="AZ435" s="365"/>
      <c r="BA435" s="377">
        <f t="shared" si="183"/>
        <v>0</v>
      </c>
      <c r="BB435" s="377">
        <f t="shared" si="184"/>
        <v>0</v>
      </c>
      <c r="BC435" s="377">
        <f t="shared" si="185"/>
        <v>0</v>
      </c>
      <c r="BD435" s="377">
        <f t="shared" si="186"/>
        <v>0</v>
      </c>
      <c r="BE435" s="377">
        <f t="shared" si="187"/>
        <v>0</v>
      </c>
      <c r="BF435" s="377">
        <f t="shared" si="188"/>
        <v>0</v>
      </c>
      <c r="BG435" s="328"/>
    </row>
    <row r="436" spans="2:59">
      <c r="B436" s="332">
        <v>421</v>
      </c>
      <c r="C436" s="350">
        <v>125905592.59204796</v>
      </c>
      <c r="D436" s="350">
        <v>126938270.32202271</v>
      </c>
      <c r="E436" s="350">
        <v>127927677.34699115</v>
      </c>
      <c r="F436" s="350">
        <v>128919435.47484478</v>
      </c>
      <c r="G436" s="350">
        <v>129916625.40828975</v>
      </c>
      <c r="H436" s="348">
        <v>639607601.14419639</v>
      </c>
      <c r="I436" s="369"/>
      <c r="J436" s="350">
        <v>156784387.13404596</v>
      </c>
      <c r="K436" s="350">
        <v>189296446.77031857</v>
      </c>
      <c r="L436" s="350">
        <v>222241400.74387276</v>
      </c>
      <c r="M436" s="350">
        <v>255677794.84831023</v>
      </c>
      <c r="N436" s="350">
        <v>289614231.75810575</v>
      </c>
      <c r="O436" s="348">
        <v>1113614261.2546532</v>
      </c>
      <c r="P436" s="369"/>
      <c r="Q436" s="350">
        <f t="shared" si="189"/>
        <v>30878794.541997999</v>
      </c>
      <c r="R436" s="350">
        <f t="shared" si="190"/>
        <v>62358176.448295861</v>
      </c>
      <c r="S436" s="350">
        <f t="shared" si="191"/>
        <v>94313723.39688161</v>
      </c>
      <c r="T436" s="350">
        <f t="shared" si="192"/>
        <v>126758359.37346545</v>
      </c>
      <c r="U436" s="350">
        <f t="shared" si="193"/>
        <v>159697606.34981602</v>
      </c>
      <c r="V436" s="350">
        <f t="shared" si="194"/>
        <v>474006660.11045682</v>
      </c>
      <c r="W436" s="365"/>
      <c r="X436" s="377">
        <f t="shared" si="172"/>
        <v>0</v>
      </c>
      <c r="Y436" s="377">
        <f t="shared" si="173"/>
        <v>0</v>
      </c>
      <c r="Z436" s="377">
        <f t="shared" si="174"/>
        <v>0</v>
      </c>
      <c r="AA436" s="377">
        <f t="shared" si="175"/>
        <v>0</v>
      </c>
      <c r="AB436" s="377">
        <f t="shared" si="176"/>
        <v>0</v>
      </c>
      <c r="AC436" s="377">
        <f t="shared" si="177"/>
        <v>0</v>
      </c>
      <c r="AD436" s="376"/>
      <c r="AE436" s="332">
        <v>421</v>
      </c>
      <c r="AF436" s="350">
        <v>135706513.60362363</v>
      </c>
      <c r="AG436" s="350">
        <v>136819578.49236968</v>
      </c>
      <c r="AH436" s="350">
        <v>137886004.33675966</v>
      </c>
      <c r="AI436" s="350">
        <v>138954964.30190724</v>
      </c>
      <c r="AJ436" s="350">
        <v>140029778.90293074</v>
      </c>
      <c r="AK436" s="348">
        <v>689396839.63759089</v>
      </c>
      <c r="AL436" s="369"/>
      <c r="AM436" s="350">
        <v>170204527.90397197</v>
      </c>
      <c r="AN436" s="350">
        <v>206492473.00247222</v>
      </c>
      <c r="AO436" s="350">
        <v>243265845.85720831</v>
      </c>
      <c r="AP436" s="350">
        <v>280588258.73133421</v>
      </c>
      <c r="AQ436" s="350">
        <v>318469202.22541976</v>
      </c>
      <c r="AR436" s="348">
        <v>1219020307.7204065</v>
      </c>
      <c r="AS436" s="369"/>
      <c r="AT436" s="350">
        <f t="shared" si="195"/>
        <v>34498014.300348341</v>
      </c>
      <c r="AU436" s="350">
        <f t="shared" si="178"/>
        <v>69672894.51010254</v>
      </c>
      <c r="AV436" s="350">
        <f t="shared" si="179"/>
        <v>105379841.52044865</v>
      </c>
      <c r="AW436" s="350">
        <f t="shared" si="180"/>
        <v>141633294.42942697</v>
      </c>
      <c r="AX436" s="350">
        <f t="shared" si="181"/>
        <v>178439423.32248902</v>
      </c>
      <c r="AY436" s="350">
        <f t="shared" si="182"/>
        <v>529623468.08281565</v>
      </c>
      <c r="AZ436" s="365"/>
      <c r="BA436" s="377">
        <f t="shared" si="183"/>
        <v>0</v>
      </c>
      <c r="BB436" s="377">
        <f t="shared" si="184"/>
        <v>0</v>
      </c>
      <c r="BC436" s="377">
        <f t="shared" si="185"/>
        <v>0</v>
      </c>
      <c r="BD436" s="377">
        <f t="shared" si="186"/>
        <v>0</v>
      </c>
      <c r="BE436" s="377">
        <f t="shared" si="187"/>
        <v>0</v>
      </c>
      <c r="BF436" s="377">
        <f t="shared" si="188"/>
        <v>0</v>
      </c>
      <c r="BG436" s="328"/>
    </row>
    <row r="437" spans="2:59">
      <c r="B437" s="332">
        <v>422</v>
      </c>
      <c r="C437" s="350">
        <v>146879136.53412467</v>
      </c>
      <c r="D437" s="350">
        <v>148083839.28142965</v>
      </c>
      <c r="E437" s="350">
        <v>149238063.22427732</v>
      </c>
      <c r="F437" s="350">
        <v>150395029.92028293</v>
      </c>
      <c r="G437" s="350">
        <v>151558333.26026627</v>
      </c>
      <c r="H437" s="348">
        <v>746154402.2203809</v>
      </c>
      <c r="I437" s="369"/>
      <c r="J437" s="350">
        <v>182320544.97212401</v>
      </c>
      <c r="K437" s="350">
        <v>219667401.50238481</v>
      </c>
      <c r="L437" s="350">
        <v>257510479.81005561</v>
      </c>
      <c r="M437" s="350">
        <v>295917835.70551801</v>
      </c>
      <c r="N437" s="350">
        <v>334899402.71387827</v>
      </c>
      <c r="O437" s="348">
        <v>1290315664.7039609</v>
      </c>
      <c r="P437" s="369"/>
      <c r="Q437" s="350">
        <f t="shared" si="189"/>
        <v>35441408.437999338</v>
      </c>
      <c r="R437" s="350">
        <f t="shared" si="190"/>
        <v>71583562.220955163</v>
      </c>
      <c r="S437" s="350">
        <f t="shared" si="191"/>
        <v>108272416.5857783</v>
      </c>
      <c r="T437" s="350">
        <f t="shared" si="192"/>
        <v>145522805.78523508</v>
      </c>
      <c r="U437" s="350">
        <f t="shared" si="193"/>
        <v>183341069.453612</v>
      </c>
      <c r="V437" s="350">
        <f t="shared" si="194"/>
        <v>544161262.48357999</v>
      </c>
      <c r="W437" s="365"/>
      <c r="X437" s="377">
        <f t="shared" si="172"/>
        <v>0</v>
      </c>
      <c r="Y437" s="377">
        <f t="shared" si="173"/>
        <v>0</v>
      </c>
      <c r="Z437" s="377">
        <f t="shared" si="174"/>
        <v>0</v>
      </c>
      <c r="AA437" s="377">
        <f t="shared" si="175"/>
        <v>0</v>
      </c>
      <c r="AB437" s="377">
        <f t="shared" si="176"/>
        <v>0</v>
      </c>
      <c r="AC437" s="377">
        <f t="shared" si="177"/>
        <v>0</v>
      </c>
      <c r="AD437" s="376"/>
      <c r="AE437" s="332">
        <v>422</v>
      </c>
      <c r="AF437" s="350">
        <v>130975657.98042259</v>
      </c>
      <c r="AG437" s="350">
        <v>132049920.38911013</v>
      </c>
      <c r="AH437" s="350">
        <v>133079169.63402313</v>
      </c>
      <c r="AI437" s="350">
        <v>134110864.65788081</v>
      </c>
      <c r="AJ437" s="350">
        <v>135148210.21954775</v>
      </c>
      <c r="AK437" s="348">
        <v>665363822.88098443</v>
      </c>
      <c r="AL437" s="369"/>
      <c r="AM437" s="350">
        <v>166510480.41312313</v>
      </c>
      <c r="AN437" s="350">
        <v>203815799.20036066</v>
      </c>
      <c r="AO437" s="350">
        <v>241624147.24161825</v>
      </c>
      <c r="AP437" s="350">
        <v>279997856.47816849</v>
      </c>
      <c r="AQ437" s="350">
        <v>318946487.0421735</v>
      </c>
      <c r="AR437" s="348">
        <v>1210894770.3754439</v>
      </c>
      <c r="AS437" s="369"/>
      <c r="AT437" s="350">
        <f t="shared" si="195"/>
        <v>35534822.432700545</v>
      </c>
      <c r="AU437" s="350">
        <f t="shared" si="178"/>
        <v>71765878.811250523</v>
      </c>
      <c r="AV437" s="350">
        <f t="shared" si="179"/>
        <v>108544977.60759512</v>
      </c>
      <c r="AW437" s="350">
        <f t="shared" si="180"/>
        <v>145886991.82028767</v>
      </c>
      <c r="AX437" s="350">
        <f t="shared" si="181"/>
        <v>183798276.82262576</v>
      </c>
      <c r="AY437" s="350">
        <f t="shared" si="182"/>
        <v>545530947.49445951</v>
      </c>
      <c r="AZ437" s="365"/>
      <c r="BA437" s="377">
        <f t="shared" si="183"/>
        <v>0</v>
      </c>
      <c r="BB437" s="377">
        <f t="shared" si="184"/>
        <v>0</v>
      </c>
      <c r="BC437" s="377">
        <f t="shared" si="185"/>
        <v>0</v>
      </c>
      <c r="BD437" s="377">
        <f t="shared" si="186"/>
        <v>0</v>
      </c>
      <c r="BE437" s="377">
        <f t="shared" si="187"/>
        <v>0</v>
      </c>
      <c r="BF437" s="377">
        <f t="shared" si="188"/>
        <v>0</v>
      </c>
      <c r="BG437" s="328"/>
    </row>
    <row r="438" spans="2:59">
      <c r="B438" s="332">
        <v>423</v>
      </c>
      <c r="C438" s="350">
        <v>125948844.74055785</v>
      </c>
      <c r="D438" s="350">
        <v>126981877.22467509</v>
      </c>
      <c r="E438" s="350">
        <v>127971624.13906941</v>
      </c>
      <c r="F438" s="350">
        <v>128963722.96401963</v>
      </c>
      <c r="G438" s="350">
        <v>129961255.46054065</v>
      </c>
      <c r="H438" s="348">
        <v>639827324.5288626</v>
      </c>
      <c r="I438" s="369"/>
      <c r="J438" s="350">
        <v>158860167.52400437</v>
      </c>
      <c r="K438" s="350">
        <v>193434461.36551878</v>
      </c>
      <c r="L438" s="350">
        <v>228472818.47721443</v>
      </c>
      <c r="M438" s="350">
        <v>264034650.45209494</v>
      </c>
      <c r="N438" s="350">
        <v>300128922.94043458</v>
      </c>
      <c r="O438" s="348">
        <v>1144931020.7592671</v>
      </c>
      <c r="P438" s="369"/>
      <c r="Q438" s="350">
        <f t="shared" si="189"/>
        <v>32911322.783446521</v>
      </c>
      <c r="R438" s="350">
        <f t="shared" si="190"/>
        <v>66452584.140843689</v>
      </c>
      <c r="S438" s="350">
        <f t="shared" si="191"/>
        <v>100501194.33814502</v>
      </c>
      <c r="T438" s="350">
        <f t="shared" si="192"/>
        <v>135070927.48807532</v>
      </c>
      <c r="U438" s="350">
        <f t="shared" si="193"/>
        <v>170167667.47989392</v>
      </c>
      <c r="V438" s="350">
        <f t="shared" si="194"/>
        <v>505103696.2304045</v>
      </c>
      <c r="W438" s="365"/>
      <c r="X438" s="377">
        <f t="shared" si="172"/>
        <v>0</v>
      </c>
      <c r="Y438" s="377">
        <f t="shared" si="173"/>
        <v>0</v>
      </c>
      <c r="Z438" s="377">
        <f t="shared" si="174"/>
        <v>0</v>
      </c>
      <c r="AA438" s="377">
        <f t="shared" si="175"/>
        <v>0</v>
      </c>
      <c r="AB438" s="377">
        <f t="shared" si="176"/>
        <v>0</v>
      </c>
      <c r="AC438" s="377">
        <f t="shared" si="177"/>
        <v>0</v>
      </c>
      <c r="AD438" s="376"/>
      <c r="AE438" s="332">
        <v>423</v>
      </c>
      <c r="AF438" s="350">
        <v>138387656.03050557</v>
      </c>
      <c r="AG438" s="350">
        <v>139522711.65070468</v>
      </c>
      <c r="AH438" s="350">
        <v>140610206.78278467</v>
      </c>
      <c r="AI438" s="350">
        <v>141700286.10203755</v>
      </c>
      <c r="AJ438" s="350">
        <v>142796335.72672582</v>
      </c>
      <c r="AK438" s="348">
        <v>703017196.29275835</v>
      </c>
      <c r="AL438" s="369"/>
      <c r="AM438" s="350">
        <v>168805071.14178571</v>
      </c>
      <c r="AN438" s="350">
        <v>200972458.15214404</v>
      </c>
      <c r="AO438" s="350">
        <v>233561698.29659534</v>
      </c>
      <c r="AP438" s="350">
        <v>266635668.42557773</v>
      </c>
      <c r="AQ438" s="350">
        <v>300203197.6788469</v>
      </c>
      <c r="AR438" s="348">
        <v>1170178093.6949499</v>
      </c>
      <c r="AS438" s="369"/>
      <c r="AT438" s="350">
        <f t="shared" si="195"/>
        <v>30417415.111280143</v>
      </c>
      <c r="AU438" s="350">
        <f t="shared" si="178"/>
        <v>61449746.501439363</v>
      </c>
      <c r="AV438" s="350">
        <f t="shared" si="179"/>
        <v>92951491.513810664</v>
      </c>
      <c r="AW438" s="350">
        <f t="shared" si="180"/>
        <v>124935382.32354018</v>
      </c>
      <c r="AX438" s="350">
        <f t="shared" si="181"/>
        <v>157406861.95212108</v>
      </c>
      <c r="AY438" s="350">
        <f t="shared" si="182"/>
        <v>467160897.40219152</v>
      </c>
      <c r="AZ438" s="365"/>
      <c r="BA438" s="377">
        <f t="shared" si="183"/>
        <v>0</v>
      </c>
      <c r="BB438" s="377">
        <f t="shared" si="184"/>
        <v>0</v>
      </c>
      <c r="BC438" s="377">
        <f t="shared" si="185"/>
        <v>0</v>
      </c>
      <c r="BD438" s="377">
        <f t="shared" si="186"/>
        <v>0</v>
      </c>
      <c r="BE438" s="377">
        <f t="shared" si="187"/>
        <v>0</v>
      </c>
      <c r="BF438" s="377">
        <f t="shared" si="188"/>
        <v>0</v>
      </c>
      <c r="BG438" s="328"/>
    </row>
    <row r="439" spans="2:59">
      <c r="B439" s="332">
        <v>424</v>
      </c>
      <c r="C439" s="350">
        <v>149026440.96070075</v>
      </c>
      <c r="D439" s="350">
        <v>150248755.89992791</v>
      </c>
      <c r="E439" s="350">
        <v>151419854.05813536</v>
      </c>
      <c r="F439" s="350">
        <v>152593735.0672718</v>
      </c>
      <c r="G439" s="350">
        <v>153774045.3591637</v>
      </c>
      <c r="H439" s="348">
        <v>757062831.34519958</v>
      </c>
      <c r="I439" s="369"/>
      <c r="J439" s="350">
        <v>193085164.28867993</v>
      </c>
      <c r="K439" s="350">
        <v>239213916.73117289</v>
      </c>
      <c r="L439" s="350">
        <v>285970714.18757629</v>
      </c>
      <c r="M439" s="350">
        <v>333427996.07994968</v>
      </c>
      <c r="N439" s="350">
        <v>381597286.3356514</v>
      </c>
      <c r="O439" s="348">
        <v>1433295077.6230302</v>
      </c>
      <c r="P439" s="369"/>
      <c r="Q439" s="350">
        <f t="shared" si="189"/>
        <v>44058723.327979177</v>
      </c>
      <c r="R439" s="350">
        <f t="shared" si="190"/>
        <v>88965160.831244975</v>
      </c>
      <c r="S439" s="350">
        <f t="shared" si="191"/>
        <v>134550860.12944093</v>
      </c>
      <c r="T439" s="350">
        <f t="shared" si="192"/>
        <v>180834261.01267788</v>
      </c>
      <c r="U439" s="350">
        <f t="shared" si="193"/>
        <v>227823240.9764877</v>
      </c>
      <c r="V439" s="350">
        <f t="shared" si="194"/>
        <v>676232246.2778306</v>
      </c>
      <c r="W439" s="365"/>
      <c r="X439" s="377">
        <f t="shared" si="172"/>
        <v>0</v>
      </c>
      <c r="Y439" s="377">
        <f t="shared" si="173"/>
        <v>0</v>
      </c>
      <c r="Z439" s="377">
        <f t="shared" si="174"/>
        <v>0</v>
      </c>
      <c r="AA439" s="377">
        <f t="shared" si="175"/>
        <v>0</v>
      </c>
      <c r="AB439" s="377">
        <f t="shared" si="176"/>
        <v>0</v>
      </c>
      <c r="AC439" s="377">
        <f t="shared" si="177"/>
        <v>0</v>
      </c>
      <c r="AD439" s="376"/>
      <c r="AE439" s="332">
        <v>424</v>
      </c>
      <c r="AF439" s="350">
        <v>121749246.37791023</v>
      </c>
      <c r="AG439" s="350">
        <v>122747833.75427124</v>
      </c>
      <c r="AH439" s="350">
        <v>123704578.86122784</v>
      </c>
      <c r="AI439" s="350">
        <v>124663597.45738016</v>
      </c>
      <c r="AJ439" s="350">
        <v>125627868.54648052</v>
      </c>
      <c r="AK439" s="348">
        <v>618493124.99726999</v>
      </c>
      <c r="AL439" s="369"/>
      <c r="AM439" s="350">
        <v>159601928.6603725</v>
      </c>
      <c r="AN439" s="350">
        <v>199177772.98989671</v>
      </c>
      <c r="AO439" s="350">
        <v>239295298.94388142</v>
      </c>
      <c r="AP439" s="350">
        <v>280014464.46444225</v>
      </c>
      <c r="AQ439" s="350">
        <v>321345015.86985099</v>
      </c>
      <c r="AR439" s="348">
        <v>1199434480.9284439</v>
      </c>
      <c r="AS439" s="369"/>
      <c r="AT439" s="350">
        <f t="shared" si="195"/>
        <v>37852682.282462269</v>
      </c>
      <c r="AU439" s="350">
        <f t="shared" si="178"/>
        <v>76429939.235625476</v>
      </c>
      <c r="AV439" s="350">
        <f t="shared" si="179"/>
        <v>115590720.08265358</v>
      </c>
      <c r="AW439" s="350">
        <f t="shared" si="180"/>
        <v>155350867.00706208</v>
      </c>
      <c r="AX439" s="350">
        <f t="shared" si="181"/>
        <v>195717147.32337046</v>
      </c>
      <c r="AY439" s="350">
        <f t="shared" si="182"/>
        <v>580941355.93117392</v>
      </c>
      <c r="AZ439" s="365"/>
      <c r="BA439" s="377">
        <f t="shared" si="183"/>
        <v>0</v>
      </c>
      <c r="BB439" s="377">
        <f t="shared" si="184"/>
        <v>0</v>
      </c>
      <c r="BC439" s="377">
        <f t="shared" si="185"/>
        <v>0</v>
      </c>
      <c r="BD439" s="377">
        <f t="shared" si="186"/>
        <v>0</v>
      </c>
      <c r="BE439" s="377">
        <f t="shared" si="187"/>
        <v>0</v>
      </c>
      <c r="BF439" s="377">
        <f t="shared" si="188"/>
        <v>0</v>
      </c>
      <c r="BG439" s="328"/>
    </row>
    <row r="440" spans="2:59">
      <c r="B440" s="332">
        <v>425</v>
      </c>
      <c r="C440" s="350">
        <v>111109711.9975289</v>
      </c>
      <c r="D440" s="350">
        <v>112021033.90787107</v>
      </c>
      <c r="E440" s="350">
        <v>112894170.09927741</v>
      </c>
      <c r="F440" s="350">
        <v>113769381.10212834</v>
      </c>
      <c r="G440" s="350">
        <v>114649385.58827457</v>
      </c>
      <c r="H440" s="348">
        <v>564443682.69508028</v>
      </c>
      <c r="I440" s="369"/>
      <c r="J440" s="350">
        <v>141857699.66984576</v>
      </c>
      <c r="K440" s="350">
        <v>174123161.25384736</v>
      </c>
      <c r="L440" s="350">
        <v>206824711.46635181</v>
      </c>
      <c r="M440" s="350">
        <v>240015480.5262132</v>
      </c>
      <c r="N440" s="350">
        <v>273703686.92295551</v>
      </c>
      <c r="O440" s="348">
        <v>1036524739.8392136</v>
      </c>
      <c r="P440" s="369"/>
      <c r="Q440" s="350">
        <f t="shared" si="189"/>
        <v>30747987.672316864</v>
      </c>
      <c r="R440" s="350">
        <f t="shared" si="190"/>
        <v>62102127.345976293</v>
      </c>
      <c r="S440" s="350">
        <f t="shared" si="191"/>
        <v>93930541.3670744</v>
      </c>
      <c r="T440" s="350">
        <f t="shared" si="192"/>
        <v>126246099.42408486</v>
      </c>
      <c r="U440" s="350">
        <f t="shared" si="193"/>
        <v>159054301.33468094</v>
      </c>
      <c r="V440" s="350">
        <f t="shared" si="194"/>
        <v>472081057.14413333</v>
      </c>
      <c r="W440" s="365"/>
      <c r="X440" s="377">
        <f t="shared" si="172"/>
        <v>0</v>
      </c>
      <c r="Y440" s="377">
        <f t="shared" si="173"/>
        <v>0</v>
      </c>
      <c r="Z440" s="377">
        <f t="shared" si="174"/>
        <v>0</v>
      </c>
      <c r="AA440" s="377">
        <f t="shared" si="175"/>
        <v>0</v>
      </c>
      <c r="AB440" s="377">
        <f t="shared" si="176"/>
        <v>0</v>
      </c>
      <c r="AC440" s="377">
        <f t="shared" si="177"/>
        <v>0</v>
      </c>
      <c r="AD440" s="376"/>
      <c r="AE440" s="332">
        <v>425</v>
      </c>
      <c r="AF440" s="350">
        <v>133433418.92492978</v>
      </c>
      <c r="AG440" s="350">
        <v>134527839.89004633</v>
      </c>
      <c r="AH440" s="350">
        <v>135576403.01843446</v>
      </c>
      <c r="AI440" s="350">
        <v>136627457.82086</v>
      </c>
      <c r="AJ440" s="350">
        <v>137684269.19355425</v>
      </c>
      <c r="AK440" s="348">
        <v>677849388.84782481</v>
      </c>
      <c r="AL440" s="369"/>
      <c r="AM440" s="350">
        <v>166035363.14488694</v>
      </c>
      <c r="AN440" s="350">
        <v>200369001.21233085</v>
      </c>
      <c r="AO440" s="350">
        <v>235159567.66130146</v>
      </c>
      <c r="AP440" s="350">
        <v>270469057.37011939</v>
      </c>
      <c r="AQ440" s="350">
        <v>306306565.83696526</v>
      </c>
      <c r="AR440" s="348">
        <v>1178339555.2256041</v>
      </c>
      <c r="AS440" s="369"/>
      <c r="AT440" s="350">
        <f t="shared" si="195"/>
        <v>32601944.219957158</v>
      </c>
      <c r="AU440" s="350">
        <f t="shared" si="178"/>
        <v>65841161.32228452</v>
      </c>
      <c r="AV440" s="350">
        <f t="shared" si="179"/>
        <v>99583164.642866999</v>
      </c>
      <c r="AW440" s="350">
        <f t="shared" si="180"/>
        <v>133841599.54925939</v>
      </c>
      <c r="AX440" s="350">
        <f t="shared" si="181"/>
        <v>168622296.64341101</v>
      </c>
      <c r="AY440" s="350">
        <f t="shared" si="182"/>
        <v>500490166.37777925</v>
      </c>
      <c r="AZ440" s="365"/>
      <c r="BA440" s="377">
        <f t="shared" si="183"/>
        <v>0</v>
      </c>
      <c r="BB440" s="377">
        <f t="shared" si="184"/>
        <v>0</v>
      </c>
      <c r="BC440" s="377">
        <f t="shared" si="185"/>
        <v>0</v>
      </c>
      <c r="BD440" s="377">
        <f t="shared" si="186"/>
        <v>0</v>
      </c>
      <c r="BE440" s="377">
        <f t="shared" si="187"/>
        <v>0</v>
      </c>
      <c r="BF440" s="377">
        <f t="shared" si="188"/>
        <v>0</v>
      </c>
      <c r="BG440" s="328"/>
    </row>
    <row r="441" spans="2:59">
      <c r="B441" s="332">
        <v>426</v>
      </c>
      <c r="C441" s="350">
        <v>129705218.48658904</v>
      </c>
      <c r="D441" s="350">
        <v>130769060.74994746</v>
      </c>
      <c r="E441" s="350">
        <v>131788326.46883814</v>
      </c>
      <c r="F441" s="350">
        <v>132810014.24307318</v>
      </c>
      <c r="G441" s="350">
        <v>133837297.7459529</v>
      </c>
      <c r="H441" s="348">
        <v>658909917.69440079</v>
      </c>
      <c r="I441" s="369"/>
      <c r="J441" s="350">
        <v>162162634.47440729</v>
      </c>
      <c r="K441" s="350">
        <v>196322561.59320974</v>
      </c>
      <c r="L441" s="350">
        <v>230938535.27737725</v>
      </c>
      <c r="M441" s="350">
        <v>266071139.2373105</v>
      </c>
      <c r="N441" s="350">
        <v>301729352.54483473</v>
      </c>
      <c r="O441" s="348">
        <v>1157224223.1271396</v>
      </c>
      <c r="P441" s="369"/>
      <c r="Q441" s="350">
        <f t="shared" si="189"/>
        <v>32457415.987818241</v>
      </c>
      <c r="R441" s="350">
        <f t="shared" si="190"/>
        <v>65553500.843262285</v>
      </c>
      <c r="S441" s="350">
        <f t="shared" si="191"/>
        <v>99150208.808539107</v>
      </c>
      <c r="T441" s="350">
        <f t="shared" si="192"/>
        <v>133261124.99423732</v>
      </c>
      <c r="U441" s="350">
        <f t="shared" si="193"/>
        <v>167892054.79888183</v>
      </c>
      <c r="V441" s="350">
        <f t="shared" si="194"/>
        <v>498314305.43273878</v>
      </c>
      <c r="W441" s="365"/>
      <c r="X441" s="377">
        <f t="shared" si="172"/>
        <v>0</v>
      </c>
      <c r="Y441" s="377">
        <f t="shared" si="173"/>
        <v>0</v>
      </c>
      <c r="Z441" s="377">
        <f t="shared" si="174"/>
        <v>0</v>
      </c>
      <c r="AA441" s="377">
        <f t="shared" si="175"/>
        <v>0</v>
      </c>
      <c r="AB441" s="377">
        <f t="shared" si="176"/>
        <v>0</v>
      </c>
      <c r="AC441" s="377">
        <f t="shared" si="177"/>
        <v>0</v>
      </c>
      <c r="AD441" s="376"/>
      <c r="AE441" s="332">
        <v>426</v>
      </c>
      <c r="AF441" s="350">
        <v>132227178.54067749</v>
      </c>
      <c r="AG441" s="350">
        <v>133311705.921592</v>
      </c>
      <c r="AH441" s="350">
        <v>134350790.0214048</v>
      </c>
      <c r="AI441" s="350">
        <v>135392343.27047911</v>
      </c>
      <c r="AJ441" s="350">
        <v>136439601.0503287</v>
      </c>
      <c r="AK441" s="348">
        <v>671721618.8044821</v>
      </c>
      <c r="AL441" s="369"/>
      <c r="AM441" s="350">
        <v>165492022.98577479</v>
      </c>
      <c r="AN441" s="350">
        <v>200496977.82805195</v>
      </c>
      <c r="AO441" s="350">
        <v>235969582.27207559</v>
      </c>
      <c r="AP441" s="350">
        <v>271971671.86647367</v>
      </c>
      <c r="AQ441" s="350">
        <v>308512431.96621078</v>
      </c>
      <c r="AR441" s="348">
        <v>1182442686.9185867</v>
      </c>
      <c r="AS441" s="369"/>
      <c r="AT441" s="350">
        <f t="shared" si="195"/>
        <v>33264844.445097297</v>
      </c>
      <c r="AU441" s="350">
        <f t="shared" si="178"/>
        <v>67185271.906459957</v>
      </c>
      <c r="AV441" s="350">
        <f t="shared" si="179"/>
        <v>101618792.25067079</v>
      </c>
      <c r="AW441" s="350">
        <f t="shared" si="180"/>
        <v>136579328.59599456</v>
      </c>
      <c r="AX441" s="350">
        <f t="shared" si="181"/>
        <v>172072830.91588208</v>
      </c>
      <c r="AY441" s="350">
        <f t="shared" si="182"/>
        <v>510721068.11410463</v>
      </c>
      <c r="AZ441" s="365"/>
      <c r="BA441" s="377">
        <f t="shared" si="183"/>
        <v>0</v>
      </c>
      <c r="BB441" s="377">
        <f t="shared" si="184"/>
        <v>0</v>
      </c>
      <c r="BC441" s="377">
        <f t="shared" si="185"/>
        <v>0</v>
      </c>
      <c r="BD441" s="377">
        <f t="shared" si="186"/>
        <v>0</v>
      </c>
      <c r="BE441" s="377">
        <f t="shared" si="187"/>
        <v>0</v>
      </c>
      <c r="BF441" s="377">
        <f t="shared" si="188"/>
        <v>0</v>
      </c>
      <c r="BG441" s="328"/>
    </row>
    <row r="442" spans="2:59">
      <c r="B442" s="332">
        <v>427</v>
      </c>
      <c r="C442" s="350">
        <v>102267677.84107795</v>
      </c>
      <c r="D442" s="350">
        <v>103106477.38308793</v>
      </c>
      <c r="E442" s="350">
        <v>103910129.99930668</v>
      </c>
      <c r="F442" s="350">
        <v>104715692.31490803</v>
      </c>
      <c r="G442" s="350">
        <v>105525666.65171407</v>
      </c>
      <c r="H442" s="348">
        <v>519525644.19009471</v>
      </c>
      <c r="I442" s="369"/>
      <c r="J442" s="350">
        <v>131638883.68699369</v>
      </c>
      <c r="K442" s="350">
        <v>162419814.92708769</v>
      </c>
      <c r="L442" s="350">
        <v>193618511.29380146</v>
      </c>
      <c r="M442" s="350">
        <v>225284322.39421901</v>
      </c>
      <c r="N442" s="350">
        <v>257425002.87212902</v>
      </c>
      <c r="O442" s="348">
        <v>970386535.17423081</v>
      </c>
      <c r="P442" s="369"/>
      <c r="Q442" s="350">
        <f t="shared" si="189"/>
        <v>29371205.845915735</v>
      </c>
      <c r="R442" s="350">
        <f t="shared" si="190"/>
        <v>59313337.543999761</v>
      </c>
      <c r="S442" s="350">
        <f t="shared" si="191"/>
        <v>89708381.294494778</v>
      </c>
      <c r="T442" s="350">
        <f t="shared" si="192"/>
        <v>120568630.07931098</v>
      </c>
      <c r="U442" s="350">
        <f t="shared" si="193"/>
        <v>151899336.22041494</v>
      </c>
      <c r="V442" s="350">
        <f t="shared" si="194"/>
        <v>450860890.9841361</v>
      </c>
      <c r="W442" s="365"/>
      <c r="X442" s="377">
        <f t="shared" si="172"/>
        <v>0</v>
      </c>
      <c r="Y442" s="377">
        <f t="shared" si="173"/>
        <v>0</v>
      </c>
      <c r="Z442" s="377">
        <f t="shared" si="174"/>
        <v>0</v>
      </c>
      <c r="AA442" s="377">
        <f t="shared" si="175"/>
        <v>0</v>
      </c>
      <c r="AB442" s="377">
        <f t="shared" si="176"/>
        <v>0</v>
      </c>
      <c r="AC442" s="377">
        <f t="shared" si="177"/>
        <v>0</v>
      </c>
      <c r="AD442" s="376"/>
      <c r="AE442" s="332">
        <v>427</v>
      </c>
      <c r="AF442" s="350">
        <v>140956675.66150081</v>
      </c>
      <c r="AG442" s="350">
        <v>142112802.38192815</v>
      </c>
      <c r="AH442" s="350">
        <v>143220485.70436454</v>
      </c>
      <c r="AI442" s="350">
        <v>144330801.18665993</v>
      </c>
      <c r="AJ442" s="350">
        <v>145447197.80676046</v>
      </c>
      <c r="AK442" s="348">
        <v>716067962.74121392</v>
      </c>
      <c r="AL442" s="369"/>
      <c r="AM442" s="350">
        <v>173883608.2342425</v>
      </c>
      <c r="AN442" s="350">
        <v>208609038.04675955</v>
      </c>
      <c r="AO442" s="350">
        <v>243793803.07734263</v>
      </c>
      <c r="AP442" s="350">
        <v>279502760.2037847</v>
      </c>
      <c r="AQ442" s="350">
        <v>315745246.93604219</v>
      </c>
      <c r="AR442" s="348">
        <v>1221534456.4981716</v>
      </c>
      <c r="AS442" s="369"/>
      <c r="AT442" s="350">
        <f t="shared" si="195"/>
        <v>32926932.572741687</v>
      </c>
      <c r="AU442" s="350">
        <f t="shared" si="178"/>
        <v>66496235.6648314</v>
      </c>
      <c r="AV442" s="350">
        <f t="shared" si="179"/>
        <v>100573317.37297809</v>
      </c>
      <c r="AW442" s="350">
        <f t="shared" si="180"/>
        <v>135171959.01712477</v>
      </c>
      <c r="AX442" s="350">
        <f t="shared" si="181"/>
        <v>170298049.12928173</v>
      </c>
      <c r="AY442" s="350">
        <f t="shared" si="182"/>
        <v>505466493.75695765</v>
      </c>
      <c r="AZ442" s="365"/>
      <c r="BA442" s="377">
        <f t="shared" si="183"/>
        <v>0</v>
      </c>
      <c r="BB442" s="377">
        <f t="shared" si="184"/>
        <v>0</v>
      </c>
      <c r="BC442" s="377">
        <f t="shared" si="185"/>
        <v>0</v>
      </c>
      <c r="BD442" s="377">
        <f t="shared" si="186"/>
        <v>0</v>
      </c>
      <c r="BE442" s="377">
        <f t="shared" si="187"/>
        <v>0</v>
      </c>
      <c r="BF442" s="377">
        <f t="shared" si="188"/>
        <v>0</v>
      </c>
      <c r="BG442" s="328"/>
    </row>
    <row r="443" spans="2:59">
      <c r="B443" s="332">
        <v>428</v>
      </c>
      <c r="C443" s="350">
        <v>128531942.12560977</v>
      </c>
      <c r="D443" s="350">
        <v>129586161.17570065</v>
      </c>
      <c r="E443" s="350">
        <v>130596206.90801343</v>
      </c>
      <c r="F443" s="350">
        <v>131608652.7864497</v>
      </c>
      <c r="G443" s="350">
        <v>132626643.77616756</v>
      </c>
      <c r="H443" s="348">
        <v>652949606.77194107</v>
      </c>
      <c r="I443" s="369"/>
      <c r="J443" s="350">
        <v>161694015.71200186</v>
      </c>
      <c r="K443" s="350">
        <v>196563323.24288386</v>
      </c>
      <c r="L443" s="350">
        <v>231899956.69164303</v>
      </c>
      <c r="M443" s="350">
        <v>267764369.59518373</v>
      </c>
      <c r="N443" s="350">
        <v>304165638.42698753</v>
      </c>
      <c r="O443" s="348">
        <v>1162087303.6687</v>
      </c>
      <c r="P443" s="369"/>
      <c r="Q443" s="350">
        <f t="shared" si="189"/>
        <v>33162073.58639209</v>
      </c>
      <c r="R443" s="350">
        <f t="shared" si="190"/>
        <v>66977162.067183211</v>
      </c>
      <c r="S443" s="350">
        <f t="shared" si="191"/>
        <v>101303749.7836296</v>
      </c>
      <c r="T443" s="350">
        <f t="shared" si="192"/>
        <v>136155716.80873403</v>
      </c>
      <c r="U443" s="350">
        <f t="shared" si="193"/>
        <v>171538994.65081996</v>
      </c>
      <c r="V443" s="350">
        <f t="shared" si="194"/>
        <v>509137696.89675891</v>
      </c>
      <c r="W443" s="365"/>
      <c r="X443" s="377">
        <f t="shared" si="172"/>
        <v>0</v>
      </c>
      <c r="Y443" s="377">
        <f t="shared" si="173"/>
        <v>0</v>
      </c>
      <c r="Z443" s="377">
        <f t="shared" si="174"/>
        <v>0</v>
      </c>
      <c r="AA443" s="377">
        <f t="shared" si="175"/>
        <v>0</v>
      </c>
      <c r="AB443" s="377">
        <f t="shared" si="176"/>
        <v>0</v>
      </c>
      <c r="AC443" s="377">
        <f t="shared" si="177"/>
        <v>0</v>
      </c>
      <c r="AD443" s="376"/>
      <c r="AE443" s="332">
        <v>428</v>
      </c>
      <c r="AF443" s="350">
        <v>132257884.11040057</v>
      </c>
      <c r="AG443" s="350">
        <v>133342663.33841252</v>
      </c>
      <c r="AH443" s="350">
        <v>134381988.73256147</v>
      </c>
      <c r="AI443" s="350">
        <v>135423783.84935367</v>
      </c>
      <c r="AJ443" s="350">
        <v>136471284.82161748</v>
      </c>
      <c r="AK443" s="348">
        <v>671877604.85234571</v>
      </c>
      <c r="AL443" s="369"/>
      <c r="AM443" s="350">
        <v>168107235.69477773</v>
      </c>
      <c r="AN443" s="350">
        <v>205740451.86887017</v>
      </c>
      <c r="AO443" s="350">
        <v>243881055.89441592</v>
      </c>
      <c r="AP443" s="350">
        <v>282591975.78776979</v>
      </c>
      <c r="AQ443" s="350">
        <v>321882858.80291206</v>
      </c>
      <c r="AR443" s="348">
        <v>1222203578.0487456</v>
      </c>
      <c r="AS443" s="369"/>
      <c r="AT443" s="350">
        <f t="shared" si="195"/>
        <v>35849351.584377155</v>
      </c>
      <c r="AU443" s="350">
        <f t="shared" si="178"/>
        <v>72397788.530457646</v>
      </c>
      <c r="AV443" s="350">
        <f t="shared" si="179"/>
        <v>109499067.16185445</v>
      </c>
      <c r="AW443" s="350">
        <f t="shared" si="180"/>
        <v>147168191.93841612</v>
      </c>
      <c r="AX443" s="350">
        <f t="shared" si="181"/>
        <v>185411573.98129457</v>
      </c>
      <c r="AY443" s="350">
        <f t="shared" si="182"/>
        <v>550325973.19639993</v>
      </c>
      <c r="AZ443" s="365"/>
      <c r="BA443" s="377">
        <f t="shared" si="183"/>
        <v>0</v>
      </c>
      <c r="BB443" s="377">
        <f t="shared" si="184"/>
        <v>0</v>
      </c>
      <c r="BC443" s="377">
        <f t="shared" si="185"/>
        <v>0</v>
      </c>
      <c r="BD443" s="377">
        <f t="shared" si="186"/>
        <v>0</v>
      </c>
      <c r="BE443" s="377">
        <f t="shared" si="187"/>
        <v>0</v>
      </c>
      <c r="BF443" s="377">
        <f t="shared" si="188"/>
        <v>0</v>
      </c>
      <c r="BG443" s="328"/>
    </row>
    <row r="444" spans="2:59">
      <c r="B444" s="332">
        <v>429</v>
      </c>
      <c r="C444" s="350">
        <v>118760152.66646817</v>
      </c>
      <c r="D444" s="350">
        <v>119734223.49479458</v>
      </c>
      <c r="E444" s="350">
        <v>120667479.33288312</v>
      </c>
      <c r="F444" s="350">
        <v>121602952.84321189</v>
      </c>
      <c r="G444" s="350">
        <v>122543549.89132801</v>
      </c>
      <c r="H444" s="348">
        <v>603308358.22868574</v>
      </c>
      <c r="I444" s="369"/>
      <c r="J444" s="350">
        <v>153037205.83476555</v>
      </c>
      <c r="K444" s="350">
        <v>188981827.50249505</v>
      </c>
      <c r="L444" s="350">
        <v>225414619.92383677</v>
      </c>
      <c r="M444" s="350">
        <v>262392963.541356</v>
      </c>
      <c r="N444" s="350">
        <v>299925897.98687631</v>
      </c>
      <c r="O444" s="348">
        <v>1129752514.7893298</v>
      </c>
      <c r="P444" s="369"/>
      <c r="Q444" s="350">
        <f t="shared" si="189"/>
        <v>34277053.16829738</v>
      </c>
      <c r="R444" s="350">
        <f t="shared" si="190"/>
        <v>69247604.007700473</v>
      </c>
      <c r="S444" s="350">
        <f t="shared" si="191"/>
        <v>104747140.59095365</v>
      </c>
      <c r="T444" s="350">
        <f t="shared" si="192"/>
        <v>140790010.69814411</v>
      </c>
      <c r="U444" s="350">
        <f t="shared" si="193"/>
        <v>177382348.0955483</v>
      </c>
      <c r="V444" s="350">
        <f t="shared" si="194"/>
        <v>526444156.56064403</v>
      </c>
      <c r="W444" s="365"/>
      <c r="X444" s="377">
        <f t="shared" si="172"/>
        <v>0</v>
      </c>
      <c r="Y444" s="377">
        <f t="shared" si="173"/>
        <v>0</v>
      </c>
      <c r="Z444" s="377">
        <f t="shared" si="174"/>
        <v>0</v>
      </c>
      <c r="AA444" s="377">
        <f t="shared" si="175"/>
        <v>0</v>
      </c>
      <c r="AB444" s="377">
        <f t="shared" si="176"/>
        <v>0</v>
      </c>
      <c r="AC444" s="377">
        <f t="shared" si="177"/>
        <v>0</v>
      </c>
      <c r="AD444" s="376"/>
      <c r="AE444" s="332">
        <v>429</v>
      </c>
      <c r="AF444" s="350">
        <v>114612330.29356292</v>
      </c>
      <c r="AG444" s="350">
        <v>115552380.6808254</v>
      </c>
      <c r="AH444" s="350">
        <v>116453041.584014</v>
      </c>
      <c r="AI444" s="350">
        <v>117355842.70492366</v>
      </c>
      <c r="AJ444" s="350">
        <v>118263588.41871199</v>
      </c>
      <c r="AK444" s="348">
        <v>582237183.68203795</v>
      </c>
      <c r="AL444" s="369"/>
      <c r="AM444" s="350">
        <v>145912576.43186864</v>
      </c>
      <c r="AN444" s="350">
        <v>178773645.5015572</v>
      </c>
      <c r="AO444" s="350">
        <v>212078175.98325267</v>
      </c>
      <c r="AP444" s="350">
        <v>245880798.6245833</v>
      </c>
      <c r="AQ444" s="350">
        <v>280189916.96940643</v>
      </c>
      <c r="AR444" s="348">
        <v>1062835113.5106683</v>
      </c>
      <c r="AS444" s="369"/>
      <c r="AT444" s="350">
        <f t="shared" si="195"/>
        <v>31300246.138305724</v>
      </c>
      <c r="AU444" s="350">
        <f t="shared" si="178"/>
        <v>63221264.820731804</v>
      </c>
      <c r="AV444" s="350">
        <f t="shared" si="179"/>
        <v>95625134.399238676</v>
      </c>
      <c r="AW444" s="350">
        <f t="shared" si="180"/>
        <v>128524955.91965964</v>
      </c>
      <c r="AX444" s="350">
        <f t="shared" si="181"/>
        <v>161926328.55069444</v>
      </c>
      <c r="AY444" s="350">
        <f t="shared" si="182"/>
        <v>480597929.82863033</v>
      </c>
      <c r="AZ444" s="365"/>
      <c r="BA444" s="377">
        <f t="shared" si="183"/>
        <v>0</v>
      </c>
      <c r="BB444" s="377">
        <f t="shared" si="184"/>
        <v>0</v>
      </c>
      <c r="BC444" s="377">
        <f t="shared" si="185"/>
        <v>0</v>
      </c>
      <c r="BD444" s="377">
        <f t="shared" si="186"/>
        <v>0</v>
      </c>
      <c r="BE444" s="377">
        <f t="shared" si="187"/>
        <v>0</v>
      </c>
      <c r="BF444" s="377">
        <f t="shared" si="188"/>
        <v>0</v>
      </c>
      <c r="BG444" s="328"/>
    </row>
    <row r="445" spans="2:59">
      <c r="B445" s="332">
        <v>430</v>
      </c>
      <c r="C445" s="350">
        <v>109678568.06314857</v>
      </c>
      <c r="D445" s="350">
        <v>110578151.73026425</v>
      </c>
      <c r="E445" s="350">
        <v>111440041.52797776</v>
      </c>
      <c r="F445" s="350">
        <v>112303979.41261505</v>
      </c>
      <c r="G445" s="350">
        <v>113172649.03828932</v>
      </c>
      <c r="H445" s="348">
        <v>557173389.772295</v>
      </c>
      <c r="I445" s="369"/>
      <c r="J445" s="350">
        <v>141025077.85712653</v>
      </c>
      <c r="K445" s="350">
        <v>173891133.50111908</v>
      </c>
      <c r="L445" s="350">
        <v>207203032.91872042</v>
      </c>
      <c r="M445" s="350">
        <v>241013638.38021681</v>
      </c>
      <c r="N445" s="350">
        <v>275331240.7205807</v>
      </c>
      <c r="O445" s="348">
        <v>1038464123.3777635</v>
      </c>
      <c r="P445" s="369"/>
      <c r="Q445" s="350">
        <f t="shared" si="189"/>
        <v>31346509.793977961</v>
      </c>
      <c r="R445" s="350">
        <f t="shared" si="190"/>
        <v>63312981.770854831</v>
      </c>
      <c r="S445" s="350">
        <f t="shared" si="191"/>
        <v>95762991.39074266</v>
      </c>
      <c r="T445" s="350">
        <f t="shared" si="192"/>
        <v>128709658.96760176</v>
      </c>
      <c r="U445" s="350">
        <f t="shared" si="193"/>
        <v>162158591.68229139</v>
      </c>
      <c r="V445" s="350">
        <f t="shared" si="194"/>
        <v>481290733.60546851</v>
      </c>
      <c r="W445" s="365"/>
      <c r="X445" s="377">
        <f t="shared" si="172"/>
        <v>0</v>
      </c>
      <c r="Y445" s="377">
        <f t="shared" si="173"/>
        <v>0</v>
      </c>
      <c r="Z445" s="377">
        <f t="shared" si="174"/>
        <v>0</v>
      </c>
      <c r="AA445" s="377">
        <f t="shared" si="175"/>
        <v>0</v>
      </c>
      <c r="AB445" s="377">
        <f t="shared" si="176"/>
        <v>0</v>
      </c>
      <c r="AC445" s="377">
        <f t="shared" si="177"/>
        <v>0</v>
      </c>
      <c r="AD445" s="376"/>
      <c r="AE445" s="332">
        <v>430</v>
      </c>
      <c r="AF445" s="350">
        <v>122557775.83159587</v>
      </c>
      <c r="AG445" s="350">
        <v>123562994.76691836</v>
      </c>
      <c r="AH445" s="350">
        <v>124526093.5608312</v>
      </c>
      <c r="AI445" s="350">
        <v>125491480.94204539</v>
      </c>
      <c r="AJ445" s="350">
        <v>126462155.6976987</v>
      </c>
      <c r="AK445" s="348">
        <v>622600500.79908955</v>
      </c>
      <c r="AL445" s="369"/>
      <c r="AM445" s="350">
        <v>154903838.443995</v>
      </c>
      <c r="AN445" s="350">
        <v>188902328.78801194</v>
      </c>
      <c r="AO445" s="350">
        <v>223357771.87023342</v>
      </c>
      <c r="AP445" s="350">
        <v>258328115.51906991</v>
      </c>
      <c r="AQ445" s="350">
        <v>293822145.64130473</v>
      </c>
      <c r="AR445" s="348">
        <v>1119314200.262615</v>
      </c>
      <c r="AS445" s="369"/>
      <c r="AT445" s="350">
        <f t="shared" si="195"/>
        <v>32346062.612399131</v>
      </c>
      <c r="AU445" s="350">
        <f t="shared" si="178"/>
        <v>65339334.021093577</v>
      </c>
      <c r="AV445" s="350">
        <f t="shared" si="179"/>
        <v>98831678.309402213</v>
      </c>
      <c r="AW445" s="350">
        <f t="shared" si="180"/>
        <v>132836634.57702452</v>
      </c>
      <c r="AX445" s="350">
        <f t="shared" si="181"/>
        <v>167359989.94360602</v>
      </c>
      <c r="AY445" s="350">
        <f t="shared" si="182"/>
        <v>496713699.46352541</v>
      </c>
      <c r="AZ445" s="365"/>
      <c r="BA445" s="377">
        <f t="shared" si="183"/>
        <v>0</v>
      </c>
      <c r="BB445" s="377">
        <f t="shared" si="184"/>
        <v>0</v>
      </c>
      <c r="BC445" s="377">
        <f t="shared" si="185"/>
        <v>0</v>
      </c>
      <c r="BD445" s="377">
        <f t="shared" si="186"/>
        <v>0</v>
      </c>
      <c r="BE445" s="377">
        <f t="shared" si="187"/>
        <v>0</v>
      </c>
      <c r="BF445" s="377">
        <f t="shared" si="188"/>
        <v>0</v>
      </c>
      <c r="BG445" s="328"/>
    </row>
    <row r="446" spans="2:59">
      <c r="B446" s="332">
        <v>431</v>
      </c>
      <c r="C446" s="350">
        <v>125482257.85692143</v>
      </c>
      <c r="D446" s="350">
        <v>126511463.39519842</v>
      </c>
      <c r="E446" s="350">
        <v>127497543.71837209</v>
      </c>
      <c r="F446" s="350">
        <v>128485967.23927365</v>
      </c>
      <c r="G446" s="350">
        <v>129479804.30230476</v>
      </c>
      <c r="H446" s="348">
        <v>637457036.51207042</v>
      </c>
      <c r="I446" s="369"/>
      <c r="J446" s="350">
        <v>162187424.87712559</v>
      </c>
      <c r="K446" s="350">
        <v>200644535.83941621</v>
      </c>
      <c r="L446" s="350">
        <v>239624669.57442528</v>
      </c>
      <c r="M446" s="350">
        <v>279188657.53650844</v>
      </c>
      <c r="N446" s="350">
        <v>319346135.30404264</v>
      </c>
      <c r="O446" s="348">
        <v>1200991423.1315181</v>
      </c>
      <c r="P446" s="369"/>
      <c r="Q446" s="350">
        <f t="shared" si="189"/>
        <v>36705167.020204157</v>
      </c>
      <c r="R446" s="350">
        <f t="shared" si="190"/>
        <v>74133072.444217786</v>
      </c>
      <c r="S446" s="350">
        <f t="shared" si="191"/>
        <v>112127125.85605319</v>
      </c>
      <c r="T446" s="350">
        <f t="shared" si="192"/>
        <v>150702690.29723477</v>
      </c>
      <c r="U446" s="350">
        <f t="shared" si="193"/>
        <v>189866331.00173789</v>
      </c>
      <c r="V446" s="350">
        <f t="shared" si="194"/>
        <v>563534386.61944771</v>
      </c>
      <c r="W446" s="365"/>
      <c r="X446" s="377">
        <f t="shared" si="172"/>
        <v>0</v>
      </c>
      <c r="Y446" s="377">
        <f t="shared" si="173"/>
        <v>0</v>
      </c>
      <c r="Z446" s="377">
        <f t="shared" si="174"/>
        <v>0</v>
      </c>
      <c r="AA446" s="377">
        <f t="shared" si="175"/>
        <v>0</v>
      </c>
      <c r="AB446" s="377">
        <f t="shared" si="176"/>
        <v>0</v>
      </c>
      <c r="AC446" s="377">
        <f t="shared" si="177"/>
        <v>0</v>
      </c>
      <c r="AD446" s="376"/>
      <c r="AE446" s="332">
        <v>431</v>
      </c>
      <c r="AF446" s="350">
        <v>135874680.9314678</v>
      </c>
      <c r="AG446" s="350">
        <v>136989125.12871635</v>
      </c>
      <c r="AH446" s="350">
        <v>138056872.48656827</v>
      </c>
      <c r="AI446" s="350">
        <v>139127157.10545674</v>
      </c>
      <c r="AJ446" s="350">
        <v>140203303.61527795</v>
      </c>
      <c r="AK446" s="348">
        <v>690251139.26748705</v>
      </c>
      <c r="AL446" s="369"/>
      <c r="AM446" s="350">
        <v>171803228.70818597</v>
      </c>
      <c r="AN446" s="350">
        <v>209566273.15797174</v>
      </c>
      <c r="AO446" s="350">
        <v>247836986.53465447</v>
      </c>
      <c r="AP446" s="350">
        <v>286679641.62467164</v>
      </c>
      <c r="AQ446" s="350">
        <v>326103991.30685455</v>
      </c>
      <c r="AR446" s="348">
        <v>1241990121.3323383</v>
      </c>
      <c r="AS446" s="369"/>
      <c r="AT446" s="350">
        <f t="shared" si="195"/>
        <v>35928547.776718169</v>
      </c>
      <c r="AU446" s="350">
        <f t="shared" si="178"/>
        <v>72577148.02925539</v>
      </c>
      <c r="AV446" s="350">
        <f t="shared" si="179"/>
        <v>109780114.0480862</v>
      </c>
      <c r="AW446" s="350">
        <f t="shared" si="180"/>
        <v>147552484.5192149</v>
      </c>
      <c r="AX446" s="350">
        <f t="shared" si="181"/>
        <v>185900687.6915766</v>
      </c>
      <c r="AY446" s="350">
        <f t="shared" si="182"/>
        <v>551738982.06485128</v>
      </c>
      <c r="AZ446" s="365"/>
      <c r="BA446" s="377">
        <f t="shared" si="183"/>
        <v>0</v>
      </c>
      <c r="BB446" s="377">
        <f t="shared" si="184"/>
        <v>0</v>
      </c>
      <c r="BC446" s="377">
        <f t="shared" si="185"/>
        <v>0</v>
      </c>
      <c r="BD446" s="377">
        <f t="shared" si="186"/>
        <v>0</v>
      </c>
      <c r="BE446" s="377">
        <f t="shared" si="187"/>
        <v>0</v>
      </c>
      <c r="BF446" s="377">
        <f t="shared" si="188"/>
        <v>0</v>
      </c>
      <c r="BG446" s="328"/>
    </row>
    <row r="447" spans="2:59">
      <c r="B447" s="332">
        <v>432</v>
      </c>
      <c r="C447" s="350">
        <v>132001934.98889798</v>
      </c>
      <c r="D447" s="350">
        <v>133084614.92209432</v>
      </c>
      <c r="E447" s="350">
        <v>134121928.98494625</v>
      </c>
      <c r="F447" s="350">
        <v>135161707.99096575</v>
      </c>
      <c r="G447" s="350">
        <v>136207181.81032726</v>
      </c>
      <c r="H447" s="348">
        <v>670577368.69723153</v>
      </c>
      <c r="I447" s="369"/>
      <c r="J447" s="350">
        <v>162828386.33390334</v>
      </c>
      <c r="K447" s="350">
        <v>195344325.50609654</v>
      </c>
      <c r="L447" s="350">
        <v>228290369.5353072</v>
      </c>
      <c r="M447" s="350">
        <v>261727251.71528947</v>
      </c>
      <c r="N447" s="350">
        <v>295663715.63250804</v>
      </c>
      <c r="O447" s="348">
        <v>1143854048.7231045</v>
      </c>
      <c r="P447" s="369"/>
      <c r="Q447" s="350">
        <f t="shared" si="189"/>
        <v>30826451.345005363</v>
      </c>
      <c r="R447" s="350">
        <f t="shared" si="190"/>
        <v>62259710.584002227</v>
      </c>
      <c r="S447" s="350">
        <f t="shared" si="191"/>
        <v>94168440.550360948</v>
      </c>
      <c r="T447" s="350">
        <f t="shared" si="192"/>
        <v>126565543.72432372</v>
      </c>
      <c r="U447" s="350">
        <f t="shared" si="193"/>
        <v>159456533.82218078</v>
      </c>
      <c r="V447" s="350">
        <f t="shared" si="194"/>
        <v>473276680.02587295</v>
      </c>
      <c r="W447" s="365"/>
      <c r="X447" s="377">
        <f t="shared" si="172"/>
        <v>0</v>
      </c>
      <c r="Y447" s="377">
        <f t="shared" si="173"/>
        <v>0</v>
      </c>
      <c r="Z447" s="377">
        <f t="shared" si="174"/>
        <v>0</v>
      </c>
      <c r="AA447" s="377">
        <f t="shared" si="175"/>
        <v>0</v>
      </c>
      <c r="AB447" s="377">
        <f t="shared" si="176"/>
        <v>0</v>
      </c>
      <c r="AC447" s="377">
        <f t="shared" si="177"/>
        <v>0</v>
      </c>
      <c r="AD447" s="376"/>
      <c r="AE447" s="332">
        <v>432</v>
      </c>
      <c r="AF447" s="350">
        <v>124866550.88855851</v>
      </c>
      <c r="AG447" s="350">
        <v>125890706.39798993</v>
      </c>
      <c r="AH447" s="350">
        <v>126871948.2959016</v>
      </c>
      <c r="AI447" s="350">
        <v>127855521.89411366</v>
      </c>
      <c r="AJ447" s="350">
        <v>128844482.4716911</v>
      </c>
      <c r="AK447" s="348">
        <v>634329209.94825482</v>
      </c>
      <c r="AL447" s="369"/>
      <c r="AM447" s="350">
        <v>154230346.95032683</v>
      </c>
      <c r="AN447" s="350">
        <v>185218493.92675745</v>
      </c>
      <c r="AO447" s="350">
        <v>216616983.6054014</v>
      </c>
      <c r="AP447" s="350">
        <v>248483352.81307074</v>
      </c>
      <c r="AQ447" s="350">
        <v>280825912.31548882</v>
      </c>
      <c r="AR447" s="348">
        <v>1085375089.6110454</v>
      </c>
      <c r="AS447" s="369"/>
      <c r="AT447" s="350">
        <f t="shared" si="195"/>
        <v>29363796.061768323</v>
      </c>
      <c r="AU447" s="350">
        <f t="shared" si="178"/>
        <v>59327787.528767526</v>
      </c>
      <c r="AV447" s="350">
        <f t="shared" si="179"/>
        <v>89745035.3094998</v>
      </c>
      <c r="AW447" s="350">
        <f t="shared" si="180"/>
        <v>120627830.91895708</v>
      </c>
      <c r="AX447" s="350">
        <f t="shared" si="181"/>
        <v>151981429.84379771</v>
      </c>
      <c r="AY447" s="350">
        <f t="shared" si="182"/>
        <v>451045879.66279054</v>
      </c>
      <c r="AZ447" s="365"/>
      <c r="BA447" s="377">
        <f t="shared" si="183"/>
        <v>0</v>
      </c>
      <c r="BB447" s="377">
        <f t="shared" si="184"/>
        <v>0</v>
      </c>
      <c r="BC447" s="377">
        <f t="shared" si="185"/>
        <v>0</v>
      </c>
      <c r="BD447" s="377">
        <f t="shared" si="186"/>
        <v>0</v>
      </c>
      <c r="BE447" s="377">
        <f t="shared" si="187"/>
        <v>0</v>
      </c>
      <c r="BF447" s="377">
        <f t="shared" si="188"/>
        <v>0</v>
      </c>
      <c r="BG447" s="328"/>
    </row>
    <row r="448" spans="2:59">
      <c r="B448" s="332">
        <v>433</v>
      </c>
      <c r="C448" s="350">
        <v>112446843.73839346</v>
      </c>
      <c r="D448" s="350">
        <v>113369132.8039065</v>
      </c>
      <c r="E448" s="350">
        <v>114252776.61066556</v>
      </c>
      <c r="F448" s="350">
        <v>115138520.19784984</v>
      </c>
      <c r="G448" s="350">
        <v>116029114.95472379</v>
      </c>
      <c r="H448" s="348">
        <v>571236388.30553925</v>
      </c>
      <c r="I448" s="369"/>
      <c r="J448" s="350">
        <v>141192405.73487544</v>
      </c>
      <c r="K448" s="350">
        <v>171448128.20813227</v>
      </c>
      <c r="L448" s="350">
        <v>202108923.61818331</v>
      </c>
      <c r="M448" s="350">
        <v>233227569.74737534</v>
      </c>
      <c r="N448" s="350">
        <v>264811962.86878812</v>
      </c>
      <c r="O448" s="348">
        <v>1012788990.1773545</v>
      </c>
      <c r="P448" s="369"/>
      <c r="Q448" s="350">
        <f t="shared" si="189"/>
        <v>28745561.996481985</v>
      </c>
      <c r="R448" s="350">
        <f t="shared" si="190"/>
        <v>58078995.404225767</v>
      </c>
      <c r="S448" s="350">
        <f t="shared" si="191"/>
        <v>87856147.007517755</v>
      </c>
      <c r="T448" s="350">
        <f t="shared" si="192"/>
        <v>118089049.5495255</v>
      </c>
      <c r="U448" s="350">
        <f t="shared" si="193"/>
        <v>148782847.91406435</v>
      </c>
      <c r="V448" s="350">
        <f t="shared" si="194"/>
        <v>441552601.8718152</v>
      </c>
      <c r="W448" s="365"/>
      <c r="X448" s="377">
        <f t="shared" si="172"/>
        <v>0</v>
      </c>
      <c r="Y448" s="377">
        <f t="shared" si="173"/>
        <v>0</v>
      </c>
      <c r="Z448" s="377">
        <f t="shared" si="174"/>
        <v>0</v>
      </c>
      <c r="AA448" s="377">
        <f t="shared" si="175"/>
        <v>0</v>
      </c>
      <c r="AB448" s="377">
        <f t="shared" si="176"/>
        <v>0</v>
      </c>
      <c r="AC448" s="377">
        <f t="shared" si="177"/>
        <v>0</v>
      </c>
      <c r="AD448" s="376"/>
      <c r="AE448" s="332">
        <v>433</v>
      </c>
      <c r="AF448" s="350">
        <v>128757549.92183524</v>
      </c>
      <c r="AG448" s="350">
        <v>129813619.40717742</v>
      </c>
      <c r="AH448" s="350">
        <v>130825438.03880213</v>
      </c>
      <c r="AI448" s="350">
        <v>131839661.02944613</v>
      </c>
      <c r="AJ448" s="350">
        <v>132859438.86451903</v>
      </c>
      <c r="AK448" s="348">
        <v>654095707.2617799</v>
      </c>
      <c r="AL448" s="369"/>
      <c r="AM448" s="350">
        <v>162401664.52897492</v>
      </c>
      <c r="AN448" s="350">
        <v>197760505.56331947</v>
      </c>
      <c r="AO448" s="350">
        <v>233593970.06933832</v>
      </c>
      <c r="AP448" s="350">
        <v>269962794.87837476</v>
      </c>
      <c r="AQ448" s="350">
        <v>306876147.61636138</v>
      </c>
      <c r="AR448" s="348">
        <v>1170595082.656369</v>
      </c>
      <c r="AS448" s="369"/>
      <c r="AT448" s="350">
        <f t="shared" si="195"/>
        <v>33644114.607139677</v>
      </c>
      <c r="AU448" s="350">
        <f t="shared" si="178"/>
        <v>67946886.156142056</v>
      </c>
      <c r="AV448" s="350">
        <f t="shared" si="179"/>
        <v>102768532.03053619</v>
      </c>
      <c r="AW448" s="350">
        <f t="shared" si="180"/>
        <v>138123133.84892863</v>
      </c>
      <c r="AX448" s="350">
        <f t="shared" si="181"/>
        <v>174016708.75184235</v>
      </c>
      <c r="AY448" s="350">
        <f t="shared" si="182"/>
        <v>516499375.39458907</v>
      </c>
      <c r="AZ448" s="365"/>
      <c r="BA448" s="377">
        <f t="shared" si="183"/>
        <v>0</v>
      </c>
      <c r="BB448" s="377">
        <f t="shared" si="184"/>
        <v>0</v>
      </c>
      <c r="BC448" s="377">
        <f t="shared" si="185"/>
        <v>0</v>
      </c>
      <c r="BD448" s="377">
        <f t="shared" si="186"/>
        <v>0</v>
      </c>
      <c r="BE448" s="377">
        <f t="shared" si="187"/>
        <v>0</v>
      </c>
      <c r="BF448" s="377">
        <f t="shared" si="188"/>
        <v>0</v>
      </c>
      <c r="BG448" s="328"/>
    </row>
    <row r="449" spans="2:59">
      <c r="B449" s="332">
        <v>434</v>
      </c>
      <c r="C449" s="350">
        <v>123592264.29314902</v>
      </c>
      <c r="D449" s="350">
        <v>124605968.10332231</v>
      </c>
      <c r="E449" s="350">
        <v>125577196.24343845</v>
      </c>
      <c r="F449" s="350">
        <v>126550732.28841564</v>
      </c>
      <c r="G449" s="350">
        <v>127529600.3376224</v>
      </c>
      <c r="H449" s="348">
        <v>627855761.26594782</v>
      </c>
      <c r="I449" s="369"/>
      <c r="J449" s="350">
        <v>156378818.53789797</v>
      </c>
      <c r="K449" s="350">
        <v>190821770.56095052</v>
      </c>
      <c r="L449" s="350">
        <v>225727908.43719387</v>
      </c>
      <c r="M449" s="350">
        <v>261155738.47734025</v>
      </c>
      <c r="N449" s="350">
        <v>297114148.67542583</v>
      </c>
      <c r="O449" s="348">
        <v>1131198384.6888084</v>
      </c>
      <c r="P449" s="369"/>
      <c r="Q449" s="350">
        <f t="shared" si="189"/>
        <v>32786554.24474895</v>
      </c>
      <c r="R449" s="350">
        <f t="shared" si="190"/>
        <v>66215802.457628205</v>
      </c>
      <c r="S449" s="350">
        <f t="shared" si="191"/>
        <v>100150712.19375542</v>
      </c>
      <c r="T449" s="350">
        <f t="shared" si="192"/>
        <v>134605006.18892461</v>
      </c>
      <c r="U449" s="350">
        <f t="shared" si="193"/>
        <v>169584548.33780342</v>
      </c>
      <c r="V449" s="350">
        <f t="shared" si="194"/>
        <v>503342623.42286062</v>
      </c>
      <c r="W449" s="365"/>
      <c r="X449" s="377">
        <f t="shared" si="172"/>
        <v>0</v>
      </c>
      <c r="Y449" s="377">
        <f t="shared" si="173"/>
        <v>0</v>
      </c>
      <c r="Z449" s="377">
        <f t="shared" si="174"/>
        <v>0</v>
      </c>
      <c r="AA449" s="377">
        <f t="shared" si="175"/>
        <v>0</v>
      </c>
      <c r="AB449" s="377">
        <f t="shared" si="176"/>
        <v>0</v>
      </c>
      <c r="AC449" s="377">
        <f t="shared" si="177"/>
        <v>0</v>
      </c>
      <c r="AD449" s="376"/>
      <c r="AE449" s="332">
        <v>434</v>
      </c>
      <c r="AF449" s="350">
        <v>143211026.4435598</v>
      </c>
      <c r="AG449" s="350">
        <v>144385643.35016751</v>
      </c>
      <c r="AH449" s="350">
        <v>145511042.09298038</v>
      </c>
      <c r="AI449" s="350">
        <v>146639115.09235749</v>
      </c>
      <c r="AJ449" s="350">
        <v>147773366.48649979</v>
      </c>
      <c r="AK449" s="348">
        <v>727520193.46556497</v>
      </c>
      <c r="AL449" s="369"/>
      <c r="AM449" s="350">
        <v>183579645.98435038</v>
      </c>
      <c r="AN449" s="350">
        <v>225908731.55727917</v>
      </c>
      <c r="AO449" s="350">
        <v>268811112.12005138</v>
      </c>
      <c r="AP449" s="350">
        <v>312355575.98055327</v>
      </c>
      <c r="AQ449" s="350">
        <v>356552846.39338517</v>
      </c>
      <c r="AR449" s="348">
        <v>1347207912.0356193</v>
      </c>
      <c r="AS449" s="369"/>
      <c r="AT449" s="350">
        <f t="shared" si="195"/>
        <v>40368619.540790588</v>
      </c>
      <c r="AU449" s="350">
        <f t="shared" si="178"/>
        <v>81523088.207111657</v>
      </c>
      <c r="AV449" s="350">
        <f t="shared" si="179"/>
        <v>123300070.027071</v>
      </c>
      <c r="AW449" s="350">
        <f t="shared" si="180"/>
        <v>165716460.88819578</v>
      </c>
      <c r="AX449" s="350">
        <f t="shared" si="181"/>
        <v>208779479.90688539</v>
      </c>
      <c r="AY449" s="350">
        <f t="shared" si="182"/>
        <v>619687718.57005429</v>
      </c>
      <c r="AZ449" s="365"/>
      <c r="BA449" s="377">
        <f t="shared" si="183"/>
        <v>0</v>
      </c>
      <c r="BB449" s="377">
        <f t="shared" si="184"/>
        <v>0</v>
      </c>
      <c r="BC449" s="377">
        <f t="shared" si="185"/>
        <v>0</v>
      </c>
      <c r="BD449" s="377">
        <f t="shared" si="186"/>
        <v>0</v>
      </c>
      <c r="BE449" s="377">
        <f t="shared" si="187"/>
        <v>0</v>
      </c>
      <c r="BF449" s="377">
        <f t="shared" si="188"/>
        <v>0</v>
      </c>
      <c r="BG449" s="328"/>
    </row>
    <row r="450" spans="2:59">
      <c r="B450" s="332">
        <v>435</v>
      </c>
      <c r="C450" s="350">
        <v>156143702.02054197</v>
      </c>
      <c r="D450" s="350">
        <v>157424392.73834732</v>
      </c>
      <c r="E450" s="350">
        <v>158651420.64475864</v>
      </c>
      <c r="F450" s="350">
        <v>159881364.30654493</v>
      </c>
      <c r="G450" s="350">
        <v>161118044.30320102</v>
      </c>
      <c r="H450" s="348">
        <v>793218924.01339388</v>
      </c>
      <c r="I450" s="369"/>
      <c r="J450" s="350">
        <v>190602799.95577773</v>
      </c>
      <c r="K450" s="350">
        <v>227039124.87507457</v>
      </c>
      <c r="L450" s="350">
        <v>263953572.11201695</v>
      </c>
      <c r="M450" s="350">
        <v>301417144.17842919</v>
      </c>
      <c r="N450" s="350">
        <v>339439827.89801025</v>
      </c>
      <c r="O450" s="348">
        <v>1322452469.0193086</v>
      </c>
      <c r="P450" s="369"/>
      <c r="Q450" s="350">
        <f t="shared" si="189"/>
        <v>34459097.935235769</v>
      </c>
      <c r="R450" s="350">
        <f t="shared" si="190"/>
        <v>69614732.136727244</v>
      </c>
      <c r="S450" s="350">
        <f t="shared" si="191"/>
        <v>105302151.4672583</v>
      </c>
      <c r="T450" s="350">
        <f t="shared" si="192"/>
        <v>141535779.87188426</v>
      </c>
      <c r="U450" s="350">
        <f t="shared" si="193"/>
        <v>178321783.59480923</v>
      </c>
      <c r="V450" s="350">
        <f t="shared" si="194"/>
        <v>529233545.00591469</v>
      </c>
      <c r="W450" s="365"/>
      <c r="X450" s="377">
        <f t="shared" si="172"/>
        <v>0</v>
      </c>
      <c r="Y450" s="377">
        <f t="shared" si="173"/>
        <v>0</v>
      </c>
      <c r="Z450" s="377">
        <f t="shared" si="174"/>
        <v>0</v>
      </c>
      <c r="AA450" s="377">
        <f t="shared" si="175"/>
        <v>0</v>
      </c>
      <c r="AB450" s="377">
        <f t="shared" si="176"/>
        <v>0</v>
      </c>
      <c r="AC450" s="377">
        <f t="shared" si="177"/>
        <v>0</v>
      </c>
      <c r="AD450" s="376"/>
      <c r="AE450" s="332">
        <v>435</v>
      </c>
      <c r="AF450" s="350">
        <v>152717030.04360676</v>
      </c>
      <c r="AG450" s="350">
        <v>153969615.19623703</v>
      </c>
      <c r="AH450" s="350">
        <v>155169715.20169938</v>
      </c>
      <c r="AI450" s="350">
        <v>156372666.97444683</v>
      </c>
      <c r="AJ450" s="350">
        <v>157582207.2489486</v>
      </c>
      <c r="AK450" s="348">
        <v>775811234.66493857</v>
      </c>
      <c r="AL450" s="369"/>
      <c r="AM450" s="350">
        <v>185188823.57185119</v>
      </c>
      <c r="AN450" s="350">
        <v>219569192.11571735</v>
      </c>
      <c r="AO450" s="350">
        <v>254398185.98455456</v>
      </c>
      <c r="AP450" s="350">
        <v>289744734.16786915</v>
      </c>
      <c r="AQ450" s="350">
        <v>325618383.97097975</v>
      </c>
      <c r="AR450" s="348">
        <v>1274519319.810972</v>
      </c>
      <c r="AS450" s="369"/>
      <c r="AT450" s="350">
        <f t="shared" si="195"/>
        <v>32471793.528244436</v>
      </c>
      <c r="AU450" s="350">
        <f t="shared" si="178"/>
        <v>65599576.919480324</v>
      </c>
      <c r="AV450" s="350">
        <f t="shared" si="179"/>
        <v>99228470.782855183</v>
      </c>
      <c r="AW450" s="350">
        <f t="shared" si="180"/>
        <v>133372067.19342232</v>
      </c>
      <c r="AX450" s="350">
        <f t="shared" si="181"/>
        <v>168036176.72203115</v>
      </c>
      <c r="AY450" s="350">
        <f t="shared" si="182"/>
        <v>498708085.14603341</v>
      </c>
      <c r="AZ450" s="365"/>
      <c r="BA450" s="377">
        <f t="shared" si="183"/>
        <v>0</v>
      </c>
      <c r="BB450" s="377">
        <f t="shared" si="184"/>
        <v>0</v>
      </c>
      <c r="BC450" s="377">
        <f t="shared" si="185"/>
        <v>0</v>
      </c>
      <c r="BD450" s="377">
        <f t="shared" si="186"/>
        <v>0</v>
      </c>
      <c r="BE450" s="377">
        <f t="shared" si="187"/>
        <v>0</v>
      </c>
      <c r="BF450" s="377">
        <f t="shared" si="188"/>
        <v>0</v>
      </c>
      <c r="BG450" s="328"/>
    </row>
    <row r="451" spans="2:59">
      <c r="B451" s="332">
        <v>436</v>
      </c>
      <c r="C451" s="350">
        <v>113552356.99198434</v>
      </c>
      <c r="D451" s="350">
        <v>114483713.47772606</v>
      </c>
      <c r="E451" s="350">
        <v>115376044.76656419</v>
      </c>
      <c r="F451" s="350">
        <v>116270496.47967145</v>
      </c>
      <c r="G451" s="350">
        <v>117169847.05640273</v>
      </c>
      <c r="H451" s="348">
        <v>576852458.77234876</v>
      </c>
      <c r="I451" s="369"/>
      <c r="J451" s="350">
        <v>141369365.28526175</v>
      </c>
      <c r="K451" s="350">
        <v>170697848.40254909</v>
      </c>
      <c r="L451" s="350">
        <v>200416866.47431853</v>
      </c>
      <c r="M451" s="350">
        <v>230579209.80150855</v>
      </c>
      <c r="N451" s="350">
        <v>261192637.22983176</v>
      </c>
      <c r="O451" s="348">
        <v>1004255927.1934698</v>
      </c>
      <c r="P451" s="369"/>
      <c r="Q451" s="350">
        <f t="shared" si="189"/>
        <v>27817008.293277413</v>
      </c>
      <c r="R451" s="350">
        <f t="shared" si="190"/>
        <v>56214134.924823031</v>
      </c>
      <c r="S451" s="350">
        <f t="shared" si="191"/>
        <v>85040821.707754344</v>
      </c>
      <c r="T451" s="350">
        <f t="shared" si="192"/>
        <v>114308713.3218371</v>
      </c>
      <c r="U451" s="350">
        <f t="shared" si="193"/>
        <v>144022790.17342901</v>
      </c>
      <c r="V451" s="350">
        <f t="shared" si="194"/>
        <v>427403468.421121</v>
      </c>
      <c r="W451" s="365"/>
      <c r="X451" s="377">
        <f t="shared" si="172"/>
        <v>0</v>
      </c>
      <c r="Y451" s="377">
        <f t="shared" si="173"/>
        <v>0</v>
      </c>
      <c r="Z451" s="377">
        <f t="shared" si="174"/>
        <v>0</v>
      </c>
      <c r="AA451" s="377">
        <f t="shared" si="175"/>
        <v>0</v>
      </c>
      <c r="AB451" s="377">
        <f t="shared" si="176"/>
        <v>0</v>
      </c>
      <c r="AC451" s="377">
        <f t="shared" si="177"/>
        <v>0</v>
      </c>
      <c r="AD451" s="376"/>
      <c r="AE451" s="332">
        <v>436</v>
      </c>
      <c r="AF451" s="350">
        <v>128078664.87304592</v>
      </c>
      <c r="AG451" s="350">
        <v>129129166.14289694</v>
      </c>
      <c r="AH451" s="350">
        <v>130135649.87539136</v>
      </c>
      <c r="AI451" s="350">
        <v>131144525.28971921</v>
      </c>
      <c r="AJ451" s="350">
        <v>132158926.26008987</v>
      </c>
      <c r="AK451" s="348">
        <v>650646932.44114327</v>
      </c>
      <c r="AL451" s="369"/>
      <c r="AM451" s="350">
        <v>159726382.39922416</v>
      </c>
      <c r="AN451" s="350">
        <v>193044991.00884485</v>
      </c>
      <c r="AO451" s="350">
        <v>226807679.82446802</v>
      </c>
      <c r="AP451" s="350">
        <v>261074104.14472255</v>
      </c>
      <c r="AQ451" s="350">
        <v>295853058.05987561</v>
      </c>
      <c r="AR451" s="348">
        <v>1136506215.4371352</v>
      </c>
      <c r="AS451" s="369"/>
      <c r="AT451" s="350">
        <f t="shared" si="195"/>
        <v>31647717.526178241</v>
      </c>
      <c r="AU451" s="350">
        <f t="shared" si="178"/>
        <v>63915824.865947917</v>
      </c>
      <c r="AV451" s="350">
        <f t="shared" si="179"/>
        <v>96672029.949076653</v>
      </c>
      <c r="AW451" s="350">
        <f t="shared" si="180"/>
        <v>129929578.85500334</v>
      </c>
      <c r="AX451" s="350">
        <f t="shared" si="181"/>
        <v>163694131.79978573</v>
      </c>
      <c r="AY451" s="350">
        <f t="shared" si="182"/>
        <v>485859282.99599195</v>
      </c>
      <c r="AZ451" s="365"/>
      <c r="BA451" s="377">
        <f t="shared" si="183"/>
        <v>0</v>
      </c>
      <c r="BB451" s="377">
        <f t="shared" si="184"/>
        <v>0</v>
      </c>
      <c r="BC451" s="377">
        <f t="shared" si="185"/>
        <v>0</v>
      </c>
      <c r="BD451" s="377">
        <f t="shared" si="186"/>
        <v>0</v>
      </c>
      <c r="BE451" s="377">
        <f t="shared" si="187"/>
        <v>0</v>
      </c>
      <c r="BF451" s="377">
        <f t="shared" si="188"/>
        <v>0</v>
      </c>
      <c r="BG451" s="328"/>
    </row>
    <row r="452" spans="2:59">
      <c r="B452" s="332">
        <v>437</v>
      </c>
      <c r="C452" s="350">
        <v>116008739.1750699</v>
      </c>
      <c r="D452" s="350">
        <v>116960242.90863881</v>
      </c>
      <c r="E452" s="350">
        <v>117871877.24619716</v>
      </c>
      <c r="F452" s="350">
        <v>118785677.87737107</v>
      </c>
      <c r="G452" s="350">
        <v>119704483.34514603</v>
      </c>
      <c r="H452" s="348">
        <v>589331020.552423</v>
      </c>
      <c r="I452" s="369"/>
      <c r="J452" s="350">
        <v>140488516.32558954</v>
      </c>
      <c r="K452" s="350">
        <v>166399604.35680062</v>
      </c>
      <c r="L452" s="350">
        <v>192648369.63902426</v>
      </c>
      <c r="M452" s="350">
        <v>219287093.81248593</v>
      </c>
      <c r="N452" s="350">
        <v>246322993.63453338</v>
      </c>
      <c r="O452" s="348">
        <v>965146577.76843381</v>
      </c>
      <c r="P452" s="369"/>
      <c r="Q452" s="350">
        <f t="shared" si="189"/>
        <v>24479777.150519639</v>
      </c>
      <c r="R452" s="350">
        <f t="shared" si="190"/>
        <v>49439361.448161811</v>
      </c>
      <c r="S452" s="350">
        <f t="shared" si="191"/>
        <v>74776492.392827094</v>
      </c>
      <c r="T452" s="350">
        <f t="shared" si="192"/>
        <v>100501415.93511486</v>
      </c>
      <c r="U452" s="350">
        <f t="shared" si="193"/>
        <v>126618510.28938735</v>
      </c>
      <c r="V452" s="350">
        <f t="shared" si="194"/>
        <v>375815557.21601081</v>
      </c>
      <c r="W452" s="365"/>
      <c r="X452" s="377">
        <f t="shared" si="172"/>
        <v>0</v>
      </c>
      <c r="Y452" s="377">
        <f t="shared" si="173"/>
        <v>0</v>
      </c>
      <c r="Z452" s="377">
        <f t="shared" si="174"/>
        <v>0</v>
      </c>
      <c r="AA452" s="377">
        <f t="shared" si="175"/>
        <v>0</v>
      </c>
      <c r="AB452" s="377">
        <f t="shared" si="176"/>
        <v>0</v>
      </c>
      <c r="AC452" s="377">
        <f t="shared" si="177"/>
        <v>0</v>
      </c>
      <c r="AD452" s="376"/>
      <c r="AE452" s="332">
        <v>437</v>
      </c>
      <c r="AF452" s="350">
        <v>126871220.53509273</v>
      </c>
      <c r="AG452" s="350">
        <v>127911818.3459129</v>
      </c>
      <c r="AH452" s="350">
        <v>128908813.58877289</v>
      </c>
      <c r="AI452" s="350">
        <v>129908177.96620834</v>
      </c>
      <c r="AJ452" s="350">
        <v>130913015.80825239</v>
      </c>
      <c r="AK452" s="348">
        <v>644513046.24423933</v>
      </c>
      <c r="AL452" s="369"/>
      <c r="AM452" s="350">
        <v>163444579.09966487</v>
      </c>
      <c r="AN452" s="350">
        <v>201782488.17905572</v>
      </c>
      <c r="AO452" s="350">
        <v>240640969.02574074</v>
      </c>
      <c r="AP452" s="350">
        <v>280081301.42669708</v>
      </c>
      <c r="AQ452" s="350">
        <v>320113131.95165569</v>
      </c>
      <c r="AR452" s="348">
        <v>1206062469.6828141</v>
      </c>
      <c r="AS452" s="369"/>
      <c r="AT452" s="350">
        <f t="shared" si="195"/>
        <v>36573358.564572141</v>
      </c>
      <c r="AU452" s="350">
        <f t="shared" si="178"/>
        <v>73870669.833142817</v>
      </c>
      <c r="AV452" s="350">
        <f t="shared" si="179"/>
        <v>111732155.43696785</v>
      </c>
      <c r="AW452" s="350">
        <f t="shared" si="180"/>
        <v>150173123.46048874</v>
      </c>
      <c r="AX452" s="350">
        <f t="shared" si="181"/>
        <v>189200116.14340329</v>
      </c>
      <c r="AY452" s="350">
        <f t="shared" si="182"/>
        <v>561549423.43857479</v>
      </c>
      <c r="AZ452" s="365"/>
      <c r="BA452" s="377">
        <f t="shared" si="183"/>
        <v>0</v>
      </c>
      <c r="BB452" s="377">
        <f t="shared" si="184"/>
        <v>0</v>
      </c>
      <c r="BC452" s="377">
        <f t="shared" si="185"/>
        <v>0</v>
      </c>
      <c r="BD452" s="377">
        <f t="shared" si="186"/>
        <v>0</v>
      </c>
      <c r="BE452" s="377">
        <f t="shared" si="187"/>
        <v>0</v>
      </c>
      <c r="BF452" s="377">
        <f t="shared" si="188"/>
        <v>0</v>
      </c>
      <c r="BG452" s="328"/>
    </row>
    <row r="453" spans="2:59">
      <c r="B453" s="332">
        <v>438</v>
      </c>
      <c r="C453" s="350">
        <v>113465966.48748276</v>
      </c>
      <c r="D453" s="350">
        <v>114396614.39826572</v>
      </c>
      <c r="E453" s="350">
        <v>115288266.80247067</v>
      </c>
      <c r="F453" s="350">
        <v>116182038.01772833</v>
      </c>
      <c r="G453" s="350">
        <v>117080704.36956018</v>
      </c>
      <c r="H453" s="348">
        <v>576413590.07550764</v>
      </c>
      <c r="I453" s="369"/>
      <c r="J453" s="350">
        <v>142910948.79514086</v>
      </c>
      <c r="K453" s="350">
        <v>173867616.23124361</v>
      </c>
      <c r="L453" s="350">
        <v>205239473.13472053</v>
      </c>
      <c r="M453" s="350">
        <v>237079958.16555753</v>
      </c>
      <c r="N453" s="350">
        <v>269397114.48887646</v>
      </c>
      <c r="O453" s="348">
        <v>1028495110.815539</v>
      </c>
      <c r="P453" s="369"/>
      <c r="Q453" s="350">
        <f t="shared" si="189"/>
        <v>29444982.307658106</v>
      </c>
      <c r="R453" s="350">
        <f t="shared" si="190"/>
        <v>59471001.832977891</v>
      </c>
      <c r="S453" s="350">
        <f t="shared" si="191"/>
        <v>89951206.332249865</v>
      </c>
      <c r="T453" s="350">
        <f t="shared" si="192"/>
        <v>120897920.1478292</v>
      </c>
      <c r="U453" s="350">
        <f t="shared" si="193"/>
        <v>152316410.11931628</v>
      </c>
      <c r="V453" s="350">
        <f t="shared" si="194"/>
        <v>452081520.74003136</v>
      </c>
      <c r="W453" s="365"/>
      <c r="X453" s="377">
        <f t="shared" si="172"/>
        <v>0</v>
      </c>
      <c r="Y453" s="377">
        <f t="shared" si="173"/>
        <v>0</v>
      </c>
      <c r="Z453" s="377">
        <f t="shared" si="174"/>
        <v>0</v>
      </c>
      <c r="AA453" s="377">
        <f t="shared" si="175"/>
        <v>0</v>
      </c>
      <c r="AB453" s="377">
        <f t="shared" si="176"/>
        <v>0</v>
      </c>
      <c r="AC453" s="377">
        <f t="shared" si="177"/>
        <v>0</v>
      </c>
      <c r="AD453" s="376"/>
      <c r="AE453" s="332">
        <v>438</v>
      </c>
      <c r="AF453" s="350">
        <v>153900923.02009276</v>
      </c>
      <c r="AG453" s="350">
        <v>155163218.46347597</v>
      </c>
      <c r="AH453" s="350">
        <v>156372621.88432789</v>
      </c>
      <c r="AI453" s="350">
        <v>157584899.17993549</v>
      </c>
      <c r="AJ453" s="350">
        <v>158803816.05268139</v>
      </c>
      <c r="AK453" s="348">
        <v>781825478.60051346</v>
      </c>
      <c r="AL453" s="369"/>
      <c r="AM453" s="350">
        <v>193598671.00202882</v>
      </c>
      <c r="AN453" s="350">
        <v>235350761.94477335</v>
      </c>
      <c r="AO453" s="350">
        <v>277662428.90761119</v>
      </c>
      <c r="AP453" s="350">
        <v>320606053.95875871</v>
      </c>
      <c r="AQ453" s="350">
        <v>364192504.88470191</v>
      </c>
      <c r="AR453" s="348">
        <v>1391410420.6978738</v>
      </c>
      <c r="AS453" s="369"/>
      <c r="AT453" s="350">
        <f t="shared" si="195"/>
        <v>39697747.981936067</v>
      </c>
      <c r="AU453" s="350">
        <f t="shared" si="178"/>
        <v>80187543.481297374</v>
      </c>
      <c r="AV453" s="350">
        <f t="shared" si="179"/>
        <v>121289807.0232833</v>
      </c>
      <c r="AW453" s="350">
        <f t="shared" si="180"/>
        <v>163021154.77882323</v>
      </c>
      <c r="AX453" s="350">
        <f t="shared" si="181"/>
        <v>205388688.83202052</v>
      </c>
      <c r="AY453" s="350">
        <f t="shared" si="182"/>
        <v>609584942.09736037</v>
      </c>
      <c r="AZ453" s="365"/>
      <c r="BA453" s="377">
        <f t="shared" si="183"/>
        <v>0</v>
      </c>
      <c r="BB453" s="377">
        <f t="shared" si="184"/>
        <v>0</v>
      </c>
      <c r="BC453" s="377">
        <f t="shared" si="185"/>
        <v>0</v>
      </c>
      <c r="BD453" s="377">
        <f t="shared" si="186"/>
        <v>0</v>
      </c>
      <c r="BE453" s="377">
        <f t="shared" si="187"/>
        <v>0</v>
      </c>
      <c r="BF453" s="377">
        <f t="shared" si="188"/>
        <v>0</v>
      </c>
      <c r="BG453" s="328"/>
    </row>
    <row r="454" spans="2:59">
      <c r="B454" s="332">
        <v>439</v>
      </c>
      <c r="C454" s="350">
        <v>148021352.77219707</v>
      </c>
      <c r="D454" s="350">
        <v>149235423.97762686</v>
      </c>
      <c r="E454" s="350">
        <v>150398623.82652217</v>
      </c>
      <c r="F454" s="350">
        <v>151564587.7577939</v>
      </c>
      <c r="G454" s="350">
        <v>152736937.61041406</v>
      </c>
      <c r="H454" s="348">
        <v>751956925.94455409</v>
      </c>
      <c r="I454" s="369"/>
      <c r="J454" s="350">
        <v>179241439.35703465</v>
      </c>
      <c r="K454" s="350">
        <v>212291120.75472042</v>
      </c>
      <c r="L454" s="350">
        <v>245771488.07496765</v>
      </c>
      <c r="M454" s="350">
        <v>279749244.04757988</v>
      </c>
      <c r="N454" s="350">
        <v>314233594.78228587</v>
      </c>
      <c r="O454" s="348">
        <v>1231286887.0165884</v>
      </c>
      <c r="P454" s="369"/>
      <c r="Q454" s="350">
        <f t="shared" si="189"/>
        <v>31220086.584837586</v>
      </c>
      <c r="R454" s="350">
        <f t="shared" si="190"/>
        <v>63055696.77709356</v>
      </c>
      <c r="S454" s="350">
        <f t="shared" si="191"/>
        <v>95372864.248445481</v>
      </c>
      <c r="T454" s="350">
        <f t="shared" si="192"/>
        <v>128184656.28978598</v>
      </c>
      <c r="U454" s="350">
        <f t="shared" si="193"/>
        <v>161496657.17187181</v>
      </c>
      <c r="V454" s="350">
        <f t="shared" si="194"/>
        <v>479329961.07203436</v>
      </c>
      <c r="W454" s="365"/>
      <c r="X454" s="377">
        <f t="shared" si="172"/>
        <v>0</v>
      </c>
      <c r="Y454" s="377">
        <f t="shared" si="173"/>
        <v>0</v>
      </c>
      <c r="Z454" s="377">
        <f t="shared" si="174"/>
        <v>0</v>
      </c>
      <c r="AA454" s="377">
        <f t="shared" si="175"/>
        <v>0</v>
      </c>
      <c r="AB454" s="377">
        <f t="shared" si="176"/>
        <v>0</v>
      </c>
      <c r="AC454" s="377">
        <f t="shared" si="177"/>
        <v>0</v>
      </c>
      <c r="AD454" s="376"/>
      <c r="AE454" s="332">
        <v>439</v>
      </c>
      <c r="AF454" s="350">
        <v>106498411.18569881</v>
      </c>
      <c r="AG454" s="350">
        <v>107371911.20460191</v>
      </c>
      <c r="AH454" s="350">
        <v>108208810.29705541</v>
      </c>
      <c r="AI454" s="350">
        <v>109047698.09165204</v>
      </c>
      <c r="AJ454" s="350">
        <v>109891180.42929813</v>
      </c>
      <c r="AK454" s="348">
        <v>541018011.20830631</v>
      </c>
      <c r="AL454" s="369"/>
      <c r="AM454" s="350">
        <v>138164961.21925634</v>
      </c>
      <c r="AN454" s="350">
        <v>171325992.97255844</v>
      </c>
      <c r="AO454" s="350">
        <v>204938815.46539289</v>
      </c>
      <c r="AP454" s="350">
        <v>239055272.30046901</v>
      </c>
      <c r="AQ454" s="350">
        <v>273683632.93695354</v>
      </c>
      <c r="AR454" s="348">
        <v>1027168674.8946302</v>
      </c>
      <c r="AS454" s="369"/>
      <c r="AT454" s="350">
        <f t="shared" si="195"/>
        <v>31666550.033557534</v>
      </c>
      <c r="AU454" s="350">
        <f t="shared" si="178"/>
        <v>63954081.767956525</v>
      </c>
      <c r="AV454" s="350">
        <f t="shared" si="179"/>
        <v>96730005.168337479</v>
      </c>
      <c r="AW454" s="350">
        <f t="shared" si="180"/>
        <v>130007574.20881698</v>
      </c>
      <c r="AX454" s="350">
        <f t="shared" si="181"/>
        <v>163792452.50765541</v>
      </c>
      <c r="AY454" s="350">
        <f t="shared" si="182"/>
        <v>486150663.68632388</v>
      </c>
      <c r="AZ454" s="365"/>
      <c r="BA454" s="377">
        <f t="shared" si="183"/>
        <v>0</v>
      </c>
      <c r="BB454" s="377">
        <f t="shared" si="184"/>
        <v>0</v>
      </c>
      <c r="BC454" s="377">
        <f t="shared" si="185"/>
        <v>0</v>
      </c>
      <c r="BD454" s="377">
        <f t="shared" si="186"/>
        <v>0</v>
      </c>
      <c r="BE454" s="377">
        <f t="shared" si="187"/>
        <v>0</v>
      </c>
      <c r="BF454" s="377">
        <f t="shared" si="188"/>
        <v>0</v>
      </c>
      <c r="BG454" s="328"/>
    </row>
    <row r="455" spans="2:59">
      <c r="B455" s="332">
        <v>440</v>
      </c>
      <c r="C455" s="350">
        <v>115424502.66299559</v>
      </c>
      <c r="D455" s="350">
        <v>116371214.48841617</v>
      </c>
      <c r="E455" s="350">
        <v>117278257.70577577</v>
      </c>
      <c r="F455" s="350">
        <v>118187456.30698808</v>
      </c>
      <c r="G455" s="350">
        <v>119101634.53973243</v>
      </c>
      <c r="H455" s="348">
        <v>586363065.70390797</v>
      </c>
      <c r="I455" s="369"/>
      <c r="J455" s="350">
        <v>146715214.43431234</v>
      </c>
      <c r="K455" s="350">
        <v>179579747.09621418</v>
      </c>
      <c r="L455" s="350">
        <v>212887416.69137502</v>
      </c>
      <c r="M455" s="350">
        <v>246693144.62942737</v>
      </c>
      <c r="N455" s="350">
        <v>281005353.61727136</v>
      </c>
      <c r="O455" s="348">
        <v>1066880876.4686003</v>
      </c>
      <c r="P455" s="369"/>
      <c r="Q455" s="350">
        <f t="shared" si="189"/>
        <v>31290711.771316752</v>
      </c>
      <c r="R455" s="350">
        <f t="shared" si="190"/>
        <v>63208532.60779801</v>
      </c>
      <c r="S455" s="350">
        <f t="shared" si="191"/>
        <v>95609158.98559925</v>
      </c>
      <c r="T455" s="350">
        <f t="shared" si="192"/>
        <v>128505688.3224393</v>
      </c>
      <c r="U455" s="350">
        <f t="shared" si="193"/>
        <v>161903719.07753894</v>
      </c>
      <c r="V455" s="350">
        <f t="shared" si="194"/>
        <v>480517810.76469231</v>
      </c>
      <c r="W455" s="365"/>
      <c r="X455" s="377">
        <f t="shared" si="172"/>
        <v>0</v>
      </c>
      <c r="Y455" s="377">
        <f t="shared" si="173"/>
        <v>0</v>
      </c>
      <c r="Z455" s="377">
        <f t="shared" si="174"/>
        <v>0</v>
      </c>
      <c r="AA455" s="377">
        <f t="shared" si="175"/>
        <v>0</v>
      </c>
      <c r="AB455" s="377">
        <f t="shared" si="176"/>
        <v>0</v>
      </c>
      <c r="AC455" s="377">
        <f t="shared" si="177"/>
        <v>0</v>
      </c>
      <c r="AD455" s="376"/>
      <c r="AE455" s="332">
        <v>440</v>
      </c>
      <c r="AF455" s="350">
        <v>113148434.81041816</v>
      </c>
      <c r="AG455" s="350">
        <v>114076478.3262357</v>
      </c>
      <c r="AH455" s="350">
        <v>114965635.46342775</v>
      </c>
      <c r="AI455" s="350">
        <v>115856905.4822326</v>
      </c>
      <c r="AJ455" s="350">
        <v>116753056.93869403</v>
      </c>
      <c r="AK455" s="348">
        <v>574800511.02100813</v>
      </c>
      <c r="AL455" s="369"/>
      <c r="AM455" s="350">
        <v>151280715.9884952</v>
      </c>
      <c r="AN455" s="350">
        <v>191070550.08790624</v>
      </c>
      <c r="AO455" s="350">
        <v>231409325.39691138</v>
      </c>
      <c r="AP455" s="350">
        <v>272354000.354388</v>
      </c>
      <c r="AQ455" s="350">
        <v>313914160.75397497</v>
      </c>
      <c r="AR455" s="348">
        <v>1160028752.5816758</v>
      </c>
      <c r="AS455" s="369"/>
      <c r="AT455" s="350">
        <f t="shared" si="195"/>
        <v>38132281.178077042</v>
      </c>
      <c r="AU455" s="350">
        <f t="shared" si="178"/>
        <v>76994071.761670545</v>
      </c>
      <c r="AV455" s="350">
        <f t="shared" si="179"/>
        <v>116443689.93348363</v>
      </c>
      <c r="AW455" s="350">
        <f t="shared" si="180"/>
        <v>156497094.8721554</v>
      </c>
      <c r="AX455" s="350">
        <f t="shared" si="181"/>
        <v>197161103.81528094</v>
      </c>
      <c r="AY455" s="350">
        <f t="shared" si="182"/>
        <v>585228241.56066763</v>
      </c>
      <c r="AZ455" s="365"/>
      <c r="BA455" s="377">
        <f t="shared" si="183"/>
        <v>0</v>
      </c>
      <c r="BB455" s="377">
        <f t="shared" si="184"/>
        <v>0</v>
      </c>
      <c r="BC455" s="377">
        <f t="shared" si="185"/>
        <v>0</v>
      </c>
      <c r="BD455" s="377">
        <f t="shared" si="186"/>
        <v>0</v>
      </c>
      <c r="BE455" s="377">
        <f t="shared" si="187"/>
        <v>0</v>
      </c>
      <c r="BF455" s="377">
        <f t="shared" si="188"/>
        <v>0</v>
      </c>
      <c r="BG455" s="328"/>
    </row>
    <row r="456" spans="2:59">
      <c r="B456" s="332">
        <v>441</v>
      </c>
      <c r="C456" s="350">
        <v>139681805.15970123</v>
      </c>
      <c r="D456" s="350">
        <v>140827475.39166996</v>
      </c>
      <c r="E456" s="350">
        <v>141925140.3677848</v>
      </c>
      <c r="F456" s="350">
        <v>143025413.69741577</v>
      </c>
      <c r="G456" s="350">
        <v>144131713.16452512</v>
      </c>
      <c r="H456" s="348">
        <v>709591547.78109694</v>
      </c>
      <c r="I456" s="369"/>
      <c r="J456" s="350">
        <v>173594639.79015636</v>
      </c>
      <c r="K456" s="350">
        <v>209316823.26472145</v>
      </c>
      <c r="L456" s="350">
        <v>245514016.39971089</v>
      </c>
      <c r="M456" s="350">
        <v>282251026.88157791</v>
      </c>
      <c r="N456" s="350">
        <v>319537337.65801215</v>
      </c>
      <c r="O456" s="348">
        <v>1230213843.9941788</v>
      </c>
      <c r="P456" s="369"/>
      <c r="Q456" s="350">
        <f t="shared" si="189"/>
        <v>33912834.630455136</v>
      </c>
      <c r="R456" s="350">
        <f t="shared" si="190"/>
        <v>68489347.873051494</v>
      </c>
      <c r="S456" s="350">
        <f t="shared" si="191"/>
        <v>103588876.0319261</v>
      </c>
      <c r="T456" s="350">
        <f t="shared" si="192"/>
        <v>139225613.18416214</v>
      </c>
      <c r="U456" s="350">
        <f t="shared" si="193"/>
        <v>175405624.49348703</v>
      </c>
      <c r="V456" s="350">
        <f t="shared" si="194"/>
        <v>520622296.21308184</v>
      </c>
      <c r="W456" s="365"/>
      <c r="X456" s="377">
        <f t="shared" si="172"/>
        <v>0</v>
      </c>
      <c r="Y456" s="377">
        <f t="shared" si="173"/>
        <v>0</v>
      </c>
      <c r="Z456" s="377">
        <f t="shared" si="174"/>
        <v>0</v>
      </c>
      <c r="AA456" s="377">
        <f t="shared" si="175"/>
        <v>0</v>
      </c>
      <c r="AB456" s="377">
        <f t="shared" si="176"/>
        <v>0</v>
      </c>
      <c r="AC456" s="377">
        <f t="shared" si="177"/>
        <v>0</v>
      </c>
      <c r="AD456" s="376"/>
      <c r="AE456" s="332">
        <v>441</v>
      </c>
      <c r="AF456" s="350">
        <v>108271749.17440972</v>
      </c>
      <c r="AG456" s="350">
        <v>109159794.11233473</v>
      </c>
      <c r="AH456" s="350">
        <v>110010628.6704618</v>
      </c>
      <c r="AI456" s="350">
        <v>110863485.04522653</v>
      </c>
      <c r="AJ456" s="350">
        <v>111721012.46819836</v>
      </c>
      <c r="AK456" s="348">
        <v>550026669.47063112</v>
      </c>
      <c r="AL456" s="369"/>
      <c r="AM456" s="350">
        <v>144845314.2130698</v>
      </c>
      <c r="AN456" s="350">
        <v>183028929.5943538</v>
      </c>
      <c r="AO456" s="350">
        <v>221739481.69637549</v>
      </c>
      <c r="AP456" s="350">
        <v>261031510.77800509</v>
      </c>
      <c r="AQ456" s="350">
        <v>300914208.0495804</v>
      </c>
      <c r="AR456" s="348">
        <v>1111559444.3313847</v>
      </c>
      <c r="AS456" s="369"/>
      <c r="AT456" s="350">
        <f t="shared" si="195"/>
        <v>36573565.038660079</v>
      </c>
      <c r="AU456" s="350">
        <f t="shared" si="178"/>
        <v>73869135.482019067</v>
      </c>
      <c r="AV456" s="350">
        <f t="shared" si="179"/>
        <v>111728853.02591369</v>
      </c>
      <c r="AW456" s="350">
        <f t="shared" si="180"/>
        <v>150168025.73277855</v>
      </c>
      <c r="AX456" s="350">
        <f t="shared" si="181"/>
        <v>189193195.58138204</v>
      </c>
      <c r="AY456" s="350">
        <f t="shared" si="182"/>
        <v>561532774.86075354</v>
      </c>
      <c r="AZ456" s="365"/>
      <c r="BA456" s="377">
        <f t="shared" si="183"/>
        <v>0</v>
      </c>
      <c r="BB456" s="377">
        <f t="shared" si="184"/>
        <v>0</v>
      </c>
      <c r="BC456" s="377">
        <f t="shared" si="185"/>
        <v>0</v>
      </c>
      <c r="BD456" s="377">
        <f t="shared" si="186"/>
        <v>0</v>
      </c>
      <c r="BE456" s="377">
        <f t="shared" si="187"/>
        <v>0</v>
      </c>
      <c r="BF456" s="377">
        <f t="shared" si="188"/>
        <v>0</v>
      </c>
      <c r="BG456" s="328"/>
    </row>
    <row r="457" spans="2:59">
      <c r="B457" s="332">
        <v>442</v>
      </c>
      <c r="C457" s="350">
        <v>117989552.24738905</v>
      </c>
      <c r="D457" s="350">
        <v>118957302.61071372</v>
      </c>
      <c r="E457" s="350">
        <v>119884502.82051454</v>
      </c>
      <c r="F457" s="350">
        <v>120813906.31271935</v>
      </c>
      <c r="G457" s="350">
        <v>121748400.09755073</v>
      </c>
      <c r="H457" s="348">
        <v>599393664.08888733</v>
      </c>
      <c r="I457" s="369"/>
      <c r="J457" s="350">
        <v>150187289.76251397</v>
      </c>
      <c r="K457" s="350">
        <v>184002488.84070575</v>
      </c>
      <c r="L457" s="350">
        <v>218274007.38610786</v>
      </c>
      <c r="M457" s="350">
        <v>253058076.15382621</v>
      </c>
      <c r="N457" s="350">
        <v>288363343.57147926</v>
      </c>
      <c r="O457" s="348">
        <v>1093885205.7146332</v>
      </c>
      <c r="P457" s="369"/>
      <c r="Q457" s="350">
        <f t="shared" si="189"/>
        <v>32197737.515124917</v>
      </c>
      <c r="R457" s="350">
        <f t="shared" si="190"/>
        <v>65045186.229992032</v>
      </c>
      <c r="S457" s="350">
        <f t="shared" si="191"/>
        <v>98389504.565593317</v>
      </c>
      <c r="T457" s="350">
        <f t="shared" si="192"/>
        <v>132244169.84110686</v>
      </c>
      <c r="U457" s="350">
        <f t="shared" si="193"/>
        <v>166614943.47392851</v>
      </c>
      <c r="V457" s="350">
        <f t="shared" si="194"/>
        <v>494491541.62574589</v>
      </c>
      <c r="W457" s="365"/>
      <c r="X457" s="377">
        <f t="shared" si="172"/>
        <v>0</v>
      </c>
      <c r="Y457" s="377">
        <f t="shared" si="173"/>
        <v>0</v>
      </c>
      <c r="Z457" s="377">
        <f t="shared" si="174"/>
        <v>0</v>
      </c>
      <c r="AA457" s="377">
        <f t="shared" si="175"/>
        <v>0</v>
      </c>
      <c r="AB457" s="377">
        <f t="shared" si="176"/>
        <v>0</v>
      </c>
      <c r="AC457" s="377">
        <f t="shared" si="177"/>
        <v>0</v>
      </c>
      <c r="AD457" s="376"/>
      <c r="AE457" s="332">
        <v>442</v>
      </c>
      <c r="AF457" s="350">
        <v>141850894.6727173</v>
      </c>
      <c r="AG457" s="350">
        <v>143014355.77789745</v>
      </c>
      <c r="AH457" s="350">
        <v>144129066.16365442</v>
      </c>
      <c r="AI457" s="350">
        <v>145246425.40750319</v>
      </c>
      <c r="AJ457" s="350">
        <v>146369904.3674579</v>
      </c>
      <c r="AK457" s="348">
        <v>720610646.38923025</v>
      </c>
      <c r="AL457" s="369"/>
      <c r="AM457" s="350">
        <v>173721645.83753371</v>
      </c>
      <c r="AN457" s="350">
        <v>207415387.49503553</v>
      </c>
      <c r="AO457" s="350">
        <v>241552457.97146928</v>
      </c>
      <c r="AP457" s="350">
        <v>276197598.20585459</v>
      </c>
      <c r="AQ457" s="350">
        <v>311359984.46895832</v>
      </c>
      <c r="AR457" s="348">
        <v>1210247073.9788516</v>
      </c>
      <c r="AS457" s="369"/>
      <c r="AT457" s="350">
        <f t="shared" si="195"/>
        <v>31870751.164816409</v>
      </c>
      <c r="AU457" s="350">
        <f t="shared" si="178"/>
        <v>64401031.717138082</v>
      </c>
      <c r="AV457" s="350">
        <f t="shared" si="179"/>
        <v>97423391.807814866</v>
      </c>
      <c r="AW457" s="350">
        <f t="shared" si="180"/>
        <v>130951172.79835141</v>
      </c>
      <c r="AX457" s="350">
        <f t="shared" si="181"/>
        <v>164990080.10150042</v>
      </c>
      <c r="AY457" s="350">
        <f t="shared" si="182"/>
        <v>489636427.58962131</v>
      </c>
      <c r="AZ457" s="365"/>
      <c r="BA457" s="377">
        <f t="shared" si="183"/>
        <v>0</v>
      </c>
      <c r="BB457" s="377">
        <f t="shared" si="184"/>
        <v>0</v>
      </c>
      <c r="BC457" s="377">
        <f t="shared" si="185"/>
        <v>0</v>
      </c>
      <c r="BD457" s="377">
        <f t="shared" si="186"/>
        <v>0</v>
      </c>
      <c r="BE457" s="377">
        <f t="shared" si="187"/>
        <v>0</v>
      </c>
      <c r="BF457" s="377">
        <f t="shared" si="188"/>
        <v>0</v>
      </c>
      <c r="BG457" s="328"/>
    </row>
    <row r="458" spans="2:59">
      <c r="B458" s="332">
        <v>443</v>
      </c>
      <c r="C458" s="350">
        <v>133256151.86990425</v>
      </c>
      <c r="D458" s="350">
        <v>134349118.89055163</v>
      </c>
      <c r="E458" s="350">
        <v>135396288.99686724</v>
      </c>
      <c r="F458" s="350">
        <v>136445947.46701711</v>
      </c>
      <c r="G458" s="350">
        <v>137501354.85979939</v>
      </c>
      <c r="H458" s="348">
        <v>676948862.08413959</v>
      </c>
      <c r="I458" s="369"/>
      <c r="J458" s="350">
        <v>164916997.8507843</v>
      </c>
      <c r="K458" s="350">
        <v>198313217.93425718</v>
      </c>
      <c r="L458" s="350">
        <v>232152280.53552973</v>
      </c>
      <c r="M458" s="350">
        <v>266495723.71617812</v>
      </c>
      <c r="N458" s="350">
        <v>301352473.92056936</v>
      </c>
      <c r="O458" s="348">
        <v>1163230693.9573188</v>
      </c>
      <c r="P458" s="369"/>
      <c r="Q458" s="350">
        <f t="shared" si="189"/>
        <v>31660845.980880052</v>
      </c>
      <c r="R458" s="350">
        <f t="shared" si="190"/>
        <v>63964099.043705553</v>
      </c>
      <c r="S458" s="350">
        <f t="shared" si="191"/>
        <v>96755991.538662493</v>
      </c>
      <c r="T458" s="350">
        <f t="shared" si="192"/>
        <v>130049776.24916101</v>
      </c>
      <c r="U458" s="350">
        <f t="shared" si="193"/>
        <v>163851119.06076998</v>
      </c>
      <c r="V458" s="350">
        <f t="shared" si="194"/>
        <v>486281831.8731792</v>
      </c>
      <c r="W458" s="365"/>
      <c r="X458" s="377">
        <f t="shared" si="172"/>
        <v>0</v>
      </c>
      <c r="Y458" s="377">
        <f t="shared" si="173"/>
        <v>0</v>
      </c>
      <c r="Z458" s="377">
        <f t="shared" si="174"/>
        <v>0</v>
      </c>
      <c r="AA458" s="377">
        <f t="shared" si="175"/>
        <v>0</v>
      </c>
      <c r="AB458" s="377">
        <f t="shared" si="176"/>
        <v>0</v>
      </c>
      <c r="AC458" s="377">
        <f t="shared" si="177"/>
        <v>0</v>
      </c>
      <c r="AD458" s="376"/>
      <c r="AE458" s="332">
        <v>443</v>
      </c>
      <c r="AF458" s="350">
        <v>110292427.89369294</v>
      </c>
      <c r="AG458" s="350">
        <v>111197046.43942903</v>
      </c>
      <c r="AH458" s="350">
        <v>112063760.14699578</v>
      </c>
      <c r="AI458" s="350">
        <v>112932533.40442131</v>
      </c>
      <c r="AJ458" s="350">
        <v>113806064.88595888</v>
      </c>
      <c r="AK458" s="348">
        <v>560291832.77049792</v>
      </c>
      <c r="AL458" s="369"/>
      <c r="AM458" s="350">
        <v>139940858.44613773</v>
      </c>
      <c r="AN458" s="350">
        <v>171088880.61427575</v>
      </c>
      <c r="AO458" s="350">
        <v>202656475.74027348</v>
      </c>
      <c r="AP458" s="350">
        <v>234696018.26004994</v>
      </c>
      <c r="AQ458" s="350">
        <v>267215511.59274834</v>
      </c>
      <c r="AR458" s="348">
        <v>1015597744.6534853</v>
      </c>
      <c r="AS458" s="369"/>
      <c r="AT458" s="350">
        <f t="shared" si="195"/>
        <v>29648430.552444786</v>
      </c>
      <c r="AU458" s="350">
        <f t="shared" si="178"/>
        <v>59891834.174846724</v>
      </c>
      <c r="AV458" s="350">
        <f t="shared" si="179"/>
        <v>90592715.593277693</v>
      </c>
      <c r="AW458" s="350">
        <f t="shared" si="180"/>
        <v>121763484.85562862</v>
      </c>
      <c r="AX458" s="350">
        <f t="shared" si="181"/>
        <v>153409446.70678946</v>
      </c>
      <c r="AY458" s="350">
        <f t="shared" si="182"/>
        <v>455305911.88298738</v>
      </c>
      <c r="AZ458" s="365"/>
      <c r="BA458" s="377">
        <f t="shared" si="183"/>
        <v>0</v>
      </c>
      <c r="BB458" s="377">
        <f t="shared" si="184"/>
        <v>0</v>
      </c>
      <c r="BC458" s="377">
        <f t="shared" si="185"/>
        <v>0</v>
      </c>
      <c r="BD458" s="377">
        <f t="shared" si="186"/>
        <v>0</v>
      </c>
      <c r="BE458" s="377">
        <f t="shared" si="187"/>
        <v>0</v>
      </c>
      <c r="BF458" s="377">
        <f t="shared" si="188"/>
        <v>0</v>
      </c>
      <c r="BG458" s="328"/>
    </row>
    <row r="459" spans="2:59">
      <c r="B459" s="332">
        <v>444</v>
      </c>
      <c r="C459" s="350">
        <v>120689336.10969631</v>
      </c>
      <c r="D459" s="350">
        <v>121679230.10153627</v>
      </c>
      <c r="E459" s="350">
        <v>122627646.08947906</v>
      </c>
      <c r="F459" s="350">
        <v>123578315.77434272</v>
      </c>
      <c r="G459" s="350">
        <v>124534192.22561914</v>
      </c>
      <c r="H459" s="348">
        <v>613108720.30067348</v>
      </c>
      <c r="I459" s="369"/>
      <c r="J459" s="350">
        <v>154385776.47635669</v>
      </c>
      <c r="K459" s="350">
        <v>189733773.36005384</v>
      </c>
      <c r="L459" s="350">
        <v>225560004.44050428</v>
      </c>
      <c r="M459" s="350">
        <v>261922305.04796872</v>
      </c>
      <c r="N459" s="350">
        <v>298829655.05316734</v>
      </c>
      <c r="O459" s="348">
        <v>1130431514.3780508</v>
      </c>
      <c r="P459" s="369"/>
      <c r="Q459" s="350">
        <f t="shared" si="189"/>
        <v>33696440.366660371</v>
      </c>
      <c r="R459" s="350">
        <f t="shared" si="190"/>
        <v>68054543.258517563</v>
      </c>
      <c r="S459" s="350">
        <f t="shared" si="191"/>
        <v>102932358.35102522</v>
      </c>
      <c r="T459" s="350">
        <f t="shared" si="192"/>
        <v>138343989.273626</v>
      </c>
      <c r="U459" s="350">
        <f t="shared" si="193"/>
        <v>174295462.82754821</v>
      </c>
      <c r="V459" s="350">
        <f t="shared" si="194"/>
        <v>517322794.07737732</v>
      </c>
      <c r="W459" s="365"/>
      <c r="X459" s="377">
        <f t="shared" si="172"/>
        <v>0</v>
      </c>
      <c r="Y459" s="377">
        <f t="shared" si="173"/>
        <v>0</v>
      </c>
      <c r="Z459" s="377">
        <f t="shared" si="174"/>
        <v>0</v>
      </c>
      <c r="AA459" s="377">
        <f t="shared" si="175"/>
        <v>0</v>
      </c>
      <c r="AB459" s="377">
        <f t="shared" si="176"/>
        <v>0</v>
      </c>
      <c r="AC459" s="377">
        <f t="shared" si="177"/>
        <v>0</v>
      </c>
      <c r="AD459" s="376"/>
      <c r="AE459" s="332">
        <v>444</v>
      </c>
      <c r="AF459" s="350">
        <v>109391558.78919894</v>
      </c>
      <c r="AG459" s="350">
        <v>110288788.40611401</v>
      </c>
      <c r="AH459" s="350">
        <v>111148422.79176806</v>
      </c>
      <c r="AI459" s="350">
        <v>112010099.90486738</v>
      </c>
      <c r="AJ459" s="350">
        <v>112876496.37688023</v>
      </c>
      <c r="AK459" s="348">
        <v>555715366.26882863</v>
      </c>
      <c r="AL459" s="369"/>
      <c r="AM459" s="350">
        <v>144329245.37736261</v>
      </c>
      <c r="AN459" s="350">
        <v>180843856.94403252</v>
      </c>
      <c r="AO459" s="350">
        <v>217859630.82587159</v>
      </c>
      <c r="AP459" s="350">
        <v>255430827.78176254</v>
      </c>
      <c r="AQ459" s="350">
        <v>293566372.28060484</v>
      </c>
      <c r="AR459" s="348">
        <v>1092029933.2096341</v>
      </c>
      <c r="AS459" s="369"/>
      <c r="AT459" s="350">
        <f t="shared" si="195"/>
        <v>34937686.588163674</v>
      </c>
      <c r="AU459" s="350">
        <f t="shared" si="178"/>
        <v>70555068.537918508</v>
      </c>
      <c r="AV459" s="350">
        <f t="shared" si="179"/>
        <v>106711208.03410353</v>
      </c>
      <c r="AW459" s="350">
        <f t="shared" si="180"/>
        <v>143420727.87689516</v>
      </c>
      <c r="AX459" s="350">
        <f t="shared" si="181"/>
        <v>180689875.90372461</v>
      </c>
      <c r="AY459" s="350">
        <f t="shared" si="182"/>
        <v>536314566.94080544</v>
      </c>
      <c r="AZ459" s="365"/>
      <c r="BA459" s="377">
        <f t="shared" si="183"/>
        <v>0</v>
      </c>
      <c r="BB459" s="377">
        <f t="shared" si="184"/>
        <v>0</v>
      </c>
      <c r="BC459" s="377">
        <f t="shared" si="185"/>
        <v>0</v>
      </c>
      <c r="BD459" s="377">
        <f t="shared" si="186"/>
        <v>0</v>
      </c>
      <c r="BE459" s="377">
        <f t="shared" si="187"/>
        <v>0</v>
      </c>
      <c r="BF459" s="377">
        <f t="shared" si="188"/>
        <v>0</v>
      </c>
      <c r="BG459" s="328"/>
    </row>
    <row r="460" spans="2:59">
      <c r="B460" s="332">
        <v>445</v>
      </c>
      <c r="C460" s="350">
        <v>164250982.31552687</v>
      </c>
      <c r="D460" s="350">
        <v>165598168.95014524</v>
      </c>
      <c r="E460" s="350">
        <v>166888906.49734464</v>
      </c>
      <c r="F460" s="350">
        <v>168182711.19152677</v>
      </c>
      <c r="G460" s="350">
        <v>169483601.98399693</v>
      </c>
      <c r="H460" s="348">
        <v>834404370.93854046</v>
      </c>
      <c r="I460" s="369"/>
      <c r="J460" s="350">
        <v>209415786.45422393</v>
      </c>
      <c r="K460" s="350">
        <v>256794215.87540329</v>
      </c>
      <c r="L460" s="350">
        <v>304812470.80165946</v>
      </c>
      <c r="M460" s="350">
        <v>353548970.04072469</v>
      </c>
      <c r="N460" s="350">
        <v>403015807.41123253</v>
      </c>
      <c r="O460" s="348">
        <v>1527587250.5832438</v>
      </c>
      <c r="P460" s="369"/>
      <c r="Q460" s="350">
        <f t="shared" si="189"/>
        <v>45164804.138697058</v>
      </c>
      <c r="R460" s="350">
        <f t="shared" si="190"/>
        <v>91196046.92525804</v>
      </c>
      <c r="S460" s="350">
        <f t="shared" si="191"/>
        <v>137923564.30431482</v>
      </c>
      <c r="T460" s="350">
        <f t="shared" si="192"/>
        <v>185366258.84919792</v>
      </c>
      <c r="U460" s="350">
        <f t="shared" si="193"/>
        <v>233532205.4272356</v>
      </c>
      <c r="V460" s="350">
        <f t="shared" si="194"/>
        <v>693182879.64470339</v>
      </c>
      <c r="W460" s="365"/>
      <c r="X460" s="377">
        <f t="shared" si="172"/>
        <v>0</v>
      </c>
      <c r="Y460" s="377">
        <f t="shared" si="173"/>
        <v>0</v>
      </c>
      <c r="Z460" s="377">
        <f t="shared" si="174"/>
        <v>0</v>
      </c>
      <c r="AA460" s="377">
        <f t="shared" si="175"/>
        <v>0</v>
      </c>
      <c r="AB460" s="377">
        <f t="shared" si="176"/>
        <v>0</v>
      </c>
      <c r="AC460" s="377">
        <f t="shared" si="177"/>
        <v>0</v>
      </c>
      <c r="AD460" s="376"/>
      <c r="AE460" s="332">
        <v>445</v>
      </c>
      <c r="AF460" s="350">
        <v>101116779.56391153</v>
      </c>
      <c r="AG460" s="350">
        <v>101946139.43770804</v>
      </c>
      <c r="AH460" s="350">
        <v>102740747.92159706</v>
      </c>
      <c r="AI460" s="350">
        <v>103537244.61352581</v>
      </c>
      <c r="AJ460" s="350">
        <v>104338103.67472908</v>
      </c>
      <c r="AK460" s="348">
        <v>513679015.21147156</v>
      </c>
      <c r="AL460" s="369"/>
      <c r="AM460" s="350">
        <v>128694819.79223198</v>
      </c>
      <c r="AN460" s="350">
        <v>157655503.45208764</v>
      </c>
      <c r="AO460" s="350">
        <v>187006965.01048023</v>
      </c>
      <c r="AP460" s="350">
        <v>216797387.49481013</v>
      </c>
      <c r="AQ460" s="350">
        <v>247034179.35200056</v>
      </c>
      <c r="AR460" s="348">
        <v>937188855.10161054</v>
      </c>
      <c r="AS460" s="369"/>
      <c r="AT460" s="350">
        <f t="shared" si="195"/>
        <v>27578040.22832045</v>
      </c>
      <c r="AU460" s="350">
        <f t="shared" si="178"/>
        <v>55709364.014379606</v>
      </c>
      <c r="AV460" s="350">
        <f t="shared" si="179"/>
        <v>84266217.088883162</v>
      </c>
      <c r="AW460" s="350">
        <f t="shared" si="180"/>
        <v>113260142.88128433</v>
      </c>
      <c r="AX460" s="350">
        <f t="shared" si="181"/>
        <v>142696075.67727149</v>
      </c>
      <c r="AY460" s="350">
        <f t="shared" si="182"/>
        <v>423509839.89013898</v>
      </c>
      <c r="AZ460" s="365"/>
      <c r="BA460" s="377">
        <f t="shared" si="183"/>
        <v>0</v>
      </c>
      <c r="BB460" s="377">
        <f t="shared" si="184"/>
        <v>0</v>
      </c>
      <c r="BC460" s="377">
        <f t="shared" si="185"/>
        <v>0</v>
      </c>
      <c r="BD460" s="377">
        <f t="shared" si="186"/>
        <v>0</v>
      </c>
      <c r="BE460" s="377">
        <f t="shared" si="187"/>
        <v>0</v>
      </c>
      <c r="BF460" s="377">
        <f t="shared" si="188"/>
        <v>0</v>
      </c>
      <c r="BG460" s="328"/>
    </row>
    <row r="461" spans="2:59">
      <c r="B461" s="332">
        <v>446</v>
      </c>
      <c r="C461" s="350">
        <v>141999674.74556869</v>
      </c>
      <c r="D461" s="350">
        <v>143164356.14497674</v>
      </c>
      <c r="E461" s="350">
        <v>144280235.69285131</v>
      </c>
      <c r="F461" s="350">
        <v>145398766.87706807</v>
      </c>
      <c r="G461" s="350">
        <v>146523424.19604471</v>
      </c>
      <c r="H461" s="348">
        <v>721366457.65650952</v>
      </c>
      <c r="I461" s="369"/>
      <c r="J461" s="350">
        <v>179024867.43968523</v>
      </c>
      <c r="K461" s="350">
        <v>217934961.50073248</v>
      </c>
      <c r="L461" s="350">
        <v>257367200.34842044</v>
      </c>
      <c r="M461" s="350">
        <v>297388533.96963888</v>
      </c>
      <c r="N461" s="350">
        <v>338009057.99157965</v>
      </c>
      <c r="O461" s="348">
        <v>1289724621.2500567</v>
      </c>
      <c r="P461" s="369"/>
      <c r="Q461" s="350">
        <f t="shared" si="189"/>
        <v>37025192.694116533</v>
      </c>
      <c r="R461" s="350">
        <f t="shared" si="190"/>
        <v>74770605.355755746</v>
      </c>
      <c r="S461" s="350">
        <f t="shared" si="191"/>
        <v>113086964.65556914</v>
      </c>
      <c r="T461" s="350">
        <f t="shared" si="192"/>
        <v>151989767.09257081</v>
      </c>
      <c r="U461" s="350">
        <f t="shared" si="193"/>
        <v>191485633.79553494</v>
      </c>
      <c r="V461" s="350">
        <f t="shared" si="194"/>
        <v>568358163.59354722</v>
      </c>
      <c r="W461" s="365"/>
      <c r="X461" s="377">
        <f t="shared" si="172"/>
        <v>0</v>
      </c>
      <c r="Y461" s="377">
        <f t="shared" si="173"/>
        <v>0</v>
      </c>
      <c r="Z461" s="377">
        <f t="shared" si="174"/>
        <v>0</v>
      </c>
      <c r="AA461" s="377">
        <f t="shared" si="175"/>
        <v>0</v>
      </c>
      <c r="AB461" s="377">
        <f t="shared" si="176"/>
        <v>0</v>
      </c>
      <c r="AC461" s="377">
        <f t="shared" si="177"/>
        <v>0</v>
      </c>
      <c r="AD461" s="376"/>
      <c r="AE461" s="332">
        <v>446</v>
      </c>
      <c r="AF461" s="350">
        <v>155983384.66789988</v>
      </c>
      <c r="AG461" s="350">
        <v>157262760.46270308</v>
      </c>
      <c r="AH461" s="350">
        <v>158488528.54330632</v>
      </c>
      <c r="AI461" s="350">
        <v>159717209.38559234</v>
      </c>
      <c r="AJ461" s="350">
        <v>160952619.64635411</v>
      </c>
      <c r="AK461" s="348">
        <v>792404502.70585573</v>
      </c>
      <c r="AL461" s="369"/>
      <c r="AM461" s="350">
        <v>192837020.13371646</v>
      </c>
      <c r="AN461" s="350">
        <v>231687532.03109837</v>
      </c>
      <c r="AO461" s="350">
        <v>271052746.98700643</v>
      </c>
      <c r="AP461" s="350">
        <v>311004610.20722145</v>
      </c>
      <c r="AQ461" s="350">
        <v>351553528.89243823</v>
      </c>
      <c r="AR461" s="348">
        <v>1358135438.2514808</v>
      </c>
      <c r="AS461" s="369"/>
      <c r="AT461" s="350">
        <f t="shared" si="195"/>
        <v>36853635.465816587</v>
      </c>
      <c r="AU461" s="350">
        <f t="shared" si="178"/>
        <v>74424771.568395287</v>
      </c>
      <c r="AV461" s="350">
        <f t="shared" si="179"/>
        <v>112564218.4437001</v>
      </c>
      <c r="AW461" s="350">
        <f t="shared" si="180"/>
        <v>151287400.82162911</v>
      </c>
      <c r="AX461" s="350">
        <f t="shared" si="181"/>
        <v>190600909.24608412</v>
      </c>
      <c r="AY461" s="350">
        <f t="shared" si="182"/>
        <v>565730935.54562509</v>
      </c>
      <c r="AZ461" s="365"/>
      <c r="BA461" s="377">
        <f t="shared" si="183"/>
        <v>0</v>
      </c>
      <c r="BB461" s="377">
        <f t="shared" si="184"/>
        <v>0</v>
      </c>
      <c r="BC461" s="377">
        <f t="shared" si="185"/>
        <v>0</v>
      </c>
      <c r="BD461" s="377">
        <f t="shared" si="186"/>
        <v>0</v>
      </c>
      <c r="BE461" s="377">
        <f t="shared" si="187"/>
        <v>0</v>
      </c>
      <c r="BF461" s="377">
        <f t="shared" si="188"/>
        <v>0</v>
      </c>
      <c r="BG461" s="328"/>
    </row>
    <row r="462" spans="2:59">
      <c r="B462" s="332">
        <v>447</v>
      </c>
      <c r="C462" s="350">
        <v>151506054.67107785</v>
      </c>
      <c r="D462" s="350">
        <v>152748707.40312999</v>
      </c>
      <c r="E462" s="350">
        <v>153939291.17094183</v>
      </c>
      <c r="F462" s="350">
        <v>155132704.09284383</v>
      </c>
      <c r="G462" s="350">
        <v>156332653.27273041</v>
      </c>
      <c r="H462" s="348">
        <v>769659410.61072397</v>
      </c>
      <c r="I462" s="369"/>
      <c r="J462" s="350">
        <v>189571600.90606636</v>
      </c>
      <c r="K462" s="350">
        <v>229617923.87247074</v>
      </c>
      <c r="L462" s="350">
        <v>270199130.90479565</v>
      </c>
      <c r="M462" s="350">
        <v>311386051.91961294</v>
      </c>
      <c r="N462" s="350">
        <v>353189200.83745801</v>
      </c>
      <c r="O462" s="348">
        <v>1353963908.4404035</v>
      </c>
      <c r="P462" s="369"/>
      <c r="Q462" s="350">
        <f t="shared" si="189"/>
        <v>38065546.234988511</v>
      </c>
      <c r="R462" s="350">
        <f t="shared" si="190"/>
        <v>76869216.469340742</v>
      </c>
      <c r="S462" s="350">
        <f t="shared" si="191"/>
        <v>116259839.73385382</v>
      </c>
      <c r="T462" s="350">
        <f t="shared" si="192"/>
        <v>156253347.82676911</v>
      </c>
      <c r="U462" s="350">
        <f t="shared" si="193"/>
        <v>196856547.5647276</v>
      </c>
      <c r="V462" s="350">
        <f t="shared" si="194"/>
        <v>584304497.82967949</v>
      </c>
      <c r="W462" s="365"/>
      <c r="X462" s="377">
        <f t="shared" si="172"/>
        <v>0</v>
      </c>
      <c r="Y462" s="377">
        <f t="shared" si="173"/>
        <v>0</v>
      </c>
      <c r="Z462" s="377">
        <f t="shared" si="174"/>
        <v>0</v>
      </c>
      <c r="AA462" s="377">
        <f t="shared" si="175"/>
        <v>0</v>
      </c>
      <c r="AB462" s="377">
        <f t="shared" si="176"/>
        <v>0</v>
      </c>
      <c r="AC462" s="377">
        <f t="shared" si="177"/>
        <v>0</v>
      </c>
      <c r="AD462" s="376"/>
      <c r="AE462" s="332">
        <v>447</v>
      </c>
      <c r="AF462" s="350">
        <v>129047591.88122767</v>
      </c>
      <c r="AG462" s="350">
        <v>130106040.29085791</v>
      </c>
      <c r="AH462" s="350">
        <v>131120138.16636893</v>
      </c>
      <c r="AI462" s="350">
        <v>132136645.81700867</v>
      </c>
      <c r="AJ462" s="350">
        <v>133158720.8250366</v>
      </c>
      <c r="AK462" s="348">
        <v>655569136.98049974</v>
      </c>
      <c r="AL462" s="369"/>
      <c r="AM462" s="350">
        <v>166529763.68966922</v>
      </c>
      <c r="AN462" s="350">
        <v>205783810.32466295</v>
      </c>
      <c r="AO462" s="350">
        <v>245571255.43028924</v>
      </c>
      <c r="AP462" s="350">
        <v>285954546.20712709</v>
      </c>
      <c r="AQ462" s="350">
        <v>326943540.69286579</v>
      </c>
      <c r="AR462" s="348">
        <v>1230782916.3446143</v>
      </c>
      <c r="AS462" s="369"/>
      <c r="AT462" s="350">
        <f t="shared" si="195"/>
        <v>37482171.80844155</v>
      </c>
      <c r="AU462" s="350">
        <f t="shared" si="178"/>
        <v>75677770.033805043</v>
      </c>
      <c r="AV462" s="350">
        <f t="shared" si="179"/>
        <v>114451117.26392031</v>
      </c>
      <c r="AW462" s="350">
        <f t="shared" si="180"/>
        <v>153817900.39011842</v>
      </c>
      <c r="AX462" s="350">
        <f t="shared" si="181"/>
        <v>193784819.8678292</v>
      </c>
      <c r="AY462" s="350">
        <f t="shared" si="182"/>
        <v>575213779.36411452</v>
      </c>
      <c r="AZ462" s="365"/>
      <c r="BA462" s="377">
        <f t="shared" si="183"/>
        <v>0</v>
      </c>
      <c r="BB462" s="377">
        <f t="shared" si="184"/>
        <v>0</v>
      </c>
      <c r="BC462" s="377">
        <f t="shared" si="185"/>
        <v>0</v>
      </c>
      <c r="BD462" s="377">
        <f t="shared" si="186"/>
        <v>0</v>
      </c>
      <c r="BE462" s="377">
        <f t="shared" si="187"/>
        <v>0</v>
      </c>
      <c r="BF462" s="377">
        <f t="shared" si="188"/>
        <v>0</v>
      </c>
      <c r="BG462" s="328"/>
    </row>
    <row r="463" spans="2:59">
      <c r="B463" s="332">
        <v>448</v>
      </c>
      <c r="C463" s="350">
        <v>121800230.53366569</v>
      </c>
      <c r="D463" s="350">
        <v>122799236.08209634</v>
      </c>
      <c r="E463" s="350">
        <v>123756381.83910215</v>
      </c>
      <c r="F463" s="350">
        <v>124715802.03735824</v>
      </c>
      <c r="G463" s="350">
        <v>125680476.92811537</v>
      </c>
      <c r="H463" s="348">
        <v>618752127.42033768</v>
      </c>
      <c r="I463" s="369"/>
      <c r="J463" s="350">
        <v>155349891.62374163</v>
      </c>
      <c r="K463" s="350">
        <v>190533901.76733917</v>
      </c>
      <c r="L463" s="350">
        <v>226193135.13872617</v>
      </c>
      <c r="M463" s="350">
        <v>262385766.86335608</v>
      </c>
      <c r="N463" s="350">
        <v>299120774.16394258</v>
      </c>
      <c r="O463" s="348">
        <v>1133583469.5571055</v>
      </c>
      <c r="P463" s="369"/>
      <c r="Q463" s="350">
        <f t="shared" si="189"/>
        <v>33549661.09007594</v>
      </c>
      <c r="R463" s="350">
        <f t="shared" si="190"/>
        <v>67734665.685242832</v>
      </c>
      <c r="S463" s="350">
        <f t="shared" si="191"/>
        <v>102436753.29962403</v>
      </c>
      <c r="T463" s="350">
        <f t="shared" si="192"/>
        <v>137669964.82599783</v>
      </c>
      <c r="U463" s="350">
        <f t="shared" si="193"/>
        <v>173440297.23582721</v>
      </c>
      <c r="V463" s="350">
        <f t="shared" si="194"/>
        <v>514831342.13676786</v>
      </c>
      <c r="W463" s="365"/>
      <c r="X463" s="377">
        <f t="shared" si="172"/>
        <v>0</v>
      </c>
      <c r="Y463" s="377">
        <f t="shared" si="173"/>
        <v>0</v>
      </c>
      <c r="Z463" s="377">
        <f t="shared" si="174"/>
        <v>0</v>
      </c>
      <c r="AA463" s="377">
        <f t="shared" si="175"/>
        <v>0</v>
      </c>
      <c r="AB463" s="377">
        <f t="shared" si="176"/>
        <v>0</v>
      </c>
      <c r="AC463" s="377">
        <f t="shared" si="177"/>
        <v>0</v>
      </c>
      <c r="AD463" s="376"/>
      <c r="AE463" s="332">
        <v>448</v>
      </c>
      <c r="AF463" s="350">
        <v>127083564.620965</v>
      </c>
      <c r="AG463" s="350">
        <v>128125904.07807791</v>
      </c>
      <c r="AH463" s="350">
        <v>129124567.98970746</v>
      </c>
      <c r="AI463" s="350">
        <v>130125605.0011279</v>
      </c>
      <c r="AJ463" s="350">
        <v>131132124.63808271</v>
      </c>
      <c r="AK463" s="348">
        <v>645591766.32796097</v>
      </c>
      <c r="AL463" s="369"/>
      <c r="AM463" s="350">
        <v>159344932.70697933</v>
      </c>
      <c r="AN463" s="350">
        <v>193285502.80404672</v>
      </c>
      <c r="AO463" s="350">
        <v>227680028.60109013</v>
      </c>
      <c r="AP463" s="350">
        <v>262588061.91174886</v>
      </c>
      <c r="AQ463" s="350">
        <v>298018482.90789205</v>
      </c>
      <c r="AR463" s="348">
        <v>1140917008.931757</v>
      </c>
      <c r="AS463" s="369"/>
      <c r="AT463" s="350">
        <f t="shared" si="195"/>
        <v>32261368.08601433</v>
      </c>
      <c r="AU463" s="350">
        <f t="shared" si="178"/>
        <v>65159598.725968808</v>
      </c>
      <c r="AV463" s="350">
        <f t="shared" si="179"/>
        <v>98555460.611382678</v>
      </c>
      <c r="AW463" s="350">
        <f t="shared" si="180"/>
        <v>132462456.91062096</v>
      </c>
      <c r="AX463" s="350">
        <f t="shared" si="181"/>
        <v>166886358.26980934</v>
      </c>
      <c r="AY463" s="350">
        <f t="shared" si="182"/>
        <v>495325242.60379601</v>
      </c>
      <c r="AZ463" s="365"/>
      <c r="BA463" s="377">
        <f t="shared" si="183"/>
        <v>0</v>
      </c>
      <c r="BB463" s="377">
        <f t="shared" si="184"/>
        <v>0</v>
      </c>
      <c r="BC463" s="377">
        <f t="shared" si="185"/>
        <v>0</v>
      </c>
      <c r="BD463" s="377">
        <f t="shared" si="186"/>
        <v>0</v>
      </c>
      <c r="BE463" s="377">
        <f t="shared" si="187"/>
        <v>0</v>
      </c>
      <c r="BF463" s="377">
        <f t="shared" si="188"/>
        <v>0</v>
      </c>
      <c r="BG463" s="328"/>
    </row>
    <row r="464" spans="2:59">
      <c r="B464" s="332">
        <v>449</v>
      </c>
      <c r="C464" s="350">
        <v>137830327.20672786</v>
      </c>
      <c r="D464" s="350">
        <v>138960811.61565083</v>
      </c>
      <c r="E464" s="350">
        <v>140043927.0768829</v>
      </c>
      <c r="F464" s="350">
        <v>141129616.31798688</v>
      </c>
      <c r="G464" s="350">
        <v>142221251.82030571</v>
      </c>
      <c r="H464" s="348">
        <v>700185934.03755414</v>
      </c>
      <c r="I464" s="369"/>
      <c r="J464" s="350">
        <v>170673300.19430473</v>
      </c>
      <c r="K464" s="350">
        <v>205308603.67476243</v>
      </c>
      <c r="L464" s="350">
        <v>240403351.18561408</v>
      </c>
      <c r="M464" s="350">
        <v>276021232.80688316</v>
      </c>
      <c r="N464" s="350">
        <v>312171497.75971097</v>
      </c>
      <c r="O464" s="348">
        <v>1204577985.6212754</v>
      </c>
      <c r="P464" s="369"/>
      <c r="Q464" s="350">
        <f t="shared" si="189"/>
        <v>32842972.987576872</v>
      </c>
      <c r="R464" s="350">
        <f t="shared" si="190"/>
        <v>66347792.059111595</v>
      </c>
      <c r="S464" s="350">
        <f t="shared" si="191"/>
        <v>100359424.10873118</v>
      </c>
      <c r="T464" s="350">
        <f t="shared" si="192"/>
        <v>134891616.48889628</v>
      </c>
      <c r="U464" s="350">
        <f t="shared" si="193"/>
        <v>169950245.93940526</v>
      </c>
      <c r="V464" s="350">
        <f t="shared" si="194"/>
        <v>504392051.58372128</v>
      </c>
      <c r="W464" s="365"/>
      <c r="X464" s="377">
        <f t="shared" ref="X464:X527" si="196">IF(Q464&lt;Q$8,1,0)</f>
        <v>0</v>
      </c>
      <c r="Y464" s="377">
        <f t="shared" ref="Y464:Y527" si="197">IF(R464&lt;R$8,1,0)</f>
        <v>0</v>
      </c>
      <c r="Z464" s="377">
        <f t="shared" ref="Z464:Z527" si="198">IF(S464&lt;S$8,1,0)</f>
        <v>0</v>
      </c>
      <c r="AA464" s="377">
        <f t="shared" ref="AA464:AA527" si="199">IF(T464&lt;T$8,1,0)</f>
        <v>0</v>
      </c>
      <c r="AB464" s="377">
        <f t="shared" ref="AB464:AB527" si="200">IF(U464&lt;U$8,1,0)</f>
        <v>0</v>
      </c>
      <c r="AC464" s="377">
        <f t="shared" ref="AC464:AC527" si="201">IF(V464&lt;V$8,1,0)</f>
        <v>0</v>
      </c>
      <c r="AD464" s="376"/>
      <c r="AE464" s="332">
        <v>449</v>
      </c>
      <c r="AF464" s="350">
        <v>145187388.5253984</v>
      </c>
      <c r="AG464" s="350">
        <v>146378215.55473587</v>
      </c>
      <c r="AH464" s="350">
        <v>147519145.19246286</v>
      </c>
      <c r="AI464" s="350">
        <v>148662785.99242684</v>
      </c>
      <c r="AJ464" s="350">
        <v>149812690.4511573</v>
      </c>
      <c r="AK464" s="348">
        <v>737560225.71618128</v>
      </c>
      <c r="AL464" s="369"/>
      <c r="AM464" s="350">
        <v>181337713.92508614</v>
      </c>
      <c r="AN464" s="350">
        <v>219376749.96329018</v>
      </c>
      <c r="AO464" s="350">
        <v>257923261.45925385</v>
      </c>
      <c r="AP464" s="350">
        <v>297044987.00396484</v>
      </c>
      <c r="AQ464" s="350">
        <v>336751942.96045458</v>
      </c>
      <c r="AR464" s="348">
        <v>1292434655.3120499</v>
      </c>
      <c r="AS464" s="369"/>
      <c r="AT464" s="350">
        <f t="shared" si="195"/>
        <v>36150325.399687737</v>
      </c>
      <c r="AU464" s="350">
        <f t="shared" ref="AU464:AU527" si="202">AN464-AG464</f>
        <v>72998534.408554316</v>
      </c>
      <c r="AV464" s="350">
        <f t="shared" ref="AV464:AV527" si="203">AO464-AH464</f>
        <v>110404116.26679099</v>
      </c>
      <c r="AW464" s="350">
        <f t="shared" ref="AW464:AW527" si="204">AP464-AI464</f>
        <v>148382201.011538</v>
      </c>
      <c r="AX464" s="350">
        <f t="shared" ref="AX464:AX527" si="205">AQ464-AJ464</f>
        <v>186939252.50929728</v>
      </c>
      <c r="AY464" s="350">
        <f t="shared" ref="AY464:AY527" si="206">AR464-AK464</f>
        <v>554874429.59586859</v>
      </c>
      <c r="AZ464" s="365"/>
      <c r="BA464" s="377">
        <f t="shared" ref="BA464:BA527" si="207">IF(AT464&lt;AT$8,1,0)</f>
        <v>0</v>
      </c>
      <c r="BB464" s="377">
        <f t="shared" ref="BB464:BB527" si="208">IF(AU464&lt;AU$8,1,0)</f>
        <v>0</v>
      </c>
      <c r="BC464" s="377">
        <f t="shared" ref="BC464:BC527" si="209">IF(AV464&lt;AV$8,1,0)</f>
        <v>0</v>
      </c>
      <c r="BD464" s="377">
        <f t="shared" ref="BD464:BD527" si="210">IF(AW464&lt;AW$8,1,0)</f>
        <v>0</v>
      </c>
      <c r="BE464" s="377">
        <f t="shared" ref="BE464:BE527" si="211">IF(AX464&lt;AX$8,1,0)</f>
        <v>0</v>
      </c>
      <c r="BF464" s="377">
        <f t="shared" ref="BF464:BF527" si="212">IF(AY464&lt;AY$8,1,0)</f>
        <v>0</v>
      </c>
      <c r="BG464" s="328"/>
    </row>
    <row r="465" spans="2:59">
      <c r="B465" s="332">
        <v>450</v>
      </c>
      <c r="C465" s="350">
        <v>132372915.2705251</v>
      </c>
      <c r="D465" s="350">
        <v>133458637.9841668</v>
      </c>
      <c r="E465" s="350">
        <v>134498867.33051971</v>
      </c>
      <c r="F465" s="350">
        <v>135541568.54755461</v>
      </c>
      <c r="G465" s="350">
        <v>136589980.5827232</v>
      </c>
      <c r="H465" s="348">
        <v>672461969.71548939</v>
      </c>
      <c r="I465" s="369"/>
      <c r="J465" s="350">
        <v>167681151.69899485</v>
      </c>
      <c r="K465" s="350">
        <v>204748389.03647459</v>
      </c>
      <c r="L465" s="350">
        <v>242314392.21367377</v>
      </c>
      <c r="M465" s="350">
        <v>280441903.60133767</v>
      </c>
      <c r="N465" s="350">
        <v>319140474.16913962</v>
      </c>
      <c r="O465" s="348">
        <v>1214326310.7196205</v>
      </c>
      <c r="P465" s="369"/>
      <c r="Q465" s="350">
        <f t="shared" ref="Q465:Q528" si="213">J465-C465</f>
        <v>35308236.428469747</v>
      </c>
      <c r="R465" s="350">
        <f t="shared" ref="R465:R528" si="214">K465-D465</f>
        <v>71289751.052307785</v>
      </c>
      <c r="S465" s="350">
        <f t="shared" ref="S465:S528" si="215">L465-E465</f>
        <v>107815524.88315406</v>
      </c>
      <c r="T465" s="350">
        <f t="shared" ref="T465:T528" si="216">M465-F465</f>
        <v>144900335.05378306</v>
      </c>
      <c r="U465" s="350">
        <f t="shared" ref="U465:U528" si="217">N465-G465</f>
        <v>182550493.58641642</v>
      </c>
      <c r="V465" s="350">
        <f t="shared" ref="V465:V528" si="218">O465-H465</f>
        <v>541864341.00413108</v>
      </c>
      <c r="W465" s="365"/>
      <c r="X465" s="377">
        <f t="shared" si="196"/>
        <v>0</v>
      </c>
      <c r="Y465" s="377">
        <f t="shared" si="197"/>
        <v>0</v>
      </c>
      <c r="Z465" s="377">
        <f t="shared" si="198"/>
        <v>0</v>
      </c>
      <c r="AA465" s="377">
        <f t="shared" si="199"/>
        <v>0</v>
      </c>
      <c r="AB465" s="377">
        <f t="shared" si="200"/>
        <v>0</v>
      </c>
      <c r="AC465" s="377">
        <f t="shared" si="201"/>
        <v>0</v>
      </c>
      <c r="AD465" s="376"/>
      <c r="AE465" s="332">
        <v>450</v>
      </c>
      <c r="AF465" s="350">
        <v>133255861.49632093</v>
      </c>
      <c r="AG465" s="350">
        <v>134348826.13532412</v>
      </c>
      <c r="AH465" s="350">
        <v>135395993.95978975</v>
      </c>
      <c r="AI465" s="350">
        <v>136445650.14266744</v>
      </c>
      <c r="AJ465" s="350">
        <v>137501055.23565027</v>
      </c>
      <c r="AK465" s="348">
        <v>676947386.96975255</v>
      </c>
      <c r="AL465" s="369"/>
      <c r="AM465" s="350">
        <v>170281880.34962833</v>
      </c>
      <c r="AN465" s="350">
        <v>209146952.15059868</v>
      </c>
      <c r="AO465" s="350">
        <v>248537589.52060467</v>
      </c>
      <c r="AP465" s="350">
        <v>288517575.91386819</v>
      </c>
      <c r="AQ465" s="350">
        <v>329096797.10474044</v>
      </c>
      <c r="AR465" s="348">
        <v>1245580795.0394402</v>
      </c>
      <c r="AS465" s="369"/>
      <c r="AT465" s="350">
        <f t="shared" ref="AT465:AT528" si="219">AM465-AF465</f>
        <v>37026018.853307396</v>
      </c>
      <c r="AU465" s="350">
        <f t="shared" si="202"/>
        <v>74798126.015274554</v>
      </c>
      <c r="AV465" s="350">
        <f t="shared" si="203"/>
        <v>113141595.56081492</v>
      </c>
      <c r="AW465" s="350">
        <f t="shared" si="204"/>
        <v>152071925.77120075</v>
      </c>
      <c r="AX465" s="350">
        <f t="shared" si="205"/>
        <v>191595741.86909017</v>
      </c>
      <c r="AY465" s="350">
        <f t="shared" si="206"/>
        <v>568633408.0696876</v>
      </c>
      <c r="AZ465" s="365"/>
      <c r="BA465" s="377">
        <f t="shared" si="207"/>
        <v>0</v>
      </c>
      <c r="BB465" s="377">
        <f t="shared" si="208"/>
        <v>0</v>
      </c>
      <c r="BC465" s="377">
        <f t="shared" si="209"/>
        <v>0</v>
      </c>
      <c r="BD465" s="377">
        <f t="shared" si="210"/>
        <v>0</v>
      </c>
      <c r="BE465" s="377">
        <f t="shared" si="211"/>
        <v>0</v>
      </c>
      <c r="BF465" s="377">
        <f t="shared" si="212"/>
        <v>0</v>
      </c>
      <c r="BG465" s="328"/>
    </row>
    <row r="466" spans="2:59">
      <c r="B466" s="332">
        <v>451</v>
      </c>
      <c r="C466" s="350">
        <v>127349921.66952123</v>
      </c>
      <c r="D466" s="350">
        <v>128394445.78727232</v>
      </c>
      <c r="E466" s="350">
        <v>129395202.81906886</v>
      </c>
      <c r="F466" s="350">
        <v>130398337.9244848</v>
      </c>
      <c r="G466" s="350">
        <v>131406967.14658238</v>
      </c>
      <c r="H466" s="348">
        <v>646944875.34692955</v>
      </c>
      <c r="I466" s="369"/>
      <c r="J466" s="350">
        <v>160116032.31862277</v>
      </c>
      <c r="K466" s="350">
        <v>194570659.77814776</v>
      </c>
      <c r="L466" s="350">
        <v>229486892.8694613</v>
      </c>
      <c r="M466" s="350">
        <v>264924591.02574307</v>
      </c>
      <c r="N466" s="350">
        <v>300892730.78778356</v>
      </c>
      <c r="O466" s="348">
        <v>1149990906.7797585</v>
      </c>
      <c r="P466" s="369"/>
      <c r="Q466" s="350">
        <f t="shared" si="213"/>
        <v>32766110.64910154</v>
      </c>
      <c r="R466" s="350">
        <f t="shared" si="214"/>
        <v>66176213.990875438</v>
      </c>
      <c r="S466" s="350">
        <f t="shared" si="215"/>
        <v>100091690.05039243</v>
      </c>
      <c r="T466" s="350">
        <f t="shared" si="216"/>
        <v>134526253.10125828</v>
      </c>
      <c r="U466" s="350">
        <f t="shared" si="217"/>
        <v>169485763.6412012</v>
      </c>
      <c r="V466" s="350">
        <f t="shared" si="218"/>
        <v>503046031.4328289</v>
      </c>
      <c r="W466" s="365"/>
      <c r="X466" s="377">
        <f t="shared" si="196"/>
        <v>0</v>
      </c>
      <c r="Y466" s="377">
        <f t="shared" si="197"/>
        <v>0</v>
      </c>
      <c r="Z466" s="377">
        <f t="shared" si="198"/>
        <v>0</v>
      </c>
      <c r="AA466" s="377">
        <f t="shared" si="199"/>
        <v>0</v>
      </c>
      <c r="AB466" s="377">
        <f t="shared" si="200"/>
        <v>0</v>
      </c>
      <c r="AC466" s="377">
        <f t="shared" si="201"/>
        <v>0</v>
      </c>
      <c r="AD466" s="376"/>
      <c r="AE466" s="332">
        <v>451</v>
      </c>
      <c r="AF466" s="350">
        <v>143051897.68926066</v>
      </c>
      <c r="AG466" s="350">
        <v>144225209.42175043</v>
      </c>
      <c r="AH466" s="350">
        <v>145349357.67914683</v>
      </c>
      <c r="AI466" s="350">
        <v>146476177.22161075</v>
      </c>
      <c r="AJ466" s="350">
        <v>147609168.29372412</v>
      </c>
      <c r="AK466" s="348">
        <v>726711810.30549288</v>
      </c>
      <c r="AL466" s="369"/>
      <c r="AM466" s="350">
        <v>176733640.25512773</v>
      </c>
      <c r="AN466" s="350">
        <v>212260459.00706837</v>
      </c>
      <c r="AO466" s="350">
        <v>248257761.77100423</v>
      </c>
      <c r="AP466" s="350">
        <v>284791481.36212999</v>
      </c>
      <c r="AQ466" s="350">
        <v>321871143.78350234</v>
      </c>
      <c r="AR466" s="348">
        <v>1243914486.1788325</v>
      </c>
      <c r="AS466" s="369"/>
      <c r="AT466" s="350">
        <f t="shared" si="219"/>
        <v>33681742.565867066</v>
      </c>
      <c r="AU466" s="350">
        <f t="shared" si="202"/>
        <v>68035249.58531794</v>
      </c>
      <c r="AV466" s="350">
        <f t="shared" si="203"/>
        <v>102908404.0918574</v>
      </c>
      <c r="AW466" s="350">
        <f t="shared" si="204"/>
        <v>138315304.14051923</v>
      </c>
      <c r="AX466" s="350">
        <f t="shared" si="205"/>
        <v>174261975.48977822</v>
      </c>
      <c r="AY466" s="350">
        <f t="shared" si="206"/>
        <v>517202675.87333965</v>
      </c>
      <c r="AZ466" s="365"/>
      <c r="BA466" s="377">
        <f t="shared" si="207"/>
        <v>0</v>
      </c>
      <c r="BB466" s="377">
        <f t="shared" si="208"/>
        <v>0</v>
      </c>
      <c r="BC466" s="377">
        <f t="shared" si="209"/>
        <v>0</v>
      </c>
      <c r="BD466" s="377">
        <f t="shared" si="210"/>
        <v>0</v>
      </c>
      <c r="BE466" s="377">
        <f t="shared" si="211"/>
        <v>0</v>
      </c>
      <c r="BF466" s="377">
        <f t="shared" si="212"/>
        <v>0</v>
      </c>
      <c r="BG466" s="328"/>
    </row>
    <row r="467" spans="2:59">
      <c r="B467" s="332">
        <v>452</v>
      </c>
      <c r="C467" s="350">
        <v>120361910.05549434</v>
      </c>
      <c r="D467" s="350">
        <v>121349118.4986829</v>
      </c>
      <c r="E467" s="350">
        <v>122294961.46638475</v>
      </c>
      <c r="F467" s="350">
        <v>123243052.01680458</v>
      </c>
      <c r="G467" s="350">
        <v>124196335.20785743</v>
      </c>
      <c r="H467" s="348">
        <v>611445377.245224</v>
      </c>
      <c r="I467" s="369"/>
      <c r="J467" s="350">
        <v>150511684.06104261</v>
      </c>
      <c r="K467" s="350">
        <v>182247956.75160205</v>
      </c>
      <c r="L467" s="350">
        <v>214407987.9990252</v>
      </c>
      <c r="M467" s="350">
        <v>247048010.43935865</v>
      </c>
      <c r="N467" s="350">
        <v>280176362.69987112</v>
      </c>
      <c r="O467" s="348">
        <v>1074392001.9508996</v>
      </c>
      <c r="P467" s="369"/>
      <c r="Q467" s="350">
        <f t="shared" si="213"/>
        <v>30149774.005548269</v>
      </c>
      <c r="R467" s="350">
        <f t="shared" si="214"/>
        <v>60898838.252919152</v>
      </c>
      <c r="S467" s="350">
        <f t="shared" si="215"/>
        <v>92113026.532640442</v>
      </c>
      <c r="T467" s="350">
        <f t="shared" si="216"/>
        <v>123804958.42255408</v>
      </c>
      <c r="U467" s="350">
        <f t="shared" si="217"/>
        <v>155980027.49201369</v>
      </c>
      <c r="V467" s="350">
        <f t="shared" si="218"/>
        <v>462946624.7056756</v>
      </c>
      <c r="W467" s="365"/>
      <c r="X467" s="377">
        <f t="shared" si="196"/>
        <v>0</v>
      </c>
      <c r="Y467" s="377">
        <f t="shared" si="197"/>
        <v>0</v>
      </c>
      <c r="Z467" s="377">
        <f t="shared" si="198"/>
        <v>0</v>
      </c>
      <c r="AA467" s="377">
        <f t="shared" si="199"/>
        <v>0</v>
      </c>
      <c r="AB467" s="377">
        <f t="shared" si="200"/>
        <v>0</v>
      </c>
      <c r="AC467" s="377">
        <f t="shared" si="201"/>
        <v>0</v>
      </c>
      <c r="AD467" s="376"/>
      <c r="AE467" s="332">
        <v>452</v>
      </c>
      <c r="AF467" s="350">
        <v>150058123.39554062</v>
      </c>
      <c r="AG467" s="350">
        <v>151288900.19458616</v>
      </c>
      <c r="AH467" s="350">
        <v>152468105.64832789</v>
      </c>
      <c r="AI467" s="350">
        <v>153650113.21815997</v>
      </c>
      <c r="AJ467" s="350">
        <v>154838594.57948062</v>
      </c>
      <c r="AK467" s="348">
        <v>762303837.03609526</v>
      </c>
      <c r="AL467" s="369"/>
      <c r="AM467" s="350">
        <v>188377716.02815813</v>
      </c>
      <c r="AN467" s="350">
        <v>228697294.81448212</v>
      </c>
      <c r="AO467" s="350">
        <v>269556580.35292274</v>
      </c>
      <c r="AP467" s="350">
        <v>311025985.68418813</v>
      </c>
      <c r="AQ467" s="350">
        <v>353116038.72145528</v>
      </c>
      <c r="AR467" s="348">
        <v>1350773615.6012065</v>
      </c>
      <c r="AS467" s="369"/>
      <c r="AT467" s="350">
        <f t="shared" si="219"/>
        <v>38319592.632617503</v>
      </c>
      <c r="AU467" s="350">
        <f t="shared" si="202"/>
        <v>77408394.619895965</v>
      </c>
      <c r="AV467" s="350">
        <f t="shared" si="203"/>
        <v>117088474.70459485</v>
      </c>
      <c r="AW467" s="350">
        <f t="shared" si="204"/>
        <v>157375872.46602815</v>
      </c>
      <c r="AX467" s="350">
        <f t="shared" si="205"/>
        <v>198277444.14197466</v>
      </c>
      <c r="AY467" s="350">
        <f t="shared" si="206"/>
        <v>588469778.56511128</v>
      </c>
      <c r="AZ467" s="365"/>
      <c r="BA467" s="377">
        <f t="shared" si="207"/>
        <v>0</v>
      </c>
      <c r="BB467" s="377">
        <f t="shared" si="208"/>
        <v>0</v>
      </c>
      <c r="BC467" s="377">
        <f t="shared" si="209"/>
        <v>0</v>
      </c>
      <c r="BD467" s="377">
        <f t="shared" si="210"/>
        <v>0</v>
      </c>
      <c r="BE467" s="377">
        <f t="shared" si="211"/>
        <v>0</v>
      </c>
      <c r="BF467" s="377">
        <f t="shared" si="212"/>
        <v>0</v>
      </c>
      <c r="BG467" s="328"/>
    </row>
    <row r="468" spans="2:59">
      <c r="B468" s="332">
        <v>453</v>
      </c>
      <c r="C468" s="350">
        <v>123812549.81986263</v>
      </c>
      <c r="D468" s="350">
        <v>124828060.41203021</v>
      </c>
      <c r="E468" s="350">
        <v>125801019.62733641</v>
      </c>
      <c r="F468" s="350">
        <v>126776290.86101386</v>
      </c>
      <c r="G468" s="350">
        <v>127756903.6024555</v>
      </c>
      <c r="H468" s="348">
        <v>628974824.32269859</v>
      </c>
      <c r="I468" s="369"/>
      <c r="J468" s="350">
        <v>152726346.70702505</v>
      </c>
      <c r="K468" s="350">
        <v>183244454.6571101</v>
      </c>
      <c r="L468" s="350">
        <v>214166287.15854192</v>
      </c>
      <c r="M468" s="350">
        <v>245548810.6324226</v>
      </c>
      <c r="N468" s="350">
        <v>277400229.17930084</v>
      </c>
      <c r="O468" s="348">
        <v>1073086128.3344004</v>
      </c>
      <c r="P468" s="369"/>
      <c r="Q468" s="350">
        <f t="shared" si="213"/>
        <v>28913796.887162417</v>
      </c>
      <c r="R468" s="350">
        <f t="shared" si="214"/>
        <v>58416394.24507989</v>
      </c>
      <c r="S468" s="350">
        <f t="shared" si="215"/>
        <v>88365267.531205505</v>
      </c>
      <c r="T468" s="350">
        <f t="shared" si="216"/>
        <v>118772519.77140874</v>
      </c>
      <c r="U468" s="350">
        <f t="shared" si="217"/>
        <v>149643325.57684535</v>
      </c>
      <c r="V468" s="350">
        <f t="shared" si="218"/>
        <v>444111304.01170182</v>
      </c>
      <c r="W468" s="365"/>
      <c r="X468" s="377">
        <f t="shared" si="196"/>
        <v>0</v>
      </c>
      <c r="Y468" s="377">
        <f t="shared" si="197"/>
        <v>0</v>
      </c>
      <c r="Z468" s="377">
        <f t="shared" si="198"/>
        <v>0</v>
      </c>
      <c r="AA468" s="377">
        <f t="shared" si="199"/>
        <v>0</v>
      </c>
      <c r="AB468" s="377">
        <f t="shared" si="200"/>
        <v>0</v>
      </c>
      <c r="AC468" s="377">
        <f t="shared" si="201"/>
        <v>0</v>
      </c>
      <c r="AD468" s="376"/>
      <c r="AE468" s="332">
        <v>453</v>
      </c>
      <c r="AF468" s="350">
        <v>115023440.19866341</v>
      </c>
      <c r="AG468" s="350">
        <v>115966862.50956196</v>
      </c>
      <c r="AH468" s="350">
        <v>116870754.0478619</v>
      </c>
      <c r="AI468" s="350">
        <v>117776793.48075932</v>
      </c>
      <c r="AJ468" s="350">
        <v>118687795.24259496</v>
      </c>
      <c r="AK468" s="348">
        <v>584325645.47944164</v>
      </c>
      <c r="AL468" s="369"/>
      <c r="AM468" s="350">
        <v>147057908.31807768</v>
      </c>
      <c r="AN468" s="350">
        <v>180686395.81316093</v>
      </c>
      <c r="AO468" s="350">
        <v>214769767.78085101</v>
      </c>
      <c r="AP468" s="350">
        <v>249363112.09855387</v>
      </c>
      <c r="AQ468" s="350">
        <v>284474976.04092407</v>
      </c>
      <c r="AR468" s="348">
        <v>1076352160.0515676</v>
      </c>
      <c r="AS468" s="369"/>
      <c r="AT468" s="350">
        <f t="shared" si="219"/>
        <v>32034468.11941427</v>
      </c>
      <c r="AU468" s="350">
        <f t="shared" si="202"/>
        <v>64719533.30359897</v>
      </c>
      <c r="AV468" s="350">
        <f t="shared" si="203"/>
        <v>97899013.732989103</v>
      </c>
      <c r="AW468" s="350">
        <f t="shared" si="204"/>
        <v>131586318.61779454</v>
      </c>
      <c r="AX468" s="350">
        <f t="shared" si="205"/>
        <v>165787180.79832911</v>
      </c>
      <c r="AY468" s="350">
        <f t="shared" si="206"/>
        <v>492026514.57212591</v>
      </c>
      <c r="AZ468" s="365"/>
      <c r="BA468" s="377">
        <f t="shared" si="207"/>
        <v>0</v>
      </c>
      <c r="BB468" s="377">
        <f t="shared" si="208"/>
        <v>0</v>
      </c>
      <c r="BC468" s="377">
        <f t="shared" si="209"/>
        <v>0</v>
      </c>
      <c r="BD468" s="377">
        <f t="shared" si="210"/>
        <v>0</v>
      </c>
      <c r="BE468" s="377">
        <f t="shared" si="211"/>
        <v>0</v>
      </c>
      <c r="BF468" s="377">
        <f t="shared" si="212"/>
        <v>0</v>
      </c>
      <c r="BG468" s="328"/>
    </row>
    <row r="469" spans="2:59">
      <c r="B469" s="332">
        <v>454</v>
      </c>
      <c r="C469" s="350">
        <v>126234365.344648</v>
      </c>
      <c r="D469" s="350">
        <v>127269739.66889502</v>
      </c>
      <c r="E469" s="350">
        <v>128261730.29689762</v>
      </c>
      <c r="F469" s="350">
        <v>129256078.16713595</v>
      </c>
      <c r="G469" s="350">
        <v>130255872.02684455</v>
      </c>
      <c r="H469" s="348">
        <v>641277785.50442111</v>
      </c>
      <c r="I469" s="369"/>
      <c r="J469" s="350">
        <v>163238486.24533743</v>
      </c>
      <c r="K469" s="350">
        <v>202022702.40054271</v>
      </c>
      <c r="L469" s="350">
        <v>241334544.89036772</v>
      </c>
      <c r="M469" s="350">
        <v>281235243.71710122</v>
      </c>
      <c r="N469" s="350">
        <v>321734508.79097629</v>
      </c>
      <c r="O469" s="348">
        <v>1209565486.0443254</v>
      </c>
      <c r="P469" s="369"/>
      <c r="Q469" s="350">
        <f t="shared" si="213"/>
        <v>37004120.900689423</v>
      </c>
      <c r="R469" s="350">
        <f t="shared" si="214"/>
        <v>74752962.731647685</v>
      </c>
      <c r="S469" s="350">
        <f t="shared" si="215"/>
        <v>113072814.5934701</v>
      </c>
      <c r="T469" s="350">
        <f t="shared" si="216"/>
        <v>151979165.54996526</v>
      </c>
      <c r="U469" s="350">
        <f t="shared" si="217"/>
        <v>191478636.76413172</v>
      </c>
      <c r="V469" s="350">
        <f t="shared" si="218"/>
        <v>568287700.53990424</v>
      </c>
      <c r="W469" s="365"/>
      <c r="X469" s="377">
        <f t="shared" si="196"/>
        <v>0</v>
      </c>
      <c r="Y469" s="377">
        <f t="shared" si="197"/>
        <v>0</v>
      </c>
      <c r="Z469" s="377">
        <f t="shared" si="198"/>
        <v>0</v>
      </c>
      <c r="AA469" s="377">
        <f t="shared" si="199"/>
        <v>0</v>
      </c>
      <c r="AB469" s="377">
        <f t="shared" si="200"/>
        <v>0</v>
      </c>
      <c r="AC469" s="377">
        <f t="shared" si="201"/>
        <v>0</v>
      </c>
      <c r="AD469" s="376"/>
      <c r="AE469" s="332">
        <v>454</v>
      </c>
      <c r="AF469" s="350">
        <v>123242357.69584939</v>
      </c>
      <c r="AG469" s="350">
        <v>124253191.57194611</v>
      </c>
      <c r="AH469" s="350">
        <v>125221670.03241482</v>
      </c>
      <c r="AI469" s="350">
        <v>126192449.86375035</v>
      </c>
      <c r="AJ469" s="350">
        <v>127168546.60368252</v>
      </c>
      <c r="AK469" s="348">
        <v>626078215.76764321</v>
      </c>
      <c r="AL469" s="369"/>
      <c r="AM469" s="350">
        <v>159738655.6146225</v>
      </c>
      <c r="AN469" s="350">
        <v>197940454.77411225</v>
      </c>
      <c r="AO469" s="350">
        <v>236662451.38478523</v>
      </c>
      <c r="AP469" s="350">
        <v>275964576.52072293</v>
      </c>
      <c r="AQ469" s="350">
        <v>315856369.93741262</v>
      </c>
      <c r="AR469" s="348">
        <v>1186162508.2316556</v>
      </c>
      <c r="AS469" s="369"/>
      <c r="AT469" s="350">
        <f t="shared" si="219"/>
        <v>36496297.918773115</v>
      </c>
      <c r="AU469" s="350">
        <f t="shared" si="202"/>
        <v>73687263.20216614</v>
      </c>
      <c r="AV469" s="350">
        <f t="shared" si="203"/>
        <v>111440781.35237041</v>
      </c>
      <c r="AW469" s="350">
        <f t="shared" si="204"/>
        <v>149772126.65697259</v>
      </c>
      <c r="AX469" s="350">
        <f t="shared" si="205"/>
        <v>188687823.3337301</v>
      </c>
      <c r="AY469" s="350">
        <f t="shared" si="206"/>
        <v>560084292.46401238</v>
      </c>
      <c r="AZ469" s="365"/>
      <c r="BA469" s="377">
        <f t="shared" si="207"/>
        <v>0</v>
      </c>
      <c r="BB469" s="377">
        <f t="shared" si="208"/>
        <v>0</v>
      </c>
      <c r="BC469" s="377">
        <f t="shared" si="209"/>
        <v>0</v>
      </c>
      <c r="BD469" s="377">
        <f t="shared" si="210"/>
        <v>0</v>
      </c>
      <c r="BE469" s="377">
        <f t="shared" si="211"/>
        <v>0</v>
      </c>
      <c r="BF469" s="377">
        <f t="shared" si="212"/>
        <v>0</v>
      </c>
      <c r="BG469" s="328"/>
    </row>
    <row r="470" spans="2:59">
      <c r="B470" s="332">
        <v>455</v>
      </c>
      <c r="C470" s="350">
        <v>129300210.44587074</v>
      </c>
      <c r="D470" s="350">
        <v>130360730.83308764</v>
      </c>
      <c r="E470" s="350">
        <v>131376813.86729847</v>
      </c>
      <c r="F470" s="350">
        <v>132395311.39392053</v>
      </c>
      <c r="G470" s="350">
        <v>133419387.17637375</v>
      </c>
      <c r="H470" s="348">
        <v>656852453.71655118</v>
      </c>
      <c r="I470" s="369"/>
      <c r="J470" s="350">
        <v>169657634.66510844</v>
      </c>
      <c r="K470" s="350">
        <v>211864743.80957758</v>
      </c>
      <c r="L470" s="350">
        <v>254649811.19541711</v>
      </c>
      <c r="M470" s="350">
        <v>298076580.06621039</v>
      </c>
      <c r="N470" s="350">
        <v>342155431.83905607</v>
      </c>
      <c r="O470" s="348">
        <v>1276404201.5753696</v>
      </c>
      <c r="P470" s="369"/>
      <c r="Q470" s="350">
        <f t="shared" si="213"/>
        <v>40357424.2192377</v>
      </c>
      <c r="R470" s="350">
        <f t="shared" si="214"/>
        <v>81504012.976489946</v>
      </c>
      <c r="S470" s="350">
        <f t="shared" si="215"/>
        <v>123272997.32811864</v>
      </c>
      <c r="T470" s="350">
        <f t="shared" si="216"/>
        <v>165681268.67228985</v>
      </c>
      <c r="U470" s="350">
        <f t="shared" si="217"/>
        <v>208736044.66268232</v>
      </c>
      <c r="V470" s="350">
        <f t="shared" si="218"/>
        <v>619551747.85881841</v>
      </c>
      <c r="W470" s="365"/>
      <c r="X470" s="377">
        <f t="shared" si="196"/>
        <v>0</v>
      </c>
      <c r="Y470" s="377">
        <f t="shared" si="197"/>
        <v>0</v>
      </c>
      <c r="Z470" s="377">
        <f t="shared" si="198"/>
        <v>0</v>
      </c>
      <c r="AA470" s="377">
        <f t="shared" si="199"/>
        <v>0</v>
      </c>
      <c r="AB470" s="377">
        <f t="shared" si="200"/>
        <v>0</v>
      </c>
      <c r="AC470" s="377">
        <f t="shared" si="201"/>
        <v>0</v>
      </c>
      <c r="AD470" s="376"/>
      <c r="AE470" s="332">
        <v>455</v>
      </c>
      <c r="AF470" s="350">
        <v>109031843.61950418</v>
      </c>
      <c r="AG470" s="350">
        <v>109926122.85242727</v>
      </c>
      <c r="AH470" s="350">
        <v>110782930.47948745</v>
      </c>
      <c r="AI470" s="350">
        <v>111641774.11683786</v>
      </c>
      <c r="AJ470" s="350">
        <v>112505321.59430856</v>
      </c>
      <c r="AK470" s="348">
        <v>553887992.66256523</v>
      </c>
      <c r="AL470" s="369"/>
      <c r="AM470" s="350">
        <v>142609428.56942141</v>
      </c>
      <c r="AN470" s="350">
        <v>177735822.62561843</v>
      </c>
      <c r="AO470" s="350">
        <v>213342549.31954473</v>
      </c>
      <c r="AP470" s="350">
        <v>249483169.88327146</v>
      </c>
      <c r="AQ470" s="350">
        <v>286166356.95738506</v>
      </c>
      <c r="AR470" s="348">
        <v>1069337327.3552411</v>
      </c>
      <c r="AS470" s="369"/>
      <c r="AT470" s="350">
        <f t="shared" si="219"/>
        <v>33577584.949917227</v>
      </c>
      <c r="AU470" s="350">
        <f t="shared" si="202"/>
        <v>67809699.773191154</v>
      </c>
      <c r="AV470" s="350">
        <f t="shared" si="203"/>
        <v>102559618.84005728</v>
      </c>
      <c r="AW470" s="350">
        <f t="shared" si="204"/>
        <v>137841395.7664336</v>
      </c>
      <c r="AX470" s="350">
        <f t="shared" si="205"/>
        <v>173661035.36307651</v>
      </c>
      <c r="AY470" s="350">
        <f t="shared" si="206"/>
        <v>515449334.69267583</v>
      </c>
      <c r="AZ470" s="365"/>
      <c r="BA470" s="377">
        <f t="shared" si="207"/>
        <v>0</v>
      </c>
      <c r="BB470" s="377">
        <f t="shared" si="208"/>
        <v>0</v>
      </c>
      <c r="BC470" s="377">
        <f t="shared" si="209"/>
        <v>0</v>
      </c>
      <c r="BD470" s="377">
        <f t="shared" si="210"/>
        <v>0</v>
      </c>
      <c r="BE470" s="377">
        <f t="shared" si="211"/>
        <v>0</v>
      </c>
      <c r="BF470" s="377">
        <f t="shared" si="212"/>
        <v>0</v>
      </c>
      <c r="BG470" s="328"/>
    </row>
    <row r="471" spans="2:59">
      <c r="B471" s="332">
        <v>456</v>
      </c>
      <c r="C471" s="350">
        <v>136921451.00852671</v>
      </c>
      <c r="D471" s="350">
        <v>138044480.81444231</v>
      </c>
      <c r="E471" s="350">
        <v>139120454.03141961</v>
      </c>
      <c r="F471" s="350">
        <v>140198984.05633456</v>
      </c>
      <c r="G471" s="350">
        <v>141283421.13182473</v>
      </c>
      <c r="H471" s="348">
        <v>695568791.04254794</v>
      </c>
      <c r="I471" s="369"/>
      <c r="J471" s="350">
        <v>175813328.18178999</v>
      </c>
      <c r="K471" s="350">
        <v>216595093.87256083</v>
      </c>
      <c r="L471" s="350">
        <v>257929695.79948011</v>
      </c>
      <c r="M471" s="350">
        <v>299883025.71314967</v>
      </c>
      <c r="N471" s="350">
        <v>342465390.37625027</v>
      </c>
      <c r="O471" s="348">
        <v>1292686533.9432309</v>
      </c>
      <c r="P471" s="369"/>
      <c r="Q471" s="350">
        <f t="shared" si="213"/>
        <v>38891877.173263282</v>
      </c>
      <c r="R471" s="350">
        <f t="shared" si="214"/>
        <v>78550613.058118522</v>
      </c>
      <c r="S471" s="350">
        <f t="shared" si="215"/>
        <v>118809241.76806051</v>
      </c>
      <c r="T471" s="350">
        <f t="shared" si="216"/>
        <v>159684041.65681511</v>
      </c>
      <c r="U471" s="350">
        <f t="shared" si="217"/>
        <v>201181969.24442554</v>
      </c>
      <c r="V471" s="350">
        <f t="shared" si="218"/>
        <v>597117742.90068293</v>
      </c>
      <c r="W471" s="365"/>
      <c r="X471" s="377">
        <f t="shared" si="196"/>
        <v>0</v>
      </c>
      <c r="Y471" s="377">
        <f t="shared" si="197"/>
        <v>0</v>
      </c>
      <c r="Z471" s="377">
        <f t="shared" si="198"/>
        <v>0</v>
      </c>
      <c r="AA471" s="377">
        <f t="shared" si="199"/>
        <v>0</v>
      </c>
      <c r="AB471" s="377">
        <f t="shared" si="200"/>
        <v>0</v>
      </c>
      <c r="AC471" s="377">
        <f t="shared" si="201"/>
        <v>0</v>
      </c>
      <c r="AD471" s="376"/>
      <c r="AE471" s="332">
        <v>456</v>
      </c>
      <c r="AF471" s="350">
        <v>119071117.63864979</v>
      </c>
      <c r="AG471" s="350">
        <v>120047739.00182499</v>
      </c>
      <c r="AH471" s="350">
        <v>120983438.50362745</v>
      </c>
      <c r="AI471" s="350">
        <v>121921361.48448646</v>
      </c>
      <c r="AJ471" s="350">
        <v>122864421.41875026</v>
      </c>
      <c r="AK471" s="348">
        <v>604888078.04733896</v>
      </c>
      <c r="AL471" s="369"/>
      <c r="AM471" s="350">
        <v>149694806.42912853</v>
      </c>
      <c r="AN471" s="350">
        <v>181890343.02128822</v>
      </c>
      <c r="AO471" s="350">
        <v>214517182.72531217</v>
      </c>
      <c r="AP471" s="350">
        <v>247631288.07340559</v>
      </c>
      <c r="AQ471" s="350">
        <v>281241048.8308813</v>
      </c>
      <c r="AR471" s="348">
        <v>1074974669.0800159</v>
      </c>
      <c r="AS471" s="369"/>
      <c r="AT471" s="350">
        <f t="shared" si="219"/>
        <v>30623688.790478736</v>
      </c>
      <c r="AU471" s="350">
        <f t="shared" si="202"/>
        <v>61842604.019463226</v>
      </c>
      <c r="AV471" s="350">
        <f t="shared" si="203"/>
        <v>93533744.221684724</v>
      </c>
      <c r="AW471" s="350">
        <f t="shared" si="204"/>
        <v>125709926.58891913</v>
      </c>
      <c r="AX471" s="350">
        <f t="shared" si="205"/>
        <v>158376627.41213104</v>
      </c>
      <c r="AY471" s="350">
        <f t="shared" si="206"/>
        <v>470086591.03267694</v>
      </c>
      <c r="AZ471" s="365"/>
      <c r="BA471" s="377">
        <f t="shared" si="207"/>
        <v>0</v>
      </c>
      <c r="BB471" s="377">
        <f t="shared" si="208"/>
        <v>0</v>
      </c>
      <c r="BC471" s="377">
        <f t="shared" si="209"/>
        <v>0</v>
      </c>
      <c r="BD471" s="377">
        <f t="shared" si="210"/>
        <v>0</v>
      </c>
      <c r="BE471" s="377">
        <f t="shared" si="211"/>
        <v>0</v>
      </c>
      <c r="BF471" s="377">
        <f t="shared" si="212"/>
        <v>0</v>
      </c>
      <c r="BG471" s="328"/>
    </row>
    <row r="472" spans="2:59">
      <c r="B472" s="332">
        <v>457</v>
      </c>
      <c r="C472" s="350">
        <v>139234195.35561657</v>
      </c>
      <c r="D472" s="350">
        <v>140376194.29176053</v>
      </c>
      <c r="E472" s="350">
        <v>141470341.80470729</v>
      </c>
      <c r="F472" s="350">
        <v>142567089.3127113</v>
      </c>
      <c r="G472" s="350">
        <v>143669843.6474596</v>
      </c>
      <c r="H472" s="348">
        <v>707317664.41225541</v>
      </c>
      <c r="I472" s="369"/>
      <c r="J472" s="350">
        <v>171820134.958639</v>
      </c>
      <c r="K472" s="350">
        <v>206214547.10464334</v>
      </c>
      <c r="L472" s="350">
        <v>241064107.303794</v>
      </c>
      <c r="M472" s="350">
        <v>276432907.28317183</v>
      </c>
      <c r="N472" s="350">
        <v>312330186.11912501</v>
      </c>
      <c r="O472" s="348">
        <v>1207861882.7693734</v>
      </c>
      <c r="P472" s="369"/>
      <c r="Q472" s="350">
        <f t="shared" si="213"/>
        <v>32585939.603022426</v>
      </c>
      <c r="R472" s="350">
        <f t="shared" si="214"/>
        <v>65838352.812882811</v>
      </c>
      <c r="S472" s="350">
        <f t="shared" si="215"/>
        <v>99593765.499086708</v>
      </c>
      <c r="T472" s="350">
        <f t="shared" si="216"/>
        <v>133865817.97046053</v>
      </c>
      <c r="U472" s="350">
        <f t="shared" si="217"/>
        <v>168660342.47166541</v>
      </c>
      <c r="V472" s="350">
        <f t="shared" si="218"/>
        <v>500544218.35711801</v>
      </c>
      <c r="W472" s="365"/>
      <c r="X472" s="377">
        <f t="shared" si="196"/>
        <v>0</v>
      </c>
      <c r="Y472" s="377">
        <f t="shared" si="197"/>
        <v>0</v>
      </c>
      <c r="Z472" s="377">
        <f t="shared" si="198"/>
        <v>0</v>
      </c>
      <c r="AA472" s="377">
        <f t="shared" si="199"/>
        <v>0</v>
      </c>
      <c r="AB472" s="377">
        <f t="shared" si="200"/>
        <v>0</v>
      </c>
      <c r="AC472" s="377">
        <f t="shared" si="201"/>
        <v>0</v>
      </c>
      <c r="AD472" s="376"/>
      <c r="AE472" s="332">
        <v>457</v>
      </c>
      <c r="AF472" s="350">
        <v>121870651.30735244</v>
      </c>
      <c r="AG472" s="350">
        <v>122870234.44700213</v>
      </c>
      <c r="AH472" s="350">
        <v>123827933.59331143</v>
      </c>
      <c r="AI472" s="350">
        <v>124787908.49587601</v>
      </c>
      <c r="AJ472" s="350">
        <v>125753141.1290271</v>
      </c>
      <c r="AK472" s="348">
        <v>619109868.97256911</v>
      </c>
      <c r="AL472" s="369"/>
      <c r="AM472" s="350">
        <v>151150271.25277606</v>
      </c>
      <c r="AN472" s="350">
        <v>182015475.55536854</v>
      </c>
      <c r="AO472" s="350">
        <v>213290558.3963232</v>
      </c>
      <c r="AP472" s="350">
        <v>245031935.11149722</v>
      </c>
      <c r="AQ472" s="350">
        <v>277247826.19216889</v>
      </c>
      <c r="AR472" s="348">
        <v>1068736066.5081339</v>
      </c>
      <c r="AS472" s="369"/>
      <c r="AT472" s="350">
        <f t="shared" si="219"/>
        <v>29279619.945423618</v>
      </c>
      <c r="AU472" s="350">
        <f t="shared" si="202"/>
        <v>59145241.108366415</v>
      </c>
      <c r="AV472" s="350">
        <f t="shared" si="203"/>
        <v>89462624.803011775</v>
      </c>
      <c r="AW472" s="350">
        <f t="shared" si="204"/>
        <v>120244026.61562121</v>
      </c>
      <c r="AX472" s="350">
        <f t="shared" si="205"/>
        <v>151494685.06314179</v>
      </c>
      <c r="AY472" s="350">
        <f t="shared" si="206"/>
        <v>449626197.53556478</v>
      </c>
      <c r="AZ472" s="365"/>
      <c r="BA472" s="377">
        <f t="shared" si="207"/>
        <v>0</v>
      </c>
      <c r="BB472" s="377">
        <f t="shared" si="208"/>
        <v>0</v>
      </c>
      <c r="BC472" s="377">
        <f t="shared" si="209"/>
        <v>0</v>
      </c>
      <c r="BD472" s="377">
        <f t="shared" si="210"/>
        <v>0</v>
      </c>
      <c r="BE472" s="377">
        <f t="shared" si="211"/>
        <v>0</v>
      </c>
      <c r="BF472" s="377">
        <f t="shared" si="212"/>
        <v>0</v>
      </c>
      <c r="BG472" s="328"/>
    </row>
    <row r="473" spans="2:59">
      <c r="B473" s="332">
        <v>458</v>
      </c>
      <c r="C473" s="350">
        <v>155049454.1120047</v>
      </c>
      <c r="D473" s="350">
        <v>156321169.80794686</v>
      </c>
      <c r="E473" s="350">
        <v>157539598.75901812</v>
      </c>
      <c r="F473" s="350">
        <v>158760923.0319843</v>
      </c>
      <c r="G473" s="350">
        <v>159988936.43189421</v>
      </c>
      <c r="H473" s="348">
        <v>787660082.14284813</v>
      </c>
      <c r="I473" s="369"/>
      <c r="J473" s="350">
        <v>197884320.82297331</v>
      </c>
      <c r="K473" s="350">
        <v>242812225.92635486</v>
      </c>
      <c r="L473" s="350">
        <v>288347193.31597966</v>
      </c>
      <c r="M473" s="350">
        <v>334563332.47298133</v>
      </c>
      <c r="N473" s="350">
        <v>381472095.44396615</v>
      </c>
      <c r="O473" s="348">
        <v>1445079167.9822555</v>
      </c>
      <c r="P473" s="369"/>
      <c r="Q473" s="350">
        <f t="shared" si="213"/>
        <v>42834866.710968614</v>
      </c>
      <c r="R473" s="350">
        <f t="shared" si="214"/>
        <v>86491056.118407995</v>
      </c>
      <c r="S473" s="350">
        <f t="shared" si="215"/>
        <v>130807594.55696154</v>
      </c>
      <c r="T473" s="350">
        <f t="shared" si="216"/>
        <v>175802409.44099703</v>
      </c>
      <c r="U473" s="350">
        <f t="shared" si="217"/>
        <v>221483159.01207194</v>
      </c>
      <c r="V473" s="350">
        <f t="shared" si="218"/>
        <v>657419085.83940732</v>
      </c>
      <c r="W473" s="365"/>
      <c r="X473" s="377">
        <f t="shared" si="196"/>
        <v>0</v>
      </c>
      <c r="Y473" s="377">
        <f t="shared" si="197"/>
        <v>0</v>
      </c>
      <c r="Z473" s="377">
        <f t="shared" si="198"/>
        <v>0</v>
      </c>
      <c r="AA473" s="377">
        <f t="shared" si="199"/>
        <v>0</v>
      </c>
      <c r="AB473" s="377">
        <f t="shared" si="200"/>
        <v>0</v>
      </c>
      <c r="AC473" s="377">
        <f t="shared" si="201"/>
        <v>0</v>
      </c>
      <c r="AD473" s="376"/>
      <c r="AE473" s="332">
        <v>458</v>
      </c>
      <c r="AF473" s="350">
        <v>128316020.70023265</v>
      </c>
      <c r="AG473" s="350">
        <v>129368468.76269048</v>
      </c>
      <c r="AH473" s="350">
        <v>130376817.71433839</v>
      </c>
      <c r="AI473" s="350">
        <v>131387562.78009281</v>
      </c>
      <c r="AJ473" s="350">
        <v>132403843.64186978</v>
      </c>
      <c r="AK473" s="348">
        <v>651852713.59922409</v>
      </c>
      <c r="AL473" s="369"/>
      <c r="AM473" s="350">
        <v>159068200.5048936</v>
      </c>
      <c r="AN473" s="350">
        <v>191502495.50933918</v>
      </c>
      <c r="AO473" s="350">
        <v>224367395.69646597</v>
      </c>
      <c r="AP473" s="350">
        <v>257722269.03632069</v>
      </c>
      <c r="AQ473" s="350">
        <v>291575759.35511351</v>
      </c>
      <c r="AR473" s="348">
        <v>1124236120.1021328</v>
      </c>
      <c r="AS473" s="369"/>
      <c r="AT473" s="350">
        <f t="shared" si="219"/>
        <v>30752179.804660946</v>
      </c>
      <c r="AU473" s="350">
        <f t="shared" si="202"/>
        <v>62134026.746648699</v>
      </c>
      <c r="AV473" s="350">
        <f t="shared" si="203"/>
        <v>93990577.982127577</v>
      </c>
      <c r="AW473" s="350">
        <f t="shared" si="204"/>
        <v>126334706.25622788</v>
      </c>
      <c r="AX473" s="350">
        <f t="shared" si="205"/>
        <v>159171915.71324372</v>
      </c>
      <c r="AY473" s="350">
        <f t="shared" si="206"/>
        <v>472383406.50290871</v>
      </c>
      <c r="AZ473" s="365"/>
      <c r="BA473" s="377">
        <f t="shared" si="207"/>
        <v>0</v>
      </c>
      <c r="BB473" s="377">
        <f t="shared" si="208"/>
        <v>0</v>
      </c>
      <c r="BC473" s="377">
        <f t="shared" si="209"/>
        <v>0</v>
      </c>
      <c r="BD473" s="377">
        <f t="shared" si="210"/>
        <v>0</v>
      </c>
      <c r="BE473" s="377">
        <f t="shared" si="211"/>
        <v>0</v>
      </c>
      <c r="BF473" s="377">
        <f t="shared" si="212"/>
        <v>0</v>
      </c>
      <c r="BG473" s="328"/>
    </row>
    <row r="474" spans="2:59">
      <c r="B474" s="332">
        <v>459</v>
      </c>
      <c r="C474" s="350">
        <v>120074723.50329678</v>
      </c>
      <c r="D474" s="350">
        <v>121059576.44224842</v>
      </c>
      <c r="E474" s="350">
        <v>122003162.60478087</v>
      </c>
      <c r="F474" s="350">
        <v>122948990.98724222</v>
      </c>
      <c r="G474" s="350">
        <v>123899999.62056516</v>
      </c>
      <c r="H474" s="348">
        <v>609986453.15813339</v>
      </c>
      <c r="I474" s="369"/>
      <c r="J474" s="350">
        <v>151322699.01326996</v>
      </c>
      <c r="K474" s="350">
        <v>184170645.00778532</v>
      </c>
      <c r="L474" s="350">
        <v>217459296.77895838</v>
      </c>
      <c r="M474" s="350">
        <v>251245242.23393515</v>
      </c>
      <c r="N474" s="350">
        <v>285537008.51692581</v>
      </c>
      <c r="O474" s="348">
        <v>1089734891.5508747</v>
      </c>
      <c r="P474" s="369"/>
      <c r="Q474" s="350">
        <f t="shared" si="213"/>
        <v>31247975.509973183</v>
      </c>
      <c r="R474" s="350">
        <f t="shared" si="214"/>
        <v>63111068.565536901</v>
      </c>
      <c r="S474" s="350">
        <f t="shared" si="215"/>
        <v>95456134.174177513</v>
      </c>
      <c r="T474" s="350">
        <f t="shared" si="216"/>
        <v>128296251.24669293</v>
      </c>
      <c r="U474" s="350">
        <f t="shared" si="217"/>
        <v>161637008.89636064</v>
      </c>
      <c r="V474" s="350">
        <f t="shared" si="218"/>
        <v>479748438.39274132</v>
      </c>
      <c r="W474" s="365"/>
      <c r="X474" s="377">
        <f t="shared" si="196"/>
        <v>0</v>
      </c>
      <c r="Y474" s="377">
        <f t="shared" si="197"/>
        <v>0</v>
      </c>
      <c r="Z474" s="377">
        <f t="shared" si="198"/>
        <v>0</v>
      </c>
      <c r="AA474" s="377">
        <f t="shared" si="199"/>
        <v>0</v>
      </c>
      <c r="AB474" s="377">
        <f t="shared" si="200"/>
        <v>0</v>
      </c>
      <c r="AC474" s="377">
        <f t="shared" si="201"/>
        <v>0</v>
      </c>
      <c r="AD474" s="376"/>
      <c r="AE474" s="332">
        <v>459</v>
      </c>
      <c r="AF474" s="350">
        <v>107946310.03902152</v>
      </c>
      <c r="AG474" s="350">
        <v>108831685.7250042</v>
      </c>
      <c r="AH474" s="350">
        <v>109679962.87674348</v>
      </c>
      <c r="AI474" s="350">
        <v>110530255.76802032</v>
      </c>
      <c r="AJ474" s="350">
        <v>111385205.66744393</v>
      </c>
      <c r="AK474" s="348">
        <v>548373420.07623339</v>
      </c>
      <c r="AL474" s="369"/>
      <c r="AM474" s="350">
        <v>138088383.02068317</v>
      </c>
      <c r="AN474" s="350">
        <v>169697406.95228547</v>
      </c>
      <c r="AO474" s="350">
        <v>201734063.80858132</v>
      </c>
      <c r="AP474" s="350">
        <v>234250083.24200577</v>
      </c>
      <c r="AQ474" s="350">
        <v>267253496.03218052</v>
      </c>
      <c r="AR474" s="348">
        <v>1011023433.0557363</v>
      </c>
      <c r="AS474" s="369"/>
      <c r="AT474" s="350">
        <f t="shared" si="219"/>
        <v>30142072.981661648</v>
      </c>
      <c r="AU474" s="350">
        <f t="shared" si="202"/>
        <v>60865721.227281272</v>
      </c>
      <c r="AV474" s="350">
        <f t="shared" si="203"/>
        <v>92054100.931837842</v>
      </c>
      <c r="AW474" s="350">
        <f t="shared" si="204"/>
        <v>123719827.47398545</v>
      </c>
      <c r="AX474" s="350">
        <f t="shared" si="205"/>
        <v>155868290.36473659</v>
      </c>
      <c r="AY474" s="350">
        <f t="shared" si="206"/>
        <v>462650012.97950292</v>
      </c>
      <c r="AZ474" s="365"/>
      <c r="BA474" s="377">
        <f t="shared" si="207"/>
        <v>0</v>
      </c>
      <c r="BB474" s="377">
        <f t="shared" si="208"/>
        <v>0</v>
      </c>
      <c r="BC474" s="377">
        <f t="shared" si="209"/>
        <v>0</v>
      </c>
      <c r="BD474" s="377">
        <f t="shared" si="210"/>
        <v>0</v>
      </c>
      <c r="BE474" s="377">
        <f t="shared" si="211"/>
        <v>0</v>
      </c>
      <c r="BF474" s="377">
        <f t="shared" si="212"/>
        <v>0</v>
      </c>
      <c r="BG474" s="328"/>
    </row>
    <row r="475" spans="2:59">
      <c r="B475" s="332">
        <v>460</v>
      </c>
      <c r="C475" s="350">
        <v>115952087.15858977</v>
      </c>
      <c r="D475" s="350">
        <v>116903126.23229271</v>
      </c>
      <c r="E475" s="350">
        <v>117814315.37991205</v>
      </c>
      <c r="F475" s="350">
        <v>118727669.76325336</v>
      </c>
      <c r="G475" s="350">
        <v>119646026.5391205</v>
      </c>
      <c r="H475" s="348">
        <v>589043225.07316828</v>
      </c>
      <c r="I475" s="369"/>
      <c r="J475" s="350">
        <v>148548705.32114178</v>
      </c>
      <c r="K475" s="350">
        <v>182730795.35929501</v>
      </c>
      <c r="L475" s="350">
        <v>217375696.90083346</v>
      </c>
      <c r="M475" s="350">
        <v>252539068.09390092</v>
      </c>
      <c r="N475" s="350">
        <v>288229575.32710278</v>
      </c>
      <c r="O475" s="348">
        <v>1089423841.002274</v>
      </c>
      <c r="P475" s="369"/>
      <c r="Q475" s="350">
        <f t="shared" si="213"/>
        <v>32596618.162552014</v>
      </c>
      <c r="R475" s="350">
        <f t="shared" si="214"/>
        <v>65827669.127002299</v>
      </c>
      <c r="S475" s="350">
        <f t="shared" si="215"/>
        <v>99561381.520921409</v>
      </c>
      <c r="T475" s="350">
        <f t="shared" si="216"/>
        <v>133811398.33064756</v>
      </c>
      <c r="U475" s="350">
        <f t="shared" si="217"/>
        <v>168583548.78798229</v>
      </c>
      <c r="V475" s="350">
        <f t="shared" si="218"/>
        <v>500380615.92910576</v>
      </c>
      <c r="W475" s="365"/>
      <c r="X475" s="377">
        <f t="shared" si="196"/>
        <v>0</v>
      </c>
      <c r="Y475" s="377">
        <f t="shared" si="197"/>
        <v>0</v>
      </c>
      <c r="Z475" s="377">
        <f t="shared" si="198"/>
        <v>0</v>
      </c>
      <c r="AA475" s="377">
        <f t="shared" si="199"/>
        <v>0</v>
      </c>
      <c r="AB475" s="377">
        <f t="shared" si="200"/>
        <v>0</v>
      </c>
      <c r="AC475" s="377">
        <f t="shared" si="201"/>
        <v>0</v>
      </c>
      <c r="AD475" s="376"/>
      <c r="AE475" s="332">
        <v>460</v>
      </c>
      <c r="AF475" s="350">
        <v>113094161.04460765</v>
      </c>
      <c r="AG475" s="350">
        <v>114021759.40697235</v>
      </c>
      <c r="AH475" s="350">
        <v>114910490.0432913</v>
      </c>
      <c r="AI475" s="350">
        <v>115801332.54773988</v>
      </c>
      <c r="AJ475" s="350">
        <v>116697054.14837201</v>
      </c>
      <c r="AK475" s="348">
        <v>574524797.19098318</v>
      </c>
      <c r="AL475" s="369"/>
      <c r="AM475" s="350">
        <v>150453248.03498074</v>
      </c>
      <c r="AN475" s="350">
        <v>189465715.8992818</v>
      </c>
      <c r="AO475" s="350">
        <v>229015396.95427024</v>
      </c>
      <c r="AP475" s="350">
        <v>269158906.98921794</v>
      </c>
      <c r="AQ475" s="350">
        <v>309905693.92816371</v>
      </c>
      <c r="AR475" s="348">
        <v>1147998961.8059144</v>
      </c>
      <c r="AS475" s="369"/>
      <c r="AT475" s="350">
        <f t="shared" si="219"/>
        <v>37359086.99037309</v>
      </c>
      <c r="AU475" s="350">
        <f t="shared" si="202"/>
        <v>75443956.492309451</v>
      </c>
      <c r="AV475" s="350">
        <f t="shared" si="203"/>
        <v>114104906.91097894</v>
      </c>
      <c r="AW475" s="350">
        <f t="shared" si="204"/>
        <v>153357574.44147807</v>
      </c>
      <c r="AX475" s="350">
        <f t="shared" si="205"/>
        <v>193208639.77979171</v>
      </c>
      <c r="AY475" s="350">
        <f t="shared" si="206"/>
        <v>573474164.61493123</v>
      </c>
      <c r="AZ475" s="365"/>
      <c r="BA475" s="377">
        <f t="shared" si="207"/>
        <v>0</v>
      </c>
      <c r="BB475" s="377">
        <f t="shared" si="208"/>
        <v>0</v>
      </c>
      <c r="BC475" s="377">
        <f t="shared" si="209"/>
        <v>0</v>
      </c>
      <c r="BD475" s="377">
        <f t="shared" si="210"/>
        <v>0</v>
      </c>
      <c r="BE475" s="377">
        <f t="shared" si="211"/>
        <v>0</v>
      </c>
      <c r="BF475" s="377">
        <f t="shared" si="212"/>
        <v>0</v>
      </c>
      <c r="BG475" s="328"/>
    </row>
    <row r="476" spans="2:59">
      <c r="B476" s="332">
        <v>461</v>
      </c>
      <c r="C476" s="350">
        <v>134348971.52448586</v>
      </c>
      <c r="D476" s="350">
        <v>135450901.8524569</v>
      </c>
      <c r="E476" s="350">
        <v>136506659.69042927</v>
      </c>
      <c r="F476" s="350">
        <v>137564926.29904544</v>
      </c>
      <c r="G476" s="350">
        <v>138628988.97660246</v>
      </c>
      <c r="H476" s="348">
        <v>682500448.34301984</v>
      </c>
      <c r="I476" s="369"/>
      <c r="J476" s="350">
        <v>167421000.92394829</v>
      </c>
      <c r="K476" s="350">
        <v>202235284.00561476</v>
      </c>
      <c r="L476" s="350">
        <v>237513334.76624504</v>
      </c>
      <c r="M476" s="350">
        <v>273317676.24457252</v>
      </c>
      <c r="N476" s="350">
        <v>309657509.47492409</v>
      </c>
      <c r="O476" s="348">
        <v>1190144805.4153047</v>
      </c>
      <c r="P476" s="369"/>
      <c r="Q476" s="350">
        <f t="shared" si="213"/>
        <v>33072029.399462432</v>
      </c>
      <c r="R476" s="350">
        <f t="shared" si="214"/>
        <v>66784382.15315786</v>
      </c>
      <c r="S476" s="350">
        <f t="shared" si="215"/>
        <v>101006675.07581577</v>
      </c>
      <c r="T476" s="350">
        <f t="shared" si="216"/>
        <v>135752749.94552708</v>
      </c>
      <c r="U476" s="350">
        <f t="shared" si="217"/>
        <v>171028520.49832162</v>
      </c>
      <c r="V476" s="350">
        <f t="shared" si="218"/>
        <v>507644357.07228482</v>
      </c>
      <c r="W476" s="365"/>
      <c r="X476" s="377">
        <f t="shared" si="196"/>
        <v>0</v>
      </c>
      <c r="Y476" s="377">
        <f t="shared" si="197"/>
        <v>0</v>
      </c>
      <c r="Z476" s="377">
        <f t="shared" si="198"/>
        <v>0</v>
      </c>
      <c r="AA476" s="377">
        <f t="shared" si="199"/>
        <v>0</v>
      </c>
      <c r="AB476" s="377">
        <f t="shared" si="200"/>
        <v>0</v>
      </c>
      <c r="AC476" s="377">
        <f t="shared" si="201"/>
        <v>0</v>
      </c>
      <c r="AD476" s="376"/>
      <c r="AE476" s="332">
        <v>461</v>
      </c>
      <c r="AF476" s="350">
        <v>122904362.31777436</v>
      </c>
      <c r="AG476" s="350">
        <v>123912423.95562032</v>
      </c>
      <c r="AH476" s="350">
        <v>124878246.33866954</v>
      </c>
      <c r="AI476" s="350">
        <v>125846363.78101595</v>
      </c>
      <c r="AJ476" s="350">
        <v>126819783.55019861</v>
      </c>
      <c r="AK476" s="348">
        <v>624361179.94327879</v>
      </c>
      <c r="AL476" s="369"/>
      <c r="AM476" s="350">
        <v>159214112.28080326</v>
      </c>
      <c r="AN476" s="350">
        <v>197239621.18559834</v>
      </c>
      <c r="AO476" s="350">
        <v>235782826.73037517</v>
      </c>
      <c r="AP476" s="350">
        <v>274903460.36479813</v>
      </c>
      <c r="AQ476" s="350">
        <v>314611022.757047</v>
      </c>
      <c r="AR476" s="348">
        <v>1181751043.3186219</v>
      </c>
      <c r="AS476" s="369"/>
      <c r="AT476" s="350">
        <f t="shared" si="219"/>
        <v>36309749.963028908</v>
      </c>
      <c r="AU476" s="350">
        <f t="shared" si="202"/>
        <v>73327197.229978025</v>
      </c>
      <c r="AV476" s="350">
        <f t="shared" si="203"/>
        <v>110904580.39170563</v>
      </c>
      <c r="AW476" s="350">
        <f t="shared" si="204"/>
        <v>149057096.5837822</v>
      </c>
      <c r="AX476" s="350">
        <f t="shared" si="205"/>
        <v>187791239.20684838</v>
      </c>
      <c r="AY476" s="350">
        <f t="shared" si="206"/>
        <v>557389863.37534308</v>
      </c>
      <c r="AZ476" s="365"/>
      <c r="BA476" s="377">
        <f t="shared" si="207"/>
        <v>0</v>
      </c>
      <c r="BB476" s="377">
        <f t="shared" si="208"/>
        <v>0</v>
      </c>
      <c r="BC476" s="377">
        <f t="shared" si="209"/>
        <v>0</v>
      </c>
      <c r="BD476" s="377">
        <f t="shared" si="210"/>
        <v>0</v>
      </c>
      <c r="BE476" s="377">
        <f t="shared" si="211"/>
        <v>0</v>
      </c>
      <c r="BF476" s="377">
        <f t="shared" si="212"/>
        <v>0</v>
      </c>
      <c r="BG476" s="328"/>
    </row>
    <row r="477" spans="2:59">
      <c r="B477" s="332">
        <v>462</v>
      </c>
      <c r="C477" s="350">
        <v>109755071.63065661</v>
      </c>
      <c r="D477" s="350">
        <v>110655282.78006916</v>
      </c>
      <c r="E477" s="350">
        <v>111517773.76765497</v>
      </c>
      <c r="F477" s="350">
        <v>112382314.27075678</v>
      </c>
      <c r="G477" s="350">
        <v>113251589.81540433</v>
      </c>
      <c r="H477" s="348">
        <v>557562032.26454186</v>
      </c>
      <c r="I477" s="369"/>
      <c r="J477" s="350">
        <v>140021170.41811103</v>
      </c>
      <c r="K477" s="350">
        <v>171804044.66581348</v>
      </c>
      <c r="L477" s="350">
        <v>204016350.57726902</v>
      </c>
      <c r="M477" s="350">
        <v>236710526.92825875</v>
      </c>
      <c r="N477" s="350">
        <v>269894675.90761095</v>
      </c>
      <c r="O477" s="348">
        <v>1022446768.4970632</v>
      </c>
      <c r="P477" s="369"/>
      <c r="Q477" s="350">
        <f t="shared" si="213"/>
        <v>30266098.787454411</v>
      </c>
      <c r="R477" s="350">
        <f t="shared" si="214"/>
        <v>61148761.885744318</v>
      </c>
      <c r="S477" s="350">
        <f t="shared" si="215"/>
        <v>92498576.809614047</v>
      </c>
      <c r="T477" s="350">
        <f t="shared" si="216"/>
        <v>124328212.65750197</v>
      </c>
      <c r="U477" s="350">
        <f t="shared" si="217"/>
        <v>156643086.09220663</v>
      </c>
      <c r="V477" s="350">
        <f t="shared" si="218"/>
        <v>464884736.2325213</v>
      </c>
      <c r="W477" s="365"/>
      <c r="X477" s="377">
        <f t="shared" si="196"/>
        <v>0</v>
      </c>
      <c r="Y477" s="377">
        <f t="shared" si="197"/>
        <v>0</v>
      </c>
      <c r="Z477" s="377">
        <f t="shared" si="198"/>
        <v>0</v>
      </c>
      <c r="AA477" s="377">
        <f t="shared" si="199"/>
        <v>0</v>
      </c>
      <c r="AB477" s="377">
        <f t="shared" si="200"/>
        <v>0</v>
      </c>
      <c r="AC477" s="377">
        <f t="shared" si="201"/>
        <v>0</v>
      </c>
      <c r="AD477" s="376"/>
      <c r="AE477" s="332">
        <v>462</v>
      </c>
      <c r="AF477" s="350">
        <v>105612506.36177346</v>
      </c>
      <c r="AG477" s="350">
        <v>106478740.1888918</v>
      </c>
      <c r="AH477" s="350">
        <v>107308677.55360788</v>
      </c>
      <c r="AI477" s="350">
        <v>108140587.07748951</v>
      </c>
      <c r="AJ477" s="350">
        <v>108977052.92480966</v>
      </c>
      <c r="AK477" s="348">
        <v>536517564.10657227</v>
      </c>
      <c r="AL477" s="369"/>
      <c r="AM477" s="350">
        <v>132873200.82185367</v>
      </c>
      <c r="AN477" s="350">
        <v>161545896.52611339</v>
      </c>
      <c r="AO477" s="350">
        <v>190602910.49196663</v>
      </c>
      <c r="AP477" s="350">
        <v>220093921.87412384</v>
      </c>
      <c r="AQ477" s="350">
        <v>250026392.16733307</v>
      </c>
      <c r="AR477" s="348">
        <v>955142321.88139057</v>
      </c>
      <c r="AS477" s="369"/>
      <c r="AT477" s="350">
        <f t="shared" si="219"/>
        <v>27260694.460080206</v>
      </c>
      <c r="AU477" s="350">
        <f t="shared" si="202"/>
        <v>55067156.337221593</v>
      </c>
      <c r="AV477" s="350">
        <f t="shared" si="203"/>
        <v>83294232.938358754</v>
      </c>
      <c r="AW477" s="350">
        <f t="shared" si="204"/>
        <v>111953334.79663433</v>
      </c>
      <c r="AX477" s="350">
        <f t="shared" si="205"/>
        <v>141049339.2425234</v>
      </c>
      <c r="AY477" s="350">
        <f t="shared" si="206"/>
        <v>418624757.7748183</v>
      </c>
      <c r="AZ477" s="365"/>
      <c r="BA477" s="377">
        <f t="shared" si="207"/>
        <v>0</v>
      </c>
      <c r="BB477" s="377">
        <f t="shared" si="208"/>
        <v>0</v>
      </c>
      <c r="BC477" s="377">
        <f t="shared" si="209"/>
        <v>0</v>
      </c>
      <c r="BD477" s="377">
        <f t="shared" si="210"/>
        <v>0</v>
      </c>
      <c r="BE477" s="377">
        <f t="shared" si="211"/>
        <v>0</v>
      </c>
      <c r="BF477" s="377">
        <f t="shared" si="212"/>
        <v>0</v>
      </c>
      <c r="BG477" s="328"/>
    </row>
    <row r="478" spans="2:59">
      <c r="B478" s="332">
        <v>463</v>
      </c>
      <c r="C478" s="350">
        <v>119244468.41595829</v>
      </c>
      <c r="D478" s="350">
        <v>120222511.60229097</v>
      </c>
      <c r="E478" s="350">
        <v>121159573.35078418</v>
      </c>
      <c r="F478" s="350">
        <v>122098861.81540623</v>
      </c>
      <c r="G478" s="350">
        <v>123043294.71211378</v>
      </c>
      <c r="H478" s="348">
        <v>605768709.8965534</v>
      </c>
      <c r="I478" s="369"/>
      <c r="J478" s="350">
        <v>150210146.07485348</v>
      </c>
      <c r="K478" s="350">
        <v>182778522.02146348</v>
      </c>
      <c r="L478" s="350">
        <v>215783770.1936585</v>
      </c>
      <c r="M478" s="350">
        <v>249282060.33853033</v>
      </c>
      <c r="N478" s="350">
        <v>283281851.09668356</v>
      </c>
      <c r="O478" s="348">
        <v>1081336349.7251892</v>
      </c>
      <c r="P478" s="369"/>
      <c r="Q478" s="350">
        <f t="shared" si="213"/>
        <v>30965677.658895195</v>
      </c>
      <c r="R478" s="350">
        <f t="shared" si="214"/>
        <v>62556010.419172511</v>
      </c>
      <c r="S478" s="350">
        <f t="shared" si="215"/>
        <v>94624196.842874318</v>
      </c>
      <c r="T478" s="350">
        <f t="shared" si="216"/>
        <v>127183198.5231241</v>
      </c>
      <c r="U478" s="350">
        <f t="shared" si="217"/>
        <v>160238556.38456976</v>
      </c>
      <c r="V478" s="350">
        <f t="shared" si="218"/>
        <v>475567639.82863581</v>
      </c>
      <c r="W478" s="365"/>
      <c r="X478" s="377">
        <f t="shared" si="196"/>
        <v>0</v>
      </c>
      <c r="Y478" s="377">
        <f t="shared" si="197"/>
        <v>0</v>
      </c>
      <c r="Z478" s="377">
        <f t="shared" si="198"/>
        <v>0</v>
      </c>
      <c r="AA478" s="377">
        <f t="shared" si="199"/>
        <v>0</v>
      </c>
      <c r="AB478" s="377">
        <f t="shared" si="200"/>
        <v>0</v>
      </c>
      <c r="AC478" s="377">
        <f t="shared" si="201"/>
        <v>0</v>
      </c>
      <c r="AD478" s="376"/>
      <c r="AE478" s="332">
        <v>463</v>
      </c>
      <c r="AF478" s="350">
        <v>117107621.56200081</v>
      </c>
      <c r="AG478" s="350">
        <v>118068138.32942694</v>
      </c>
      <c r="AH478" s="350">
        <v>118988408.04156131</v>
      </c>
      <c r="AI478" s="350">
        <v>119910864.56733333</v>
      </c>
      <c r="AJ478" s="350">
        <v>120838373.33757269</v>
      </c>
      <c r="AK478" s="348">
        <v>594913405.83789515</v>
      </c>
      <c r="AL478" s="369"/>
      <c r="AM478" s="350">
        <v>152808193.23150572</v>
      </c>
      <c r="AN478" s="350">
        <v>190155824.30298203</v>
      </c>
      <c r="AO478" s="350">
        <v>228013605.33462638</v>
      </c>
      <c r="AP478" s="350">
        <v>266438911.84884706</v>
      </c>
      <c r="AQ478" s="350">
        <v>305440992.31887299</v>
      </c>
      <c r="AR478" s="348">
        <v>1142857527.0368342</v>
      </c>
      <c r="AS478" s="369"/>
      <c r="AT478" s="350">
        <f t="shared" si="219"/>
        <v>35700571.669504911</v>
      </c>
      <c r="AU478" s="350">
        <f t="shared" si="202"/>
        <v>72087685.973555088</v>
      </c>
      <c r="AV478" s="350">
        <f t="shared" si="203"/>
        <v>109025197.29306507</v>
      </c>
      <c r="AW478" s="350">
        <f t="shared" si="204"/>
        <v>146528047.28151375</v>
      </c>
      <c r="AX478" s="350">
        <f t="shared" si="205"/>
        <v>184602618.98130029</v>
      </c>
      <c r="AY478" s="350">
        <f t="shared" si="206"/>
        <v>547944121.19893909</v>
      </c>
      <c r="AZ478" s="365"/>
      <c r="BA478" s="377">
        <f t="shared" si="207"/>
        <v>0</v>
      </c>
      <c r="BB478" s="377">
        <f t="shared" si="208"/>
        <v>0</v>
      </c>
      <c r="BC478" s="377">
        <f t="shared" si="209"/>
        <v>0</v>
      </c>
      <c r="BD478" s="377">
        <f t="shared" si="210"/>
        <v>0</v>
      </c>
      <c r="BE478" s="377">
        <f t="shared" si="211"/>
        <v>0</v>
      </c>
      <c r="BF478" s="377">
        <f t="shared" si="212"/>
        <v>0</v>
      </c>
      <c r="BG478" s="328"/>
    </row>
    <row r="479" spans="2:59">
      <c r="B479" s="332">
        <v>464</v>
      </c>
      <c r="C479" s="350">
        <v>125164130.85250792</v>
      </c>
      <c r="D479" s="350">
        <v>126190727.11294428</v>
      </c>
      <c r="E479" s="350">
        <v>127174307.49082944</v>
      </c>
      <c r="F479" s="350">
        <v>128160225.12588575</v>
      </c>
      <c r="G479" s="350">
        <v>129151542.57847039</v>
      </c>
      <c r="H479" s="348">
        <v>635840933.16063774</v>
      </c>
      <c r="I479" s="369"/>
      <c r="J479" s="350">
        <v>155501123.26600218</v>
      </c>
      <c r="K479" s="350">
        <v>187480841.49163401</v>
      </c>
      <c r="L479" s="350">
        <v>219885760.5999499</v>
      </c>
      <c r="M479" s="350">
        <v>252773932.40009767</v>
      </c>
      <c r="N479" s="350">
        <v>286153848.51611346</v>
      </c>
      <c r="O479" s="348">
        <v>1101795506.2737973</v>
      </c>
      <c r="P479" s="369"/>
      <c r="Q479" s="350">
        <f t="shared" si="213"/>
        <v>30336992.413494259</v>
      </c>
      <c r="R479" s="350">
        <f t="shared" si="214"/>
        <v>61290114.378689736</v>
      </c>
      <c r="S479" s="350">
        <f t="shared" si="215"/>
        <v>92711453.109120458</v>
      </c>
      <c r="T479" s="350">
        <f t="shared" si="216"/>
        <v>124613707.27421191</v>
      </c>
      <c r="U479" s="350">
        <f t="shared" si="217"/>
        <v>157002305.93764305</v>
      </c>
      <c r="V479" s="350">
        <f t="shared" si="218"/>
        <v>465954573.11315954</v>
      </c>
      <c r="W479" s="365"/>
      <c r="X479" s="377">
        <f t="shared" si="196"/>
        <v>0</v>
      </c>
      <c r="Y479" s="377">
        <f t="shared" si="197"/>
        <v>0</v>
      </c>
      <c r="Z479" s="377">
        <f t="shared" si="198"/>
        <v>0</v>
      </c>
      <c r="AA479" s="377">
        <f t="shared" si="199"/>
        <v>0</v>
      </c>
      <c r="AB479" s="377">
        <f t="shared" si="200"/>
        <v>0</v>
      </c>
      <c r="AC479" s="377">
        <f t="shared" si="201"/>
        <v>0</v>
      </c>
      <c r="AD479" s="376"/>
      <c r="AE479" s="332">
        <v>464</v>
      </c>
      <c r="AF479" s="350">
        <v>158285984.98906589</v>
      </c>
      <c r="AG479" s="350">
        <v>159584246.71279207</v>
      </c>
      <c r="AH479" s="350">
        <v>160828109.37431547</v>
      </c>
      <c r="AI479" s="350">
        <v>162074927.79521656</v>
      </c>
      <c r="AJ479" s="350">
        <v>163328574.97312981</v>
      </c>
      <c r="AK479" s="348">
        <v>804101843.84451985</v>
      </c>
      <c r="AL479" s="369"/>
      <c r="AM479" s="350">
        <v>195027996.89479238</v>
      </c>
      <c r="AN479" s="350">
        <v>233817161.06191936</v>
      </c>
      <c r="AO479" s="350">
        <v>273119038.82832122</v>
      </c>
      <c r="AP479" s="350">
        <v>313006364.89145231</v>
      </c>
      <c r="AQ479" s="350">
        <v>353489587.95432234</v>
      </c>
      <c r="AR479" s="348">
        <v>1368460149.6308076</v>
      </c>
      <c r="AS479" s="369"/>
      <c r="AT479" s="350">
        <f t="shared" si="219"/>
        <v>36742011.905726492</v>
      </c>
      <c r="AU479" s="350">
        <f t="shared" si="202"/>
        <v>74232914.349127293</v>
      </c>
      <c r="AV479" s="350">
        <f t="shared" si="203"/>
        <v>112290929.45400575</v>
      </c>
      <c r="AW479" s="350">
        <f t="shared" si="204"/>
        <v>150931437.09623575</v>
      </c>
      <c r="AX479" s="350">
        <f t="shared" si="205"/>
        <v>190161012.98119253</v>
      </c>
      <c r="AY479" s="350">
        <f t="shared" si="206"/>
        <v>564358305.78628778</v>
      </c>
      <c r="AZ479" s="365"/>
      <c r="BA479" s="377">
        <f t="shared" si="207"/>
        <v>0</v>
      </c>
      <c r="BB479" s="377">
        <f t="shared" si="208"/>
        <v>0</v>
      </c>
      <c r="BC479" s="377">
        <f t="shared" si="209"/>
        <v>0</v>
      </c>
      <c r="BD479" s="377">
        <f t="shared" si="210"/>
        <v>0</v>
      </c>
      <c r="BE479" s="377">
        <f t="shared" si="211"/>
        <v>0</v>
      </c>
      <c r="BF479" s="377">
        <f t="shared" si="212"/>
        <v>0</v>
      </c>
      <c r="BG479" s="328"/>
    </row>
    <row r="480" spans="2:59">
      <c r="B480" s="332">
        <v>465</v>
      </c>
      <c r="C480" s="350">
        <v>130903944.81951147</v>
      </c>
      <c r="D480" s="350">
        <v>131977619.03681931</v>
      </c>
      <c r="E480" s="350">
        <v>133006304.73643047</v>
      </c>
      <c r="F480" s="350">
        <v>134037434.87584779</v>
      </c>
      <c r="G480" s="350">
        <v>135074212.4592329</v>
      </c>
      <c r="H480" s="348">
        <v>664999515.92784202</v>
      </c>
      <c r="I480" s="369"/>
      <c r="J480" s="350">
        <v>161334201.6069048</v>
      </c>
      <c r="K480" s="350">
        <v>193433619.18111005</v>
      </c>
      <c r="L480" s="350">
        <v>225957353.10506272</v>
      </c>
      <c r="M480" s="350">
        <v>258965572.79266861</v>
      </c>
      <c r="N480" s="350">
        <v>292466923.56210893</v>
      </c>
      <c r="O480" s="348">
        <v>1132157670.2478552</v>
      </c>
      <c r="P480" s="369"/>
      <c r="Q480" s="350">
        <f t="shared" si="213"/>
        <v>30430256.787393332</v>
      </c>
      <c r="R480" s="350">
        <f t="shared" si="214"/>
        <v>61456000.144290745</v>
      </c>
      <c r="S480" s="350">
        <f t="shared" si="215"/>
        <v>92951048.368632257</v>
      </c>
      <c r="T480" s="350">
        <f t="shared" si="216"/>
        <v>124928137.91682082</v>
      </c>
      <c r="U480" s="350">
        <f t="shared" si="217"/>
        <v>157392711.10287604</v>
      </c>
      <c r="V480" s="350">
        <f t="shared" si="218"/>
        <v>467158154.32001317</v>
      </c>
      <c r="W480" s="365"/>
      <c r="X480" s="377">
        <f t="shared" si="196"/>
        <v>0</v>
      </c>
      <c r="Y480" s="377">
        <f t="shared" si="197"/>
        <v>0</v>
      </c>
      <c r="Z480" s="377">
        <f t="shared" si="198"/>
        <v>0</v>
      </c>
      <c r="AA480" s="377">
        <f t="shared" si="199"/>
        <v>0</v>
      </c>
      <c r="AB480" s="377">
        <f t="shared" si="200"/>
        <v>0</v>
      </c>
      <c r="AC480" s="377">
        <f t="shared" si="201"/>
        <v>0</v>
      </c>
      <c r="AD480" s="376"/>
      <c r="AE480" s="332">
        <v>465</v>
      </c>
      <c r="AF480" s="350">
        <v>151436704.11063337</v>
      </c>
      <c r="AG480" s="350">
        <v>152678788.02935597</v>
      </c>
      <c r="AH480" s="350">
        <v>153868826.81794742</v>
      </c>
      <c r="AI480" s="350">
        <v>155061693.46560872</v>
      </c>
      <c r="AJ480" s="350">
        <v>156261093.37934017</v>
      </c>
      <c r="AK480" s="348">
        <v>769307105.80288565</v>
      </c>
      <c r="AL480" s="369"/>
      <c r="AM480" s="350">
        <v>187970592.82323951</v>
      </c>
      <c r="AN480" s="350">
        <v>226469532.12433994</v>
      </c>
      <c r="AO480" s="350">
        <v>265479988.58366513</v>
      </c>
      <c r="AP480" s="350">
        <v>305072126.74304479</v>
      </c>
      <c r="AQ480" s="350">
        <v>345256187.15755993</v>
      </c>
      <c r="AR480" s="348">
        <v>1330248427.4318492</v>
      </c>
      <c r="AS480" s="369"/>
      <c r="AT480" s="350">
        <f t="shared" si="219"/>
        <v>36533888.712606132</v>
      </c>
      <c r="AU480" s="350">
        <f t="shared" si="202"/>
        <v>73790744.094983965</v>
      </c>
      <c r="AV480" s="350">
        <f t="shared" si="203"/>
        <v>111611161.76571772</v>
      </c>
      <c r="AW480" s="350">
        <f t="shared" si="204"/>
        <v>150010433.27743608</v>
      </c>
      <c r="AX480" s="350">
        <f t="shared" si="205"/>
        <v>188995093.77821976</v>
      </c>
      <c r="AY480" s="350">
        <f t="shared" si="206"/>
        <v>560941321.62896359</v>
      </c>
      <c r="AZ480" s="365"/>
      <c r="BA480" s="377">
        <f t="shared" si="207"/>
        <v>0</v>
      </c>
      <c r="BB480" s="377">
        <f t="shared" si="208"/>
        <v>0</v>
      </c>
      <c r="BC480" s="377">
        <f t="shared" si="209"/>
        <v>0</v>
      </c>
      <c r="BD480" s="377">
        <f t="shared" si="210"/>
        <v>0</v>
      </c>
      <c r="BE480" s="377">
        <f t="shared" si="211"/>
        <v>0</v>
      </c>
      <c r="BF480" s="377">
        <f t="shared" si="212"/>
        <v>0</v>
      </c>
      <c r="BG480" s="328"/>
    </row>
    <row r="481" spans="2:59">
      <c r="B481" s="332">
        <v>466</v>
      </c>
      <c r="C481" s="350">
        <v>110235415.34060302</v>
      </c>
      <c r="D481" s="350">
        <v>111139566.26935171</v>
      </c>
      <c r="E481" s="350">
        <v>112005831.95376575</v>
      </c>
      <c r="F481" s="350">
        <v>112874156.12341249</v>
      </c>
      <c r="G481" s="350">
        <v>113747236.05754179</v>
      </c>
      <c r="H481" s="348">
        <v>560002205.74467468</v>
      </c>
      <c r="I481" s="369"/>
      <c r="J481" s="350">
        <v>136071059.59125578</v>
      </c>
      <c r="K481" s="350">
        <v>163348718.43644935</v>
      </c>
      <c r="L481" s="350">
        <v>190987440.70394611</v>
      </c>
      <c r="M481" s="350">
        <v>219037985.31801313</v>
      </c>
      <c r="N481" s="350">
        <v>247507675.07481265</v>
      </c>
      <c r="O481" s="348">
        <v>956952879.12447703</v>
      </c>
      <c r="P481" s="369"/>
      <c r="Q481" s="350">
        <f t="shared" si="213"/>
        <v>25835644.25065276</v>
      </c>
      <c r="R481" s="350">
        <f t="shared" si="214"/>
        <v>52209152.167097643</v>
      </c>
      <c r="S481" s="350">
        <f t="shared" si="215"/>
        <v>78981608.750180364</v>
      </c>
      <c r="T481" s="350">
        <f t="shared" si="216"/>
        <v>106163829.19460064</v>
      </c>
      <c r="U481" s="350">
        <f t="shared" si="217"/>
        <v>133760439.01727086</v>
      </c>
      <c r="V481" s="350">
        <f t="shared" si="218"/>
        <v>396950673.37980235</v>
      </c>
      <c r="W481" s="365"/>
      <c r="X481" s="377">
        <f t="shared" si="196"/>
        <v>0</v>
      </c>
      <c r="Y481" s="377">
        <f t="shared" si="197"/>
        <v>0</v>
      </c>
      <c r="Z481" s="377">
        <f t="shared" si="198"/>
        <v>0</v>
      </c>
      <c r="AA481" s="377">
        <f t="shared" si="199"/>
        <v>0</v>
      </c>
      <c r="AB481" s="377">
        <f t="shared" si="200"/>
        <v>0</v>
      </c>
      <c r="AC481" s="377">
        <f t="shared" si="201"/>
        <v>0</v>
      </c>
      <c r="AD481" s="376"/>
      <c r="AE481" s="332">
        <v>466</v>
      </c>
      <c r="AF481" s="350">
        <v>137828608.76428807</v>
      </c>
      <c r="AG481" s="350">
        <v>138959079.07854533</v>
      </c>
      <c r="AH481" s="350">
        <v>140042181.03569877</v>
      </c>
      <c r="AI481" s="350">
        <v>141127856.74063468</v>
      </c>
      <c r="AJ481" s="350">
        <v>142219478.63264868</v>
      </c>
      <c r="AK481" s="348">
        <v>700177204.25181556</v>
      </c>
      <c r="AL481" s="369"/>
      <c r="AM481" s="350">
        <v>175418777.11908519</v>
      </c>
      <c r="AN481" s="350">
        <v>214878081.94663045</v>
      </c>
      <c r="AO481" s="350">
        <v>254869793.49018985</v>
      </c>
      <c r="AP481" s="350">
        <v>295459587.23249602</v>
      </c>
      <c r="AQ481" s="350">
        <v>336657558.91302574</v>
      </c>
      <c r="AR481" s="348">
        <v>1277283798.7014275</v>
      </c>
      <c r="AS481" s="369"/>
      <c r="AT481" s="350">
        <f t="shared" si="219"/>
        <v>37590168.354797125</v>
      </c>
      <c r="AU481" s="350">
        <f t="shared" si="202"/>
        <v>75919002.868085116</v>
      </c>
      <c r="AV481" s="350">
        <f t="shared" si="203"/>
        <v>114827612.45449108</v>
      </c>
      <c r="AW481" s="350">
        <f t="shared" si="204"/>
        <v>154331730.49186134</v>
      </c>
      <c r="AX481" s="350">
        <f t="shared" si="205"/>
        <v>194438080.28037706</v>
      </c>
      <c r="AY481" s="350">
        <f t="shared" si="206"/>
        <v>577106594.4496119</v>
      </c>
      <c r="AZ481" s="365"/>
      <c r="BA481" s="377">
        <f t="shared" si="207"/>
        <v>0</v>
      </c>
      <c r="BB481" s="377">
        <f t="shared" si="208"/>
        <v>0</v>
      </c>
      <c r="BC481" s="377">
        <f t="shared" si="209"/>
        <v>0</v>
      </c>
      <c r="BD481" s="377">
        <f t="shared" si="210"/>
        <v>0</v>
      </c>
      <c r="BE481" s="377">
        <f t="shared" si="211"/>
        <v>0</v>
      </c>
      <c r="BF481" s="377">
        <f t="shared" si="212"/>
        <v>0</v>
      </c>
      <c r="BG481" s="328"/>
    </row>
    <row r="482" spans="2:59">
      <c r="B482" s="332">
        <v>467</v>
      </c>
      <c r="C482" s="350">
        <v>128716231.00342843</v>
      </c>
      <c r="D482" s="350">
        <v>129771961.59098227</v>
      </c>
      <c r="E482" s="350">
        <v>130783455.525131</v>
      </c>
      <c r="F482" s="350">
        <v>131797353.04672846</v>
      </c>
      <c r="G482" s="350">
        <v>132816803.6301786</v>
      </c>
      <c r="H482" s="348">
        <v>653885804.79644871</v>
      </c>
      <c r="I482" s="369"/>
      <c r="J482" s="350">
        <v>167174590.78650421</v>
      </c>
      <c r="K482" s="350">
        <v>207452736.40734297</v>
      </c>
      <c r="L482" s="350">
        <v>248279940.90434715</v>
      </c>
      <c r="M482" s="350">
        <v>289718941.74081898</v>
      </c>
      <c r="N482" s="350">
        <v>331779768.24558377</v>
      </c>
      <c r="O482" s="348">
        <v>1244405978.0845971</v>
      </c>
      <c r="P482" s="369"/>
      <c r="Q482" s="350">
        <f t="shared" si="213"/>
        <v>38458359.78307578</v>
      </c>
      <c r="R482" s="350">
        <f t="shared" si="214"/>
        <v>77680774.816360697</v>
      </c>
      <c r="S482" s="350">
        <f t="shared" si="215"/>
        <v>117496485.37921615</v>
      </c>
      <c r="T482" s="350">
        <f t="shared" si="216"/>
        <v>157921588.69409052</v>
      </c>
      <c r="U482" s="350">
        <f t="shared" si="217"/>
        <v>198962964.61540517</v>
      </c>
      <c r="V482" s="350">
        <f t="shared" si="218"/>
        <v>590520173.2881484</v>
      </c>
      <c r="W482" s="365"/>
      <c r="X482" s="377">
        <f t="shared" si="196"/>
        <v>0</v>
      </c>
      <c r="Y482" s="377">
        <f t="shared" si="197"/>
        <v>0</v>
      </c>
      <c r="Z482" s="377">
        <f t="shared" si="198"/>
        <v>0</v>
      </c>
      <c r="AA482" s="377">
        <f t="shared" si="199"/>
        <v>0</v>
      </c>
      <c r="AB482" s="377">
        <f t="shared" si="200"/>
        <v>0</v>
      </c>
      <c r="AC482" s="377">
        <f t="shared" si="201"/>
        <v>0</v>
      </c>
      <c r="AD482" s="376"/>
      <c r="AE482" s="332">
        <v>467</v>
      </c>
      <c r="AF482" s="350">
        <v>149544501.28555641</v>
      </c>
      <c r="AG482" s="350">
        <v>150771065.35581297</v>
      </c>
      <c r="AH482" s="350">
        <v>151946234.60025427</v>
      </c>
      <c r="AI482" s="350">
        <v>153124196.36964387</v>
      </c>
      <c r="AJ482" s="350">
        <v>154308609.77189192</v>
      </c>
      <c r="AK482" s="348">
        <v>759694607.38315952</v>
      </c>
      <c r="AL482" s="369"/>
      <c r="AM482" s="350">
        <v>175014747.82259849</v>
      </c>
      <c r="AN482" s="350">
        <v>202250124.52449742</v>
      </c>
      <c r="AO482" s="350">
        <v>229827542.20681217</v>
      </c>
      <c r="AP482" s="350">
        <v>257811850.91566795</v>
      </c>
      <c r="AQ482" s="350">
        <v>286211271.12483293</v>
      </c>
      <c r="AR482" s="348">
        <v>1151115536.594409</v>
      </c>
      <c r="AS482" s="369"/>
      <c r="AT482" s="350">
        <f t="shared" si="219"/>
        <v>25470246.537042081</v>
      </c>
      <c r="AU482" s="350">
        <f t="shared" si="202"/>
        <v>51479059.168684453</v>
      </c>
      <c r="AV482" s="350">
        <f t="shared" si="203"/>
        <v>77881307.606557906</v>
      </c>
      <c r="AW482" s="350">
        <f t="shared" si="204"/>
        <v>104687654.54602408</v>
      </c>
      <c r="AX482" s="350">
        <f t="shared" si="205"/>
        <v>131902661.35294101</v>
      </c>
      <c r="AY482" s="350">
        <f t="shared" si="206"/>
        <v>391420929.21124947</v>
      </c>
      <c r="AZ482" s="365"/>
      <c r="BA482" s="377">
        <f t="shared" si="207"/>
        <v>0</v>
      </c>
      <c r="BB482" s="377">
        <f t="shared" si="208"/>
        <v>0</v>
      </c>
      <c r="BC482" s="377">
        <f t="shared" si="209"/>
        <v>0</v>
      </c>
      <c r="BD482" s="377">
        <f t="shared" si="210"/>
        <v>0</v>
      </c>
      <c r="BE482" s="377">
        <f t="shared" si="211"/>
        <v>0</v>
      </c>
      <c r="BF482" s="377">
        <f t="shared" si="212"/>
        <v>0</v>
      </c>
      <c r="BG482" s="328"/>
    </row>
    <row r="483" spans="2:59">
      <c r="B483" s="332">
        <v>468</v>
      </c>
      <c r="C483" s="350">
        <v>133045132.83307949</v>
      </c>
      <c r="D483" s="350">
        <v>134136369.07548711</v>
      </c>
      <c r="E483" s="350">
        <v>135181880.92569873</v>
      </c>
      <c r="F483" s="350">
        <v>136229877.19927263</v>
      </c>
      <c r="G483" s="350">
        <v>137283613.29171824</v>
      </c>
      <c r="H483" s="348">
        <v>675876873.32525623</v>
      </c>
      <c r="I483" s="369"/>
      <c r="J483" s="350">
        <v>171680951.59056655</v>
      </c>
      <c r="K483" s="350">
        <v>212160631.53301224</v>
      </c>
      <c r="L483" s="350">
        <v>253190387.12073839</v>
      </c>
      <c r="M483" s="350">
        <v>294834597.83837879</v>
      </c>
      <c r="N483" s="350">
        <v>337103428.3987785</v>
      </c>
      <c r="O483" s="348">
        <v>1268969996.4814744</v>
      </c>
      <c r="P483" s="369"/>
      <c r="Q483" s="350">
        <f t="shared" si="213"/>
        <v>38635818.757487059</v>
      </c>
      <c r="R483" s="350">
        <f t="shared" si="214"/>
        <v>78024262.457525134</v>
      </c>
      <c r="S483" s="350">
        <f t="shared" si="215"/>
        <v>118008506.19503966</v>
      </c>
      <c r="T483" s="350">
        <f t="shared" si="216"/>
        <v>158604720.63910615</v>
      </c>
      <c r="U483" s="350">
        <f t="shared" si="217"/>
        <v>199819815.10706025</v>
      </c>
      <c r="V483" s="350">
        <f t="shared" si="218"/>
        <v>593093123.15621817</v>
      </c>
      <c r="W483" s="365"/>
      <c r="X483" s="377">
        <f t="shared" si="196"/>
        <v>0</v>
      </c>
      <c r="Y483" s="377">
        <f t="shared" si="197"/>
        <v>0</v>
      </c>
      <c r="Z483" s="377">
        <f t="shared" si="198"/>
        <v>0</v>
      </c>
      <c r="AA483" s="377">
        <f t="shared" si="199"/>
        <v>0</v>
      </c>
      <c r="AB483" s="377">
        <f t="shared" si="200"/>
        <v>0</v>
      </c>
      <c r="AC483" s="377">
        <f t="shared" si="201"/>
        <v>0</v>
      </c>
      <c r="AD483" s="376"/>
      <c r="AE483" s="332">
        <v>468</v>
      </c>
      <c r="AF483" s="350">
        <v>143073316.45122343</v>
      </c>
      <c r="AG483" s="350">
        <v>144246803.8604089</v>
      </c>
      <c r="AH483" s="350">
        <v>145371120.43339097</v>
      </c>
      <c r="AI483" s="350">
        <v>146498108.69140458</v>
      </c>
      <c r="AJ483" s="350">
        <v>147631269.40311357</v>
      </c>
      <c r="AK483" s="348">
        <v>726820618.83954144</v>
      </c>
      <c r="AL483" s="369"/>
      <c r="AM483" s="350">
        <v>177571388.48392141</v>
      </c>
      <c r="AN483" s="350">
        <v>213939728.32328096</v>
      </c>
      <c r="AO483" s="350">
        <v>250791275.44255787</v>
      </c>
      <c r="AP483" s="350">
        <v>288192312.59167421</v>
      </c>
      <c r="AQ483" s="350">
        <v>326152513.67468667</v>
      </c>
      <c r="AR483" s="348">
        <v>1256647218.5161209</v>
      </c>
      <c r="AS483" s="369"/>
      <c r="AT483" s="350">
        <f t="shared" si="219"/>
        <v>34498072.032697976</v>
      </c>
      <c r="AU483" s="350">
        <f t="shared" si="202"/>
        <v>69692924.462872058</v>
      </c>
      <c r="AV483" s="350">
        <f t="shared" si="203"/>
        <v>105420155.0091669</v>
      </c>
      <c r="AW483" s="350">
        <f t="shared" si="204"/>
        <v>141694203.90026963</v>
      </c>
      <c r="AX483" s="350">
        <f t="shared" si="205"/>
        <v>178521244.2715731</v>
      </c>
      <c r="AY483" s="350">
        <f t="shared" si="206"/>
        <v>529826599.67657948</v>
      </c>
      <c r="AZ483" s="365"/>
      <c r="BA483" s="377">
        <f t="shared" si="207"/>
        <v>0</v>
      </c>
      <c r="BB483" s="377">
        <f t="shared" si="208"/>
        <v>0</v>
      </c>
      <c r="BC483" s="377">
        <f t="shared" si="209"/>
        <v>0</v>
      </c>
      <c r="BD483" s="377">
        <f t="shared" si="210"/>
        <v>0</v>
      </c>
      <c r="BE483" s="377">
        <f t="shared" si="211"/>
        <v>0</v>
      </c>
      <c r="BF483" s="377">
        <f t="shared" si="212"/>
        <v>0</v>
      </c>
      <c r="BG483" s="328"/>
    </row>
    <row r="484" spans="2:59">
      <c r="B484" s="332">
        <v>469</v>
      </c>
      <c r="C484" s="350">
        <v>143156637.23826063</v>
      </c>
      <c r="D484" s="350">
        <v>144330808.04458076</v>
      </c>
      <c r="E484" s="350">
        <v>145455779.37935957</v>
      </c>
      <c r="F484" s="350">
        <v>146583423.95506376</v>
      </c>
      <c r="G484" s="350">
        <v>147717244.57907984</v>
      </c>
      <c r="H484" s="348">
        <v>727243893.19634461</v>
      </c>
      <c r="I484" s="369"/>
      <c r="J484" s="350">
        <v>176593190.1002351</v>
      </c>
      <c r="K484" s="350">
        <v>211845807.82014984</v>
      </c>
      <c r="L484" s="350">
        <v>247564701.31690279</v>
      </c>
      <c r="M484" s="350">
        <v>283815737.34173208</v>
      </c>
      <c r="N484" s="350">
        <v>320608396.78233856</v>
      </c>
      <c r="O484" s="348">
        <v>1240427833.3613584</v>
      </c>
      <c r="P484" s="369"/>
      <c r="Q484" s="350">
        <f t="shared" si="213"/>
        <v>33436552.861974478</v>
      </c>
      <c r="R484" s="350">
        <f t="shared" si="214"/>
        <v>67514999.775569081</v>
      </c>
      <c r="S484" s="350">
        <f t="shared" si="215"/>
        <v>102108921.93754321</v>
      </c>
      <c r="T484" s="350">
        <f t="shared" si="216"/>
        <v>137232313.38666832</v>
      </c>
      <c r="U484" s="350">
        <f t="shared" si="217"/>
        <v>172891152.20325872</v>
      </c>
      <c r="V484" s="350">
        <f t="shared" si="218"/>
        <v>513183940.16501379</v>
      </c>
      <c r="W484" s="365"/>
      <c r="X484" s="377">
        <f t="shared" si="196"/>
        <v>0</v>
      </c>
      <c r="Y484" s="377">
        <f t="shared" si="197"/>
        <v>0</v>
      </c>
      <c r="Z484" s="377">
        <f t="shared" si="198"/>
        <v>0</v>
      </c>
      <c r="AA484" s="377">
        <f t="shared" si="199"/>
        <v>0</v>
      </c>
      <c r="AB484" s="377">
        <f t="shared" si="200"/>
        <v>0</v>
      </c>
      <c r="AC484" s="377">
        <f t="shared" si="201"/>
        <v>0</v>
      </c>
      <c r="AD484" s="376"/>
      <c r="AE484" s="332">
        <v>469</v>
      </c>
      <c r="AF484" s="350">
        <v>145419078.89383593</v>
      </c>
      <c r="AG484" s="350">
        <v>146611806.24768493</v>
      </c>
      <c r="AH484" s="350">
        <v>147754556.58355111</v>
      </c>
      <c r="AI484" s="350">
        <v>148900022.40813327</v>
      </c>
      <c r="AJ484" s="350">
        <v>150051761.88704288</v>
      </c>
      <c r="AK484" s="348">
        <v>738737226.02024806</v>
      </c>
      <c r="AL484" s="369"/>
      <c r="AM484" s="350">
        <v>180892758.61698616</v>
      </c>
      <c r="AN484" s="350">
        <v>218278929.44649354</v>
      </c>
      <c r="AO484" s="350">
        <v>256162608.16709635</v>
      </c>
      <c r="AP484" s="350">
        <v>294611336.06693578</v>
      </c>
      <c r="AQ484" s="350">
        <v>333635019.52409708</v>
      </c>
      <c r="AR484" s="348">
        <v>1283580651.821609</v>
      </c>
      <c r="AS484" s="369"/>
      <c r="AT484" s="350">
        <f t="shared" si="219"/>
        <v>35473679.723150223</v>
      </c>
      <c r="AU484" s="350">
        <f t="shared" si="202"/>
        <v>71667123.19880861</v>
      </c>
      <c r="AV484" s="350">
        <f t="shared" si="203"/>
        <v>108408051.58354524</v>
      </c>
      <c r="AW484" s="350">
        <f t="shared" si="204"/>
        <v>145711313.65880251</v>
      </c>
      <c r="AX484" s="350">
        <f t="shared" si="205"/>
        <v>183583257.6370542</v>
      </c>
      <c r="AY484" s="350">
        <f t="shared" si="206"/>
        <v>544843425.80136096</v>
      </c>
      <c r="AZ484" s="365"/>
      <c r="BA484" s="377">
        <f t="shared" si="207"/>
        <v>0</v>
      </c>
      <c r="BB484" s="377">
        <f t="shared" si="208"/>
        <v>0</v>
      </c>
      <c r="BC484" s="377">
        <f t="shared" si="209"/>
        <v>0</v>
      </c>
      <c r="BD484" s="377">
        <f t="shared" si="210"/>
        <v>0</v>
      </c>
      <c r="BE484" s="377">
        <f t="shared" si="211"/>
        <v>0</v>
      </c>
      <c r="BF484" s="377">
        <f t="shared" si="212"/>
        <v>0</v>
      </c>
      <c r="BG484" s="328"/>
    </row>
    <row r="485" spans="2:59">
      <c r="B485" s="332">
        <v>470</v>
      </c>
      <c r="C485" s="350">
        <v>138699991.97877979</v>
      </c>
      <c r="D485" s="350">
        <v>139837609.37857434</v>
      </c>
      <c r="E485" s="350">
        <v>140927558.94794348</v>
      </c>
      <c r="F485" s="350">
        <v>142020098.53690282</v>
      </c>
      <c r="G485" s="350">
        <v>143118621.9060615</v>
      </c>
      <c r="H485" s="348">
        <v>704603880.74826193</v>
      </c>
      <c r="I485" s="369"/>
      <c r="J485" s="350">
        <v>181229828.34129381</v>
      </c>
      <c r="K485" s="350">
        <v>225742194.26151335</v>
      </c>
      <c r="L485" s="350">
        <v>270862997.89201647</v>
      </c>
      <c r="M485" s="350">
        <v>316660298.47043109</v>
      </c>
      <c r="N485" s="350">
        <v>363145097.95750433</v>
      </c>
      <c r="O485" s="348">
        <v>1357640416.9227591</v>
      </c>
      <c r="P485" s="369"/>
      <c r="Q485" s="350">
        <f t="shared" si="213"/>
        <v>42529836.362514019</v>
      </c>
      <c r="R485" s="350">
        <f t="shared" si="214"/>
        <v>85904584.882939011</v>
      </c>
      <c r="S485" s="350">
        <f t="shared" si="215"/>
        <v>129935438.94407299</v>
      </c>
      <c r="T485" s="350">
        <f t="shared" si="216"/>
        <v>174640199.93352827</v>
      </c>
      <c r="U485" s="350">
        <f t="shared" si="217"/>
        <v>220026476.05144283</v>
      </c>
      <c r="V485" s="350">
        <f t="shared" si="218"/>
        <v>653036536.17449713</v>
      </c>
      <c r="W485" s="365"/>
      <c r="X485" s="377">
        <f t="shared" si="196"/>
        <v>0</v>
      </c>
      <c r="Y485" s="377">
        <f t="shared" si="197"/>
        <v>0</v>
      </c>
      <c r="Z485" s="377">
        <f t="shared" si="198"/>
        <v>0</v>
      </c>
      <c r="AA485" s="377">
        <f t="shared" si="199"/>
        <v>0</v>
      </c>
      <c r="AB485" s="377">
        <f t="shared" si="200"/>
        <v>0</v>
      </c>
      <c r="AC485" s="377">
        <f t="shared" si="201"/>
        <v>0</v>
      </c>
      <c r="AD485" s="376"/>
      <c r="AE485" s="332">
        <v>470</v>
      </c>
      <c r="AF485" s="350">
        <v>130162010.03237382</v>
      </c>
      <c r="AG485" s="350">
        <v>131229598.90020677</v>
      </c>
      <c r="AH485" s="350">
        <v>132252454.23537296</v>
      </c>
      <c r="AI485" s="350">
        <v>133277740.15579785</v>
      </c>
      <c r="AJ485" s="350">
        <v>134308641.51171938</v>
      </c>
      <c r="AK485" s="348">
        <v>661230444.8354708</v>
      </c>
      <c r="AL485" s="369"/>
      <c r="AM485" s="350">
        <v>159046154.36234328</v>
      </c>
      <c r="AN485" s="350">
        <v>189550089.14528137</v>
      </c>
      <c r="AO485" s="350">
        <v>220454547.52614647</v>
      </c>
      <c r="AP485" s="350">
        <v>251818782.23640999</v>
      </c>
      <c r="AQ485" s="350">
        <v>283651141.93628359</v>
      </c>
      <c r="AR485" s="348">
        <v>1104520715.2064648</v>
      </c>
      <c r="AS485" s="369"/>
      <c r="AT485" s="350">
        <f t="shared" si="219"/>
        <v>28884144.329969466</v>
      </c>
      <c r="AU485" s="350">
        <f t="shared" si="202"/>
        <v>58320490.2450746</v>
      </c>
      <c r="AV485" s="350">
        <f t="shared" si="203"/>
        <v>88202093.290773511</v>
      </c>
      <c r="AW485" s="350">
        <f t="shared" si="204"/>
        <v>118541042.08061214</v>
      </c>
      <c r="AX485" s="350">
        <f t="shared" si="205"/>
        <v>149342500.42456421</v>
      </c>
      <c r="AY485" s="350">
        <f t="shared" si="206"/>
        <v>443290270.37099397</v>
      </c>
      <c r="AZ485" s="365"/>
      <c r="BA485" s="377">
        <f t="shared" si="207"/>
        <v>0</v>
      </c>
      <c r="BB485" s="377">
        <f t="shared" si="208"/>
        <v>0</v>
      </c>
      <c r="BC485" s="377">
        <f t="shared" si="209"/>
        <v>0</v>
      </c>
      <c r="BD485" s="377">
        <f t="shared" si="210"/>
        <v>0</v>
      </c>
      <c r="BE485" s="377">
        <f t="shared" si="211"/>
        <v>0</v>
      </c>
      <c r="BF485" s="377">
        <f t="shared" si="212"/>
        <v>0</v>
      </c>
      <c r="BG485" s="328"/>
    </row>
    <row r="486" spans="2:59">
      <c r="B486" s="332">
        <v>471</v>
      </c>
      <c r="C486" s="350">
        <v>129768488.80115972</v>
      </c>
      <c r="D486" s="350">
        <v>130832850.00766817</v>
      </c>
      <c r="E486" s="350">
        <v>131852612.92523301</v>
      </c>
      <c r="F486" s="350">
        <v>132874799.07962286</v>
      </c>
      <c r="G486" s="350">
        <v>133902583.69225852</v>
      </c>
      <c r="H486" s="348">
        <v>659231334.50594223</v>
      </c>
      <c r="I486" s="369"/>
      <c r="J486" s="350">
        <v>162544664.42833421</v>
      </c>
      <c r="K486" s="350">
        <v>197045623.67663163</v>
      </c>
      <c r="L486" s="350">
        <v>232007765.62805557</v>
      </c>
      <c r="M486" s="350">
        <v>267491831.19660583</v>
      </c>
      <c r="N486" s="350">
        <v>303506860.37930977</v>
      </c>
      <c r="O486" s="348">
        <v>1162596745.3089371</v>
      </c>
      <c r="P486" s="369"/>
      <c r="Q486" s="350">
        <f t="shared" si="213"/>
        <v>32776175.627174482</v>
      </c>
      <c r="R486" s="350">
        <f t="shared" si="214"/>
        <v>66212773.668963462</v>
      </c>
      <c r="S486" s="350">
        <f t="shared" si="215"/>
        <v>100155152.70282257</v>
      </c>
      <c r="T486" s="350">
        <f t="shared" si="216"/>
        <v>134617032.11698297</v>
      </c>
      <c r="U486" s="350">
        <f t="shared" si="217"/>
        <v>169604276.68705124</v>
      </c>
      <c r="V486" s="350">
        <f t="shared" si="218"/>
        <v>503365410.80299485</v>
      </c>
      <c r="W486" s="365"/>
      <c r="X486" s="377">
        <f t="shared" si="196"/>
        <v>0</v>
      </c>
      <c r="Y486" s="377">
        <f t="shared" si="197"/>
        <v>0</v>
      </c>
      <c r="Z486" s="377">
        <f t="shared" si="198"/>
        <v>0</v>
      </c>
      <c r="AA486" s="377">
        <f t="shared" si="199"/>
        <v>0</v>
      </c>
      <c r="AB486" s="377">
        <f t="shared" si="200"/>
        <v>0</v>
      </c>
      <c r="AC486" s="377">
        <f t="shared" si="201"/>
        <v>0</v>
      </c>
      <c r="AD486" s="376"/>
      <c r="AE486" s="332">
        <v>471</v>
      </c>
      <c r="AF486" s="350">
        <v>133376756.1356535</v>
      </c>
      <c r="AG486" s="350">
        <v>134470712.35254559</v>
      </c>
      <c r="AH486" s="350">
        <v>135518830.20633864</v>
      </c>
      <c r="AI486" s="350">
        <v>136569438.6760743</v>
      </c>
      <c r="AJ486" s="350">
        <v>137625801.27153867</v>
      </c>
      <c r="AK486" s="348">
        <v>677561538.64215064</v>
      </c>
      <c r="AL486" s="369"/>
      <c r="AM486" s="350">
        <v>166050417.22613025</v>
      </c>
      <c r="AN486" s="350">
        <v>200457570.73068666</v>
      </c>
      <c r="AO486" s="350">
        <v>235322791.53496015</v>
      </c>
      <c r="AP486" s="350">
        <v>270708084.0501222</v>
      </c>
      <c r="AQ486" s="350">
        <v>306622555.34540313</v>
      </c>
      <c r="AR486" s="348">
        <v>1179161418.8873024</v>
      </c>
      <c r="AS486" s="369"/>
      <c r="AT486" s="350">
        <f t="shared" si="219"/>
        <v>32673661.090476751</v>
      </c>
      <c r="AU486" s="350">
        <f t="shared" si="202"/>
        <v>65986858.378141075</v>
      </c>
      <c r="AV486" s="350">
        <f t="shared" si="203"/>
        <v>99803961.328621507</v>
      </c>
      <c r="AW486" s="350">
        <f t="shared" si="204"/>
        <v>134138645.37404791</v>
      </c>
      <c r="AX486" s="350">
        <f t="shared" si="205"/>
        <v>168996754.07386446</v>
      </c>
      <c r="AY486" s="350">
        <f t="shared" si="206"/>
        <v>501599880.24515176</v>
      </c>
      <c r="AZ486" s="365"/>
      <c r="BA486" s="377">
        <f t="shared" si="207"/>
        <v>0</v>
      </c>
      <c r="BB486" s="377">
        <f t="shared" si="208"/>
        <v>0</v>
      </c>
      <c r="BC486" s="377">
        <f t="shared" si="209"/>
        <v>0</v>
      </c>
      <c r="BD486" s="377">
        <f t="shared" si="210"/>
        <v>0</v>
      </c>
      <c r="BE486" s="377">
        <f t="shared" si="211"/>
        <v>0</v>
      </c>
      <c r="BF486" s="377">
        <f t="shared" si="212"/>
        <v>0</v>
      </c>
      <c r="BG486" s="328"/>
    </row>
    <row r="487" spans="2:59">
      <c r="B487" s="332">
        <v>472</v>
      </c>
      <c r="C487" s="350">
        <v>125781083.18938574</v>
      </c>
      <c r="D487" s="350">
        <v>126812739.69318093</v>
      </c>
      <c r="E487" s="350">
        <v>127801168.28283817</v>
      </c>
      <c r="F487" s="350">
        <v>128791945.65034957</v>
      </c>
      <c r="G487" s="350">
        <v>129788149.45188093</v>
      </c>
      <c r="H487" s="348">
        <v>638975086.26763535</v>
      </c>
      <c r="I487" s="369"/>
      <c r="J487" s="350">
        <v>156841702.33898944</v>
      </c>
      <c r="K487" s="350">
        <v>189556808.12647071</v>
      </c>
      <c r="L487" s="350">
        <v>222707946.46893394</v>
      </c>
      <c r="M487" s="350">
        <v>256353695.18421942</v>
      </c>
      <c r="N487" s="350">
        <v>290502689.27083731</v>
      </c>
      <c r="O487" s="348">
        <v>1115962841.3894508</v>
      </c>
      <c r="P487" s="369"/>
      <c r="Q487" s="350">
        <f t="shared" si="213"/>
        <v>31060619.149603695</v>
      </c>
      <c r="R487" s="350">
        <f t="shared" si="214"/>
        <v>62744068.433289781</v>
      </c>
      <c r="S487" s="350">
        <f t="shared" si="215"/>
        <v>94906778.186095774</v>
      </c>
      <c r="T487" s="350">
        <f t="shared" si="216"/>
        <v>127561749.53386985</v>
      </c>
      <c r="U487" s="350">
        <f t="shared" si="217"/>
        <v>160714539.81895638</v>
      </c>
      <c r="V487" s="350">
        <f t="shared" si="218"/>
        <v>476987755.12181544</v>
      </c>
      <c r="W487" s="365"/>
      <c r="X487" s="377">
        <f t="shared" si="196"/>
        <v>0</v>
      </c>
      <c r="Y487" s="377">
        <f t="shared" si="197"/>
        <v>0</v>
      </c>
      <c r="Z487" s="377">
        <f t="shared" si="198"/>
        <v>0</v>
      </c>
      <c r="AA487" s="377">
        <f t="shared" si="199"/>
        <v>0</v>
      </c>
      <c r="AB487" s="377">
        <f t="shared" si="200"/>
        <v>0</v>
      </c>
      <c r="AC487" s="377">
        <f t="shared" si="201"/>
        <v>0</v>
      </c>
      <c r="AD487" s="376"/>
      <c r="AE487" s="332">
        <v>472</v>
      </c>
      <c r="AF487" s="350">
        <v>140704277.13019925</v>
      </c>
      <c r="AG487" s="350">
        <v>141858333.67775345</v>
      </c>
      <c r="AH487" s="350">
        <v>142964033.5705834</v>
      </c>
      <c r="AI487" s="350">
        <v>144072360.91009879</v>
      </c>
      <c r="AJ487" s="350">
        <v>145186758.49846888</v>
      </c>
      <c r="AK487" s="348">
        <v>714785763.78710377</v>
      </c>
      <c r="AL487" s="369"/>
      <c r="AM487" s="350">
        <v>175875809.82818764</v>
      </c>
      <c r="AN487" s="350">
        <v>212903632.76915005</v>
      </c>
      <c r="AO487" s="350">
        <v>250425743.05845201</v>
      </c>
      <c r="AP487" s="350">
        <v>288507846.47105718</v>
      </c>
      <c r="AQ487" s="350">
        <v>327159678.21067762</v>
      </c>
      <c r="AR487" s="348">
        <v>1254872710.3375244</v>
      </c>
      <c r="AS487" s="369"/>
      <c r="AT487" s="350">
        <f t="shared" si="219"/>
        <v>35171532.697988391</v>
      </c>
      <c r="AU487" s="350">
        <f t="shared" si="202"/>
        <v>71045299.0913966</v>
      </c>
      <c r="AV487" s="350">
        <f t="shared" si="203"/>
        <v>107461709.48786861</v>
      </c>
      <c r="AW487" s="350">
        <f t="shared" si="204"/>
        <v>144435485.56095839</v>
      </c>
      <c r="AX487" s="350">
        <f t="shared" si="205"/>
        <v>181972919.71220875</v>
      </c>
      <c r="AY487" s="350">
        <f t="shared" si="206"/>
        <v>540086946.55042064</v>
      </c>
      <c r="AZ487" s="365"/>
      <c r="BA487" s="377">
        <f t="shared" si="207"/>
        <v>0</v>
      </c>
      <c r="BB487" s="377">
        <f t="shared" si="208"/>
        <v>0</v>
      </c>
      <c r="BC487" s="377">
        <f t="shared" si="209"/>
        <v>0</v>
      </c>
      <c r="BD487" s="377">
        <f t="shared" si="210"/>
        <v>0</v>
      </c>
      <c r="BE487" s="377">
        <f t="shared" si="211"/>
        <v>0</v>
      </c>
      <c r="BF487" s="377">
        <f t="shared" si="212"/>
        <v>0</v>
      </c>
      <c r="BG487" s="328"/>
    </row>
    <row r="488" spans="2:59">
      <c r="B488" s="332">
        <v>473</v>
      </c>
      <c r="C488" s="350">
        <v>138098022.14109266</v>
      </c>
      <c r="D488" s="350">
        <v>139230702.18399388</v>
      </c>
      <c r="E488" s="350">
        <v>140315921.27893394</v>
      </c>
      <c r="F488" s="350">
        <v>141403719.15255755</v>
      </c>
      <c r="G488" s="350">
        <v>142497474.83626226</v>
      </c>
      <c r="H488" s="348">
        <v>701545839.59284019</v>
      </c>
      <c r="I488" s="369"/>
      <c r="J488" s="350">
        <v>172264784.78677878</v>
      </c>
      <c r="K488" s="350">
        <v>208236034.90574148</v>
      </c>
      <c r="L488" s="350">
        <v>244686804.40602642</v>
      </c>
      <c r="M488" s="350">
        <v>281681433.54743767</v>
      </c>
      <c r="N488" s="350">
        <v>319229412.42128611</v>
      </c>
      <c r="O488" s="348">
        <v>1226098470.0672705</v>
      </c>
      <c r="P488" s="369"/>
      <c r="Q488" s="350">
        <f t="shared" si="213"/>
        <v>34166762.64568612</v>
      </c>
      <c r="R488" s="350">
        <f t="shared" si="214"/>
        <v>69005332.721747607</v>
      </c>
      <c r="S488" s="350">
        <f t="shared" si="215"/>
        <v>104370883.12709248</v>
      </c>
      <c r="T488" s="350">
        <f t="shared" si="216"/>
        <v>140277714.39488012</v>
      </c>
      <c r="U488" s="350">
        <f t="shared" si="217"/>
        <v>176731937.58502385</v>
      </c>
      <c r="V488" s="350">
        <f t="shared" si="218"/>
        <v>524552630.47443032</v>
      </c>
      <c r="W488" s="365"/>
      <c r="X488" s="377">
        <f t="shared" si="196"/>
        <v>0</v>
      </c>
      <c r="Y488" s="377">
        <f t="shared" si="197"/>
        <v>0</v>
      </c>
      <c r="Z488" s="377">
        <f t="shared" si="198"/>
        <v>0</v>
      </c>
      <c r="AA488" s="377">
        <f t="shared" si="199"/>
        <v>0</v>
      </c>
      <c r="AB488" s="377">
        <f t="shared" si="200"/>
        <v>0</v>
      </c>
      <c r="AC488" s="377">
        <f t="shared" si="201"/>
        <v>0</v>
      </c>
      <c r="AD488" s="376"/>
      <c r="AE488" s="332">
        <v>473</v>
      </c>
      <c r="AF488" s="350">
        <v>151656560.80802578</v>
      </c>
      <c r="AG488" s="350">
        <v>152900447.99148434</v>
      </c>
      <c r="AH488" s="350">
        <v>154092214.48538584</v>
      </c>
      <c r="AI488" s="350">
        <v>155286812.94385964</v>
      </c>
      <c r="AJ488" s="350">
        <v>156487954.15343767</v>
      </c>
      <c r="AK488" s="348">
        <v>770423990.38219333</v>
      </c>
      <c r="AL488" s="369"/>
      <c r="AM488" s="350">
        <v>185879094.67300779</v>
      </c>
      <c r="AN488" s="350">
        <v>222031121.11563227</v>
      </c>
      <c r="AO488" s="350">
        <v>258659065.39928946</v>
      </c>
      <c r="AP488" s="350">
        <v>295832204.76011807</v>
      </c>
      <c r="AQ488" s="350">
        <v>333560372.95855296</v>
      </c>
      <c r="AR488" s="348">
        <v>1295961858.9066005</v>
      </c>
      <c r="AS488" s="369"/>
      <c r="AT488" s="350">
        <f t="shared" si="219"/>
        <v>34222533.864982009</v>
      </c>
      <c r="AU488" s="350">
        <f t="shared" si="202"/>
        <v>69130673.124147922</v>
      </c>
      <c r="AV488" s="350">
        <f t="shared" si="203"/>
        <v>104566850.91390362</v>
      </c>
      <c r="AW488" s="350">
        <f t="shared" si="204"/>
        <v>140545391.81625843</v>
      </c>
      <c r="AX488" s="350">
        <f t="shared" si="205"/>
        <v>177072418.80511528</v>
      </c>
      <c r="AY488" s="350">
        <f t="shared" si="206"/>
        <v>525537868.52440715</v>
      </c>
      <c r="AZ488" s="365"/>
      <c r="BA488" s="377">
        <f t="shared" si="207"/>
        <v>0</v>
      </c>
      <c r="BB488" s="377">
        <f t="shared" si="208"/>
        <v>0</v>
      </c>
      <c r="BC488" s="377">
        <f t="shared" si="209"/>
        <v>0</v>
      </c>
      <c r="BD488" s="377">
        <f t="shared" si="210"/>
        <v>0</v>
      </c>
      <c r="BE488" s="377">
        <f t="shared" si="211"/>
        <v>0</v>
      </c>
      <c r="BF488" s="377">
        <f t="shared" si="212"/>
        <v>0</v>
      </c>
      <c r="BG488" s="328"/>
    </row>
    <row r="489" spans="2:59">
      <c r="B489" s="332">
        <v>474</v>
      </c>
      <c r="C489" s="350">
        <v>120212213.53423141</v>
      </c>
      <c r="D489" s="350">
        <v>121198194.16648178</v>
      </c>
      <c r="E489" s="350">
        <v>122142860.77031687</v>
      </c>
      <c r="F489" s="350">
        <v>123089772.16150621</v>
      </c>
      <c r="G489" s="350">
        <v>124041869.7351373</v>
      </c>
      <c r="H489" s="348">
        <v>610684910.36767364</v>
      </c>
      <c r="I489" s="369"/>
      <c r="J489" s="350">
        <v>151667695.56391975</v>
      </c>
      <c r="K489" s="350">
        <v>184738793.32157075</v>
      </c>
      <c r="L489" s="350">
        <v>218253912.84390253</v>
      </c>
      <c r="M489" s="350">
        <v>252269779.2895014</v>
      </c>
      <c r="N489" s="350">
        <v>286794961.87449569</v>
      </c>
      <c r="O489" s="348">
        <v>1093725142.8933902</v>
      </c>
      <c r="P489" s="369"/>
      <c r="Q489" s="350">
        <f t="shared" si="213"/>
        <v>31455482.029688343</v>
      </c>
      <c r="R489" s="350">
        <f t="shared" si="214"/>
        <v>63540599.155088976</v>
      </c>
      <c r="S489" s="350">
        <f t="shared" si="215"/>
        <v>96111052.073585659</v>
      </c>
      <c r="T489" s="350">
        <f t="shared" si="216"/>
        <v>129180007.12799519</v>
      </c>
      <c r="U489" s="350">
        <f t="shared" si="217"/>
        <v>162753092.1393584</v>
      </c>
      <c r="V489" s="350">
        <f t="shared" si="218"/>
        <v>483040232.52571654</v>
      </c>
      <c r="W489" s="365"/>
      <c r="X489" s="377">
        <f t="shared" si="196"/>
        <v>0</v>
      </c>
      <c r="Y489" s="377">
        <f t="shared" si="197"/>
        <v>0</v>
      </c>
      <c r="Z489" s="377">
        <f t="shared" si="198"/>
        <v>0</v>
      </c>
      <c r="AA489" s="377">
        <f t="shared" si="199"/>
        <v>0</v>
      </c>
      <c r="AB489" s="377">
        <f t="shared" si="200"/>
        <v>0</v>
      </c>
      <c r="AC489" s="377">
        <f t="shared" si="201"/>
        <v>0</v>
      </c>
      <c r="AD489" s="376"/>
      <c r="AE489" s="332">
        <v>474</v>
      </c>
      <c r="AF489" s="350">
        <v>125315165.05480526</v>
      </c>
      <c r="AG489" s="350">
        <v>126343000.09784031</v>
      </c>
      <c r="AH489" s="350">
        <v>127327767.35152413</v>
      </c>
      <c r="AI489" s="350">
        <v>128314874.682722</v>
      </c>
      <c r="AJ489" s="350">
        <v>129307388.34734961</v>
      </c>
      <c r="AK489" s="348">
        <v>636608195.53424132</v>
      </c>
      <c r="AL489" s="369"/>
      <c r="AM489" s="350">
        <v>156570483.67258328</v>
      </c>
      <c r="AN489" s="350">
        <v>189467916.94595009</v>
      </c>
      <c r="AO489" s="350">
        <v>222804352.92831376</v>
      </c>
      <c r="AP489" s="350">
        <v>256638281.41622016</v>
      </c>
      <c r="AQ489" s="350">
        <v>290978358.9423064</v>
      </c>
      <c r="AR489" s="348">
        <v>1116459393.9053736</v>
      </c>
      <c r="AS489" s="369"/>
      <c r="AT489" s="350">
        <f t="shared" si="219"/>
        <v>31255318.617778018</v>
      </c>
      <c r="AU489" s="350">
        <f t="shared" si="202"/>
        <v>63124916.848109782</v>
      </c>
      <c r="AV489" s="350">
        <f t="shared" si="203"/>
        <v>95476585.576789632</v>
      </c>
      <c r="AW489" s="350">
        <f t="shared" si="204"/>
        <v>128323406.73349816</v>
      </c>
      <c r="AX489" s="350">
        <f t="shared" si="205"/>
        <v>161670970.59495679</v>
      </c>
      <c r="AY489" s="350">
        <f t="shared" si="206"/>
        <v>479851198.37113225</v>
      </c>
      <c r="AZ489" s="365"/>
      <c r="BA489" s="377">
        <f t="shared" si="207"/>
        <v>0</v>
      </c>
      <c r="BB489" s="377">
        <f t="shared" si="208"/>
        <v>0</v>
      </c>
      <c r="BC489" s="377">
        <f t="shared" si="209"/>
        <v>0</v>
      </c>
      <c r="BD489" s="377">
        <f t="shared" si="210"/>
        <v>0</v>
      </c>
      <c r="BE489" s="377">
        <f t="shared" si="211"/>
        <v>0</v>
      </c>
      <c r="BF489" s="377">
        <f t="shared" si="212"/>
        <v>0</v>
      </c>
      <c r="BG489" s="328"/>
    </row>
    <row r="490" spans="2:59">
      <c r="B490" s="332">
        <v>475</v>
      </c>
      <c r="C490" s="350">
        <v>133692246.98532301</v>
      </c>
      <c r="D490" s="350">
        <v>134788790.85831332</v>
      </c>
      <c r="E490" s="350">
        <v>135839387.94163495</v>
      </c>
      <c r="F490" s="350">
        <v>136892481.53222966</v>
      </c>
      <c r="G490" s="350">
        <v>137951342.85942557</v>
      </c>
      <c r="H490" s="348">
        <v>679164250.17692649</v>
      </c>
      <c r="I490" s="369"/>
      <c r="J490" s="350">
        <v>170828912.92053226</v>
      </c>
      <c r="K490" s="350">
        <v>209801823.5688619</v>
      </c>
      <c r="L490" s="350">
        <v>249301722.91834471</v>
      </c>
      <c r="M490" s="350">
        <v>289392598.38283688</v>
      </c>
      <c r="N490" s="350">
        <v>330084364.89755225</v>
      </c>
      <c r="O490" s="348">
        <v>1249409422.688128</v>
      </c>
      <c r="P490" s="369"/>
      <c r="Q490" s="350">
        <f t="shared" si="213"/>
        <v>37136665.935209244</v>
      </c>
      <c r="R490" s="350">
        <f t="shared" si="214"/>
        <v>75013032.71054858</v>
      </c>
      <c r="S490" s="350">
        <f t="shared" si="215"/>
        <v>113462334.97670975</v>
      </c>
      <c r="T490" s="350">
        <f t="shared" si="216"/>
        <v>152500116.85060722</v>
      </c>
      <c r="U490" s="350">
        <f t="shared" si="217"/>
        <v>192133022.03812668</v>
      </c>
      <c r="V490" s="350">
        <f t="shared" si="218"/>
        <v>570245172.5112015</v>
      </c>
      <c r="W490" s="365"/>
      <c r="X490" s="377">
        <f t="shared" si="196"/>
        <v>0</v>
      </c>
      <c r="Y490" s="377">
        <f t="shared" si="197"/>
        <v>0</v>
      </c>
      <c r="Z490" s="377">
        <f t="shared" si="198"/>
        <v>0</v>
      </c>
      <c r="AA490" s="377">
        <f t="shared" si="199"/>
        <v>0</v>
      </c>
      <c r="AB490" s="377">
        <f t="shared" si="200"/>
        <v>0</v>
      </c>
      <c r="AC490" s="377">
        <f t="shared" si="201"/>
        <v>0</v>
      </c>
      <c r="AD490" s="376"/>
      <c r="AE490" s="332">
        <v>475</v>
      </c>
      <c r="AF490" s="350">
        <v>126373711.11793643</v>
      </c>
      <c r="AG490" s="350">
        <v>127410228.35628185</v>
      </c>
      <c r="AH490" s="350">
        <v>128403314.00861302</v>
      </c>
      <c r="AI490" s="350">
        <v>129398759.50525859</v>
      </c>
      <c r="AJ490" s="350">
        <v>130399657.00301477</v>
      </c>
      <c r="AK490" s="348">
        <v>641985669.99110472</v>
      </c>
      <c r="AL490" s="369"/>
      <c r="AM490" s="350">
        <v>162838077.07719764</v>
      </c>
      <c r="AN490" s="350">
        <v>201038845.52516368</v>
      </c>
      <c r="AO490" s="350">
        <v>239758333.87087682</v>
      </c>
      <c r="AP490" s="350">
        <v>279057594.79191667</v>
      </c>
      <c r="AQ490" s="350">
        <v>318946239.84380126</v>
      </c>
      <c r="AR490" s="348">
        <v>1201639091.1089561</v>
      </c>
      <c r="AS490" s="369"/>
      <c r="AT490" s="350">
        <f t="shared" si="219"/>
        <v>36464365.959261209</v>
      </c>
      <c r="AU490" s="350">
        <f t="shared" si="202"/>
        <v>73628617.168881834</v>
      </c>
      <c r="AV490" s="350">
        <f t="shared" si="203"/>
        <v>111355019.8622638</v>
      </c>
      <c r="AW490" s="350">
        <f t="shared" si="204"/>
        <v>149658835.28665808</v>
      </c>
      <c r="AX490" s="350">
        <f t="shared" si="205"/>
        <v>188546582.84078649</v>
      </c>
      <c r="AY490" s="350">
        <f t="shared" si="206"/>
        <v>559653421.11785138</v>
      </c>
      <c r="AZ490" s="365"/>
      <c r="BA490" s="377">
        <f t="shared" si="207"/>
        <v>0</v>
      </c>
      <c r="BB490" s="377">
        <f t="shared" si="208"/>
        <v>0</v>
      </c>
      <c r="BC490" s="377">
        <f t="shared" si="209"/>
        <v>0</v>
      </c>
      <c r="BD490" s="377">
        <f t="shared" si="210"/>
        <v>0</v>
      </c>
      <c r="BE490" s="377">
        <f t="shared" si="211"/>
        <v>0</v>
      </c>
      <c r="BF490" s="377">
        <f t="shared" si="212"/>
        <v>0</v>
      </c>
      <c r="BG490" s="328"/>
    </row>
    <row r="491" spans="2:59">
      <c r="B491" s="332">
        <v>476</v>
      </c>
      <c r="C491" s="350">
        <v>128088828.97320342</v>
      </c>
      <c r="D491" s="350">
        <v>129139413.60900873</v>
      </c>
      <c r="E491" s="350">
        <v>130145977.21430224</v>
      </c>
      <c r="F491" s="350">
        <v>131154932.69122881</v>
      </c>
      <c r="G491" s="350">
        <v>132169414.16269684</v>
      </c>
      <c r="H491" s="348">
        <v>650698566.65043998</v>
      </c>
      <c r="I491" s="369"/>
      <c r="J491" s="350">
        <v>162920085.18550798</v>
      </c>
      <c r="K491" s="350">
        <v>199489573.49972919</v>
      </c>
      <c r="L491" s="350">
        <v>236552313.3584227</v>
      </c>
      <c r="M491" s="350">
        <v>274169296.47550619</v>
      </c>
      <c r="N491" s="350">
        <v>312349887.30846423</v>
      </c>
      <c r="O491" s="348">
        <v>1185481155.8276303</v>
      </c>
      <c r="P491" s="369"/>
      <c r="Q491" s="350">
        <f t="shared" si="213"/>
        <v>34831256.212304562</v>
      </c>
      <c r="R491" s="350">
        <f t="shared" si="214"/>
        <v>70350159.890720457</v>
      </c>
      <c r="S491" s="350">
        <f t="shared" si="215"/>
        <v>106406336.14412045</v>
      </c>
      <c r="T491" s="350">
        <f t="shared" si="216"/>
        <v>143014363.78427738</v>
      </c>
      <c r="U491" s="350">
        <f t="shared" si="217"/>
        <v>180180473.14576739</v>
      </c>
      <c r="V491" s="350">
        <f t="shared" si="218"/>
        <v>534782589.1771903</v>
      </c>
      <c r="W491" s="365"/>
      <c r="X491" s="377">
        <f t="shared" si="196"/>
        <v>0</v>
      </c>
      <c r="Y491" s="377">
        <f t="shared" si="197"/>
        <v>0</v>
      </c>
      <c r="Z491" s="377">
        <f t="shared" si="198"/>
        <v>0</v>
      </c>
      <c r="AA491" s="377">
        <f t="shared" si="199"/>
        <v>0</v>
      </c>
      <c r="AB491" s="377">
        <f t="shared" si="200"/>
        <v>0</v>
      </c>
      <c r="AC491" s="377">
        <f t="shared" si="201"/>
        <v>0</v>
      </c>
      <c r="AD491" s="376"/>
      <c r="AE491" s="332">
        <v>476</v>
      </c>
      <c r="AF491" s="350">
        <v>126305506.96539319</v>
      </c>
      <c r="AG491" s="350">
        <v>127341464.79324713</v>
      </c>
      <c r="AH491" s="350">
        <v>128334014.4752035</v>
      </c>
      <c r="AI491" s="350">
        <v>129328922.72786133</v>
      </c>
      <c r="AJ491" s="350">
        <v>130329280.03917356</v>
      </c>
      <c r="AK491" s="348">
        <v>641639189.00087869</v>
      </c>
      <c r="AL491" s="369"/>
      <c r="AM491" s="350">
        <v>161868713.01919425</v>
      </c>
      <c r="AN491" s="350">
        <v>199149253.80501232</v>
      </c>
      <c r="AO491" s="350">
        <v>236934626.34186184</v>
      </c>
      <c r="AP491" s="350">
        <v>275285481.36834866</v>
      </c>
      <c r="AQ491" s="350">
        <v>314211267.46941328</v>
      </c>
      <c r="AR491" s="348">
        <v>1187449342.0038304</v>
      </c>
      <c r="AS491" s="369"/>
      <c r="AT491" s="350">
        <f t="shared" si="219"/>
        <v>35563206.05380106</v>
      </c>
      <c r="AU491" s="350">
        <f t="shared" si="202"/>
        <v>71807789.011765182</v>
      </c>
      <c r="AV491" s="350">
        <f t="shared" si="203"/>
        <v>108600611.86665834</v>
      </c>
      <c r="AW491" s="350">
        <f t="shared" si="204"/>
        <v>145956558.64048731</v>
      </c>
      <c r="AX491" s="350">
        <f t="shared" si="205"/>
        <v>183881987.43023974</v>
      </c>
      <c r="AY491" s="350">
        <f t="shared" si="206"/>
        <v>545810153.00295174</v>
      </c>
      <c r="AZ491" s="365"/>
      <c r="BA491" s="377">
        <f t="shared" si="207"/>
        <v>0</v>
      </c>
      <c r="BB491" s="377">
        <f t="shared" si="208"/>
        <v>0</v>
      </c>
      <c r="BC491" s="377">
        <f t="shared" si="209"/>
        <v>0</v>
      </c>
      <c r="BD491" s="377">
        <f t="shared" si="210"/>
        <v>0</v>
      </c>
      <c r="BE491" s="377">
        <f t="shared" si="211"/>
        <v>0</v>
      </c>
      <c r="BF491" s="377">
        <f t="shared" si="212"/>
        <v>0</v>
      </c>
      <c r="BG491" s="328"/>
    </row>
    <row r="492" spans="2:59">
      <c r="B492" s="332">
        <v>477</v>
      </c>
      <c r="C492" s="350">
        <v>135649657.64598781</v>
      </c>
      <c r="D492" s="350">
        <v>136762256.20214245</v>
      </c>
      <c r="E492" s="350">
        <v>137828235.25395769</v>
      </c>
      <c r="F492" s="350">
        <v>138896747.36482853</v>
      </c>
      <c r="G492" s="350">
        <v>139971111.65870166</v>
      </c>
      <c r="H492" s="348">
        <v>689108008.1256181</v>
      </c>
      <c r="I492" s="369"/>
      <c r="J492" s="350">
        <v>168749347.77702981</v>
      </c>
      <c r="K492" s="350">
        <v>203638440.87808233</v>
      </c>
      <c r="L492" s="350">
        <v>238991841.49367198</v>
      </c>
      <c r="M492" s="350">
        <v>274872557.53955662</v>
      </c>
      <c r="N492" s="350">
        <v>311289832.30862999</v>
      </c>
      <c r="O492" s="348">
        <v>1197542019.9969707</v>
      </c>
      <c r="P492" s="369"/>
      <c r="Q492" s="350">
        <f t="shared" si="213"/>
        <v>33099690.131042004</v>
      </c>
      <c r="R492" s="350">
        <f t="shared" si="214"/>
        <v>66876184.675939888</v>
      </c>
      <c r="S492" s="350">
        <f t="shared" si="215"/>
        <v>101163606.23971429</v>
      </c>
      <c r="T492" s="350">
        <f t="shared" si="216"/>
        <v>135975810.1747281</v>
      </c>
      <c r="U492" s="350">
        <f t="shared" si="217"/>
        <v>171318720.64992833</v>
      </c>
      <c r="V492" s="350">
        <f t="shared" si="218"/>
        <v>508434011.87135255</v>
      </c>
      <c r="W492" s="365"/>
      <c r="X492" s="377">
        <f t="shared" si="196"/>
        <v>0</v>
      </c>
      <c r="Y492" s="377">
        <f t="shared" si="197"/>
        <v>0</v>
      </c>
      <c r="Z492" s="377">
        <f t="shared" si="198"/>
        <v>0</v>
      </c>
      <c r="AA492" s="377">
        <f t="shared" si="199"/>
        <v>0</v>
      </c>
      <c r="AB492" s="377">
        <f t="shared" si="200"/>
        <v>0</v>
      </c>
      <c r="AC492" s="377">
        <f t="shared" si="201"/>
        <v>0</v>
      </c>
      <c r="AD492" s="376"/>
      <c r="AE492" s="332">
        <v>477</v>
      </c>
      <c r="AF492" s="350">
        <v>112221586.03209649</v>
      </c>
      <c r="AG492" s="350">
        <v>113142027.53379595</v>
      </c>
      <c r="AH492" s="350">
        <v>114023901.19236344</v>
      </c>
      <c r="AI492" s="350">
        <v>114907870.42499775</v>
      </c>
      <c r="AJ492" s="350">
        <v>115796681.10927789</v>
      </c>
      <c r="AK492" s="348">
        <v>570092066.29253149</v>
      </c>
      <c r="AL492" s="369"/>
      <c r="AM492" s="350">
        <v>140572632.42114329</v>
      </c>
      <c r="AN492" s="350">
        <v>170397479.54804438</v>
      </c>
      <c r="AO492" s="350">
        <v>200620975.03125995</v>
      </c>
      <c r="AP492" s="350">
        <v>231295648.41961193</v>
      </c>
      <c r="AQ492" s="350">
        <v>262429315.82758287</v>
      </c>
      <c r="AR492" s="348">
        <v>1005316051.2476424</v>
      </c>
      <c r="AS492" s="369"/>
      <c r="AT492" s="350">
        <f t="shared" si="219"/>
        <v>28351046.389046803</v>
      </c>
      <c r="AU492" s="350">
        <f t="shared" si="202"/>
        <v>57255452.014248431</v>
      </c>
      <c r="AV492" s="350">
        <f t="shared" si="203"/>
        <v>86597073.838896513</v>
      </c>
      <c r="AW492" s="350">
        <f t="shared" si="204"/>
        <v>116387777.99461418</v>
      </c>
      <c r="AX492" s="350">
        <f t="shared" si="205"/>
        <v>146632634.71830499</v>
      </c>
      <c r="AY492" s="350">
        <f t="shared" si="206"/>
        <v>435223984.95511091</v>
      </c>
      <c r="AZ492" s="365"/>
      <c r="BA492" s="377">
        <f t="shared" si="207"/>
        <v>0</v>
      </c>
      <c r="BB492" s="377">
        <f t="shared" si="208"/>
        <v>0</v>
      </c>
      <c r="BC492" s="377">
        <f t="shared" si="209"/>
        <v>0</v>
      </c>
      <c r="BD492" s="377">
        <f t="shared" si="210"/>
        <v>0</v>
      </c>
      <c r="BE492" s="377">
        <f t="shared" si="211"/>
        <v>0</v>
      </c>
      <c r="BF492" s="377">
        <f t="shared" si="212"/>
        <v>0</v>
      </c>
      <c r="BG492" s="328"/>
    </row>
    <row r="493" spans="2:59">
      <c r="B493" s="332">
        <v>478</v>
      </c>
      <c r="C493" s="350">
        <v>119665564.83796918</v>
      </c>
      <c r="D493" s="350">
        <v>120647061.85735433</v>
      </c>
      <c r="E493" s="350">
        <v>121587432.71825111</v>
      </c>
      <c r="F493" s="350">
        <v>122530038.15863687</v>
      </c>
      <c r="G493" s="350">
        <v>123477806.19800481</v>
      </c>
      <c r="H493" s="348">
        <v>607907903.77021635</v>
      </c>
      <c r="I493" s="369"/>
      <c r="J493" s="350">
        <v>151293229.38759834</v>
      </c>
      <c r="K493" s="350">
        <v>184541452.80362332</v>
      </c>
      <c r="L493" s="350">
        <v>218236635.73296779</v>
      </c>
      <c r="M493" s="350">
        <v>252435377.65927267</v>
      </c>
      <c r="N493" s="350">
        <v>287146266.14174116</v>
      </c>
      <c r="O493" s="348">
        <v>1093652961.7252033</v>
      </c>
      <c r="P493" s="369"/>
      <c r="Q493" s="350">
        <f t="shared" si="213"/>
        <v>31627664.549629152</v>
      </c>
      <c r="R493" s="350">
        <f t="shared" si="214"/>
        <v>63894390.946268991</v>
      </c>
      <c r="S493" s="350">
        <f t="shared" si="215"/>
        <v>96649203.014716685</v>
      </c>
      <c r="T493" s="350">
        <f t="shared" si="216"/>
        <v>129905339.5006358</v>
      </c>
      <c r="U493" s="350">
        <f t="shared" si="217"/>
        <v>163668459.94373634</v>
      </c>
      <c r="V493" s="350">
        <f t="shared" si="218"/>
        <v>485745057.95498693</v>
      </c>
      <c r="W493" s="365"/>
      <c r="X493" s="377">
        <f t="shared" si="196"/>
        <v>0</v>
      </c>
      <c r="Y493" s="377">
        <f t="shared" si="197"/>
        <v>0</v>
      </c>
      <c r="Z493" s="377">
        <f t="shared" si="198"/>
        <v>0</v>
      </c>
      <c r="AA493" s="377">
        <f t="shared" si="199"/>
        <v>0</v>
      </c>
      <c r="AB493" s="377">
        <f t="shared" si="200"/>
        <v>0</v>
      </c>
      <c r="AC493" s="377">
        <f t="shared" si="201"/>
        <v>0</v>
      </c>
      <c r="AD493" s="376"/>
      <c r="AE493" s="332">
        <v>478</v>
      </c>
      <c r="AF493" s="350">
        <v>150927295.12438858</v>
      </c>
      <c r="AG493" s="350">
        <v>152165200.87036511</v>
      </c>
      <c r="AH493" s="350">
        <v>153351236.55775034</v>
      </c>
      <c r="AI493" s="350">
        <v>154540090.59173742</v>
      </c>
      <c r="AJ493" s="350">
        <v>155735455.91492656</v>
      </c>
      <c r="AK493" s="348">
        <v>766719279.05916798</v>
      </c>
      <c r="AL493" s="369"/>
      <c r="AM493" s="350">
        <v>193757281.57605946</v>
      </c>
      <c r="AN493" s="350">
        <v>238671626.64976859</v>
      </c>
      <c r="AO493" s="350">
        <v>284194768.66897058</v>
      </c>
      <c r="AP493" s="350">
        <v>330399322.81227612</v>
      </c>
      <c r="AQ493" s="350">
        <v>377296643.24153048</v>
      </c>
      <c r="AR493" s="348">
        <v>1424319642.9486053</v>
      </c>
      <c r="AS493" s="369"/>
      <c r="AT493" s="350">
        <f t="shared" si="219"/>
        <v>42829986.451670885</v>
      </c>
      <c r="AU493" s="350">
        <f t="shared" si="202"/>
        <v>86506425.779403478</v>
      </c>
      <c r="AV493" s="350">
        <f t="shared" si="203"/>
        <v>130843532.11122024</v>
      </c>
      <c r="AW493" s="350">
        <f t="shared" si="204"/>
        <v>175859232.22053871</v>
      </c>
      <c r="AX493" s="350">
        <f t="shared" si="205"/>
        <v>221561187.32660392</v>
      </c>
      <c r="AY493" s="350">
        <f t="shared" si="206"/>
        <v>657600363.88943732</v>
      </c>
      <c r="AZ493" s="365"/>
      <c r="BA493" s="377">
        <f t="shared" si="207"/>
        <v>0</v>
      </c>
      <c r="BB493" s="377">
        <f t="shared" si="208"/>
        <v>0</v>
      </c>
      <c r="BC493" s="377">
        <f t="shared" si="209"/>
        <v>0</v>
      </c>
      <c r="BD493" s="377">
        <f t="shared" si="210"/>
        <v>0</v>
      </c>
      <c r="BE493" s="377">
        <f t="shared" si="211"/>
        <v>0</v>
      </c>
      <c r="BF493" s="377">
        <f t="shared" si="212"/>
        <v>0</v>
      </c>
      <c r="BG493" s="328"/>
    </row>
    <row r="494" spans="2:59">
      <c r="B494" s="332">
        <v>479</v>
      </c>
      <c r="C494" s="350">
        <v>121473074.58244769</v>
      </c>
      <c r="D494" s="350">
        <v>122469396.79761177</v>
      </c>
      <c r="E494" s="350">
        <v>123423971.65693358</v>
      </c>
      <c r="F494" s="350">
        <v>124380814.84834652</v>
      </c>
      <c r="G494" s="350">
        <v>125342898.61813356</v>
      </c>
      <c r="H494" s="348">
        <v>617090156.50347316</v>
      </c>
      <c r="I494" s="369"/>
      <c r="J494" s="350">
        <v>149318165.74151489</v>
      </c>
      <c r="K494" s="350">
        <v>178726234.23008403</v>
      </c>
      <c r="L494" s="350">
        <v>208522330.17466888</v>
      </c>
      <c r="M494" s="350">
        <v>238762124.91831636</v>
      </c>
      <c r="N494" s="350">
        <v>269453573.99722189</v>
      </c>
      <c r="O494" s="348">
        <v>1044782429.061806</v>
      </c>
      <c r="P494" s="369"/>
      <c r="Q494" s="350">
        <f t="shared" si="213"/>
        <v>27845091.159067199</v>
      </c>
      <c r="R494" s="350">
        <f t="shared" si="214"/>
        <v>56256837.432472259</v>
      </c>
      <c r="S494" s="350">
        <f t="shared" si="215"/>
        <v>85098358.517735302</v>
      </c>
      <c r="T494" s="350">
        <f t="shared" si="216"/>
        <v>114381310.06996985</v>
      </c>
      <c r="U494" s="350">
        <f t="shared" si="217"/>
        <v>144110675.37908834</v>
      </c>
      <c r="V494" s="350">
        <f t="shared" si="218"/>
        <v>427692272.5583328</v>
      </c>
      <c r="W494" s="365"/>
      <c r="X494" s="377">
        <f t="shared" si="196"/>
        <v>0</v>
      </c>
      <c r="Y494" s="377">
        <f t="shared" si="197"/>
        <v>0</v>
      </c>
      <c r="Z494" s="377">
        <f t="shared" si="198"/>
        <v>0</v>
      </c>
      <c r="AA494" s="377">
        <f t="shared" si="199"/>
        <v>0</v>
      </c>
      <c r="AB494" s="377">
        <f t="shared" si="200"/>
        <v>0</v>
      </c>
      <c r="AC494" s="377">
        <f t="shared" si="201"/>
        <v>0</v>
      </c>
      <c r="AD494" s="376"/>
      <c r="AE494" s="332">
        <v>479</v>
      </c>
      <c r="AF494" s="350">
        <v>126486350.74488407</v>
      </c>
      <c r="AG494" s="350">
        <v>127523791.85350299</v>
      </c>
      <c r="AH494" s="350">
        <v>128517762.66459396</v>
      </c>
      <c r="AI494" s="350">
        <v>129514095.42337972</v>
      </c>
      <c r="AJ494" s="350">
        <v>130515885.04276277</v>
      </c>
      <c r="AK494" s="348">
        <v>642557885.72912359</v>
      </c>
      <c r="AL494" s="369"/>
      <c r="AM494" s="350">
        <v>158256174.15659922</v>
      </c>
      <c r="AN494" s="350">
        <v>191695237.63750333</v>
      </c>
      <c r="AO494" s="350">
        <v>225580952.32484746</v>
      </c>
      <c r="AP494" s="350">
        <v>259972448.15137652</v>
      </c>
      <c r="AQ494" s="350">
        <v>294878503.46091813</v>
      </c>
      <c r="AR494" s="348">
        <v>1130383315.7312446</v>
      </c>
      <c r="AS494" s="369"/>
      <c r="AT494" s="350">
        <f t="shared" si="219"/>
        <v>31769823.41171515</v>
      </c>
      <c r="AU494" s="350">
        <f t="shared" si="202"/>
        <v>64171445.784000337</v>
      </c>
      <c r="AV494" s="350">
        <f t="shared" si="203"/>
        <v>97063189.660253495</v>
      </c>
      <c r="AW494" s="350">
        <f t="shared" si="204"/>
        <v>130458352.7279968</v>
      </c>
      <c r="AX494" s="350">
        <f t="shared" si="205"/>
        <v>164362618.41815537</v>
      </c>
      <c r="AY494" s="350">
        <f t="shared" si="206"/>
        <v>487825430.00212097</v>
      </c>
      <c r="AZ494" s="365"/>
      <c r="BA494" s="377">
        <f t="shared" si="207"/>
        <v>0</v>
      </c>
      <c r="BB494" s="377">
        <f t="shared" si="208"/>
        <v>0</v>
      </c>
      <c r="BC494" s="377">
        <f t="shared" si="209"/>
        <v>0</v>
      </c>
      <c r="BD494" s="377">
        <f t="shared" si="210"/>
        <v>0</v>
      </c>
      <c r="BE494" s="377">
        <f t="shared" si="211"/>
        <v>0</v>
      </c>
      <c r="BF494" s="377">
        <f t="shared" si="212"/>
        <v>0</v>
      </c>
      <c r="BG494" s="328"/>
    </row>
    <row r="495" spans="2:59">
      <c r="B495" s="332">
        <v>480</v>
      </c>
      <c r="C495" s="350">
        <v>131975426.06748834</v>
      </c>
      <c r="D495" s="350">
        <v>133057888.57449871</v>
      </c>
      <c r="E495" s="350">
        <v>134094994.32163948</v>
      </c>
      <c r="F495" s="350">
        <v>135134564.51693237</v>
      </c>
      <c r="G495" s="350">
        <v>136179828.3819223</v>
      </c>
      <c r="H495" s="348">
        <v>670442701.86248112</v>
      </c>
      <c r="I495" s="369"/>
      <c r="J495" s="350">
        <v>165684938.60963917</v>
      </c>
      <c r="K495" s="350">
        <v>201124045.95595396</v>
      </c>
      <c r="L495" s="350">
        <v>237037479.84978533</v>
      </c>
      <c r="M495" s="350">
        <v>273487169.77831763</v>
      </c>
      <c r="N495" s="350">
        <v>310482371.84525281</v>
      </c>
      <c r="O495" s="348">
        <v>1187816006.0389488</v>
      </c>
      <c r="P495" s="369"/>
      <c r="Q495" s="350">
        <f t="shared" si="213"/>
        <v>33709512.542150825</v>
      </c>
      <c r="R495" s="350">
        <f t="shared" si="214"/>
        <v>68066157.381455243</v>
      </c>
      <c r="S495" s="350">
        <f t="shared" si="215"/>
        <v>102942485.52814585</v>
      </c>
      <c r="T495" s="350">
        <f t="shared" si="216"/>
        <v>138352605.26138526</v>
      </c>
      <c r="U495" s="350">
        <f t="shared" si="217"/>
        <v>174302543.46333051</v>
      </c>
      <c r="V495" s="350">
        <f t="shared" si="218"/>
        <v>517373304.17646766</v>
      </c>
      <c r="W495" s="365"/>
      <c r="X495" s="377">
        <f t="shared" si="196"/>
        <v>0</v>
      </c>
      <c r="Y495" s="377">
        <f t="shared" si="197"/>
        <v>0</v>
      </c>
      <c r="Z495" s="377">
        <f t="shared" si="198"/>
        <v>0</v>
      </c>
      <c r="AA495" s="377">
        <f t="shared" si="199"/>
        <v>0</v>
      </c>
      <c r="AB495" s="377">
        <f t="shared" si="200"/>
        <v>0</v>
      </c>
      <c r="AC495" s="377">
        <f t="shared" si="201"/>
        <v>0</v>
      </c>
      <c r="AD495" s="376"/>
      <c r="AE495" s="332">
        <v>480</v>
      </c>
      <c r="AF495" s="350">
        <v>137285573.9918803</v>
      </c>
      <c r="AG495" s="350">
        <v>138411590.33467746</v>
      </c>
      <c r="AH495" s="350">
        <v>139490424.94827959</v>
      </c>
      <c r="AI495" s="350">
        <v>140571823.16928369</v>
      </c>
      <c r="AJ495" s="350">
        <v>141659144.14981779</v>
      </c>
      <c r="AK495" s="348">
        <v>697418556.59393895</v>
      </c>
      <c r="AL495" s="369"/>
      <c r="AM495" s="350">
        <v>170691643.34298542</v>
      </c>
      <c r="AN495" s="350">
        <v>205882044.64425647</v>
      </c>
      <c r="AO495" s="350">
        <v>241540534.62988964</v>
      </c>
      <c r="AP495" s="350">
        <v>277730840.86211526</v>
      </c>
      <c r="AQ495" s="350">
        <v>314462297.71921301</v>
      </c>
      <c r="AR495" s="348">
        <v>1210307361.1984596</v>
      </c>
      <c r="AS495" s="369"/>
      <c r="AT495" s="350">
        <f t="shared" si="219"/>
        <v>33406069.351105124</v>
      </c>
      <c r="AU495" s="350">
        <f t="shared" si="202"/>
        <v>67470454.309579015</v>
      </c>
      <c r="AV495" s="350">
        <f t="shared" si="203"/>
        <v>102050109.68161005</v>
      </c>
      <c r="AW495" s="350">
        <f t="shared" si="204"/>
        <v>137159017.69283158</v>
      </c>
      <c r="AX495" s="350">
        <f t="shared" si="205"/>
        <v>172803153.56939521</v>
      </c>
      <c r="AY495" s="350">
        <f t="shared" si="206"/>
        <v>512888804.60452068</v>
      </c>
      <c r="AZ495" s="365"/>
      <c r="BA495" s="377">
        <f t="shared" si="207"/>
        <v>0</v>
      </c>
      <c r="BB495" s="377">
        <f t="shared" si="208"/>
        <v>0</v>
      </c>
      <c r="BC495" s="377">
        <f t="shared" si="209"/>
        <v>0</v>
      </c>
      <c r="BD495" s="377">
        <f t="shared" si="210"/>
        <v>0</v>
      </c>
      <c r="BE495" s="377">
        <f t="shared" si="211"/>
        <v>0</v>
      </c>
      <c r="BF495" s="377">
        <f t="shared" si="212"/>
        <v>0</v>
      </c>
      <c r="BG495" s="328"/>
    </row>
    <row r="496" spans="2:59">
      <c r="B496" s="332">
        <v>481</v>
      </c>
      <c r="C496" s="350">
        <v>138455380.89376777</v>
      </c>
      <c r="D496" s="350">
        <v>139590991.99332738</v>
      </c>
      <c r="E496" s="350">
        <v>140679019.32937145</v>
      </c>
      <c r="F496" s="350">
        <v>141769632.11725122</v>
      </c>
      <c r="G496" s="350">
        <v>142866218.1323452</v>
      </c>
      <c r="H496" s="348">
        <v>703361242.46606302</v>
      </c>
      <c r="I496" s="369"/>
      <c r="J496" s="350">
        <v>170890233.28218931</v>
      </c>
      <c r="K496" s="350">
        <v>205114662.44957542</v>
      </c>
      <c r="L496" s="350">
        <v>239792028.32238027</v>
      </c>
      <c r="M496" s="350">
        <v>274986076.65714359</v>
      </c>
      <c r="N496" s="350">
        <v>310705998.99470609</v>
      </c>
      <c r="O496" s="348">
        <v>1201488999.7059946</v>
      </c>
      <c r="P496" s="369"/>
      <c r="Q496" s="350">
        <f t="shared" si="213"/>
        <v>32434852.388421535</v>
      </c>
      <c r="R496" s="350">
        <f t="shared" si="214"/>
        <v>65523670.456248045</v>
      </c>
      <c r="S496" s="350">
        <f t="shared" si="215"/>
        <v>99113008.993008822</v>
      </c>
      <c r="T496" s="350">
        <f t="shared" si="216"/>
        <v>133216444.53989238</v>
      </c>
      <c r="U496" s="350">
        <f t="shared" si="217"/>
        <v>167839780.86236089</v>
      </c>
      <c r="V496" s="350">
        <f t="shared" si="218"/>
        <v>498127757.23993158</v>
      </c>
      <c r="W496" s="365"/>
      <c r="X496" s="377">
        <f t="shared" si="196"/>
        <v>0</v>
      </c>
      <c r="Y496" s="377">
        <f t="shared" si="197"/>
        <v>0</v>
      </c>
      <c r="Z496" s="377">
        <f t="shared" si="198"/>
        <v>0</v>
      </c>
      <c r="AA496" s="377">
        <f t="shared" si="199"/>
        <v>0</v>
      </c>
      <c r="AB496" s="377">
        <f t="shared" si="200"/>
        <v>0</v>
      </c>
      <c r="AC496" s="377">
        <f t="shared" si="201"/>
        <v>0</v>
      </c>
      <c r="AD496" s="376"/>
      <c r="AE496" s="332">
        <v>481</v>
      </c>
      <c r="AF496" s="350">
        <v>120111134.86267465</v>
      </c>
      <c r="AG496" s="350">
        <v>121096286.44761312</v>
      </c>
      <c r="AH496" s="350">
        <v>122040158.74242941</v>
      </c>
      <c r="AI496" s="350">
        <v>122986273.93710354</v>
      </c>
      <c r="AJ496" s="350">
        <v>123937570.95349416</v>
      </c>
      <c r="AK496" s="348">
        <v>610171424.94331491</v>
      </c>
      <c r="AL496" s="369"/>
      <c r="AM496" s="350">
        <v>150153164.87674308</v>
      </c>
      <c r="AN496" s="350">
        <v>181776949.08010861</v>
      </c>
      <c r="AO496" s="350">
        <v>213822907.33528954</v>
      </c>
      <c r="AP496" s="350">
        <v>246347136.28212848</v>
      </c>
      <c r="AQ496" s="350">
        <v>279357949.0539</v>
      </c>
      <c r="AR496" s="348">
        <v>1071458106.6281697</v>
      </c>
      <c r="AS496" s="369"/>
      <c r="AT496" s="350">
        <f t="shared" si="219"/>
        <v>30042030.014068425</v>
      </c>
      <c r="AU496" s="350">
        <f t="shared" si="202"/>
        <v>60680662.632495493</v>
      </c>
      <c r="AV496" s="350">
        <f t="shared" si="203"/>
        <v>91782748.592860132</v>
      </c>
      <c r="AW496" s="350">
        <f t="shared" si="204"/>
        <v>123360862.34502494</v>
      </c>
      <c r="AX496" s="350">
        <f t="shared" si="205"/>
        <v>155420378.10040584</v>
      </c>
      <c r="AY496" s="350">
        <f t="shared" si="206"/>
        <v>461286681.68485475</v>
      </c>
      <c r="AZ496" s="365"/>
      <c r="BA496" s="377">
        <f t="shared" si="207"/>
        <v>0</v>
      </c>
      <c r="BB496" s="377">
        <f t="shared" si="208"/>
        <v>0</v>
      </c>
      <c r="BC496" s="377">
        <f t="shared" si="209"/>
        <v>0</v>
      </c>
      <c r="BD496" s="377">
        <f t="shared" si="210"/>
        <v>0</v>
      </c>
      <c r="BE496" s="377">
        <f t="shared" si="211"/>
        <v>0</v>
      </c>
      <c r="BF496" s="377">
        <f t="shared" si="212"/>
        <v>0</v>
      </c>
      <c r="BG496" s="328"/>
    </row>
    <row r="497" spans="2:59">
      <c r="B497" s="332">
        <v>482</v>
      </c>
      <c r="C497" s="350">
        <v>153802264.43542492</v>
      </c>
      <c r="D497" s="350">
        <v>155063750.68105003</v>
      </c>
      <c r="E497" s="350">
        <v>156272378.81071162</v>
      </c>
      <c r="F497" s="350">
        <v>157483878.97282407</v>
      </c>
      <c r="G497" s="350">
        <v>158702014.45575678</v>
      </c>
      <c r="H497" s="348">
        <v>781324287.35576749</v>
      </c>
      <c r="I497" s="369"/>
      <c r="J497" s="350">
        <v>189075328.32370266</v>
      </c>
      <c r="K497" s="350">
        <v>226343354.07452258</v>
      </c>
      <c r="L497" s="350">
        <v>264103187.60909539</v>
      </c>
      <c r="M497" s="350">
        <v>302425324.87039769</v>
      </c>
      <c r="N497" s="350">
        <v>341319844.17229056</v>
      </c>
      <c r="O497" s="348">
        <v>1323267039.0500088</v>
      </c>
      <c r="P497" s="369"/>
      <c r="Q497" s="350">
        <f t="shared" si="213"/>
        <v>35273063.888277739</v>
      </c>
      <c r="R497" s="350">
        <f t="shared" si="214"/>
        <v>71279603.393472552</v>
      </c>
      <c r="S497" s="350">
        <f t="shared" si="215"/>
        <v>107830808.79838377</v>
      </c>
      <c r="T497" s="350">
        <f t="shared" si="216"/>
        <v>144941445.89757362</v>
      </c>
      <c r="U497" s="350">
        <f t="shared" si="217"/>
        <v>182617829.71653378</v>
      </c>
      <c r="V497" s="350">
        <f t="shared" si="218"/>
        <v>541942751.69424129</v>
      </c>
      <c r="W497" s="365"/>
      <c r="X497" s="377">
        <f t="shared" si="196"/>
        <v>0</v>
      </c>
      <c r="Y497" s="377">
        <f t="shared" si="197"/>
        <v>0</v>
      </c>
      <c r="Z497" s="377">
        <f t="shared" si="198"/>
        <v>0</v>
      </c>
      <c r="AA497" s="377">
        <f t="shared" si="199"/>
        <v>0</v>
      </c>
      <c r="AB497" s="377">
        <f t="shared" si="200"/>
        <v>0</v>
      </c>
      <c r="AC497" s="377">
        <f t="shared" si="201"/>
        <v>0</v>
      </c>
      <c r="AD497" s="376"/>
      <c r="AE497" s="332">
        <v>482</v>
      </c>
      <c r="AF497" s="350">
        <v>128054495.671317</v>
      </c>
      <c r="AG497" s="350">
        <v>129104798.70536397</v>
      </c>
      <c r="AH497" s="350">
        <v>130111092.50842409</v>
      </c>
      <c r="AI497" s="350">
        <v>131119777.54199308</v>
      </c>
      <c r="AJ497" s="350">
        <v>132133987.08889984</v>
      </c>
      <c r="AK497" s="348">
        <v>650524151.51599801</v>
      </c>
      <c r="AL497" s="369"/>
      <c r="AM497" s="350">
        <v>163279578.21507356</v>
      </c>
      <c r="AN497" s="350">
        <v>200241933.15955609</v>
      </c>
      <c r="AO497" s="350">
        <v>237703494.45037383</v>
      </c>
      <c r="AP497" s="350">
        <v>275725405.7292527</v>
      </c>
      <c r="AQ497" s="350">
        <v>314317099.7677784</v>
      </c>
      <c r="AR497" s="348">
        <v>1191267511.3220344</v>
      </c>
      <c r="AS497" s="369"/>
      <c r="AT497" s="350">
        <f t="shared" si="219"/>
        <v>35225082.543756559</v>
      </c>
      <c r="AU497" s="350">
        <f t="shared" si="202"/>
        <v>71137134.454192117</v>
      </c>
      <c r="AV497" s="350">
        <f t="shared" si="203"/>
        <v>107592401.94194974</v>
      </c>
      <c r="AW497" s="350">
        <f t="shared" si="204"/>
        <v>144605628.18725961</v>
      </c>
      <c r="AX497" s="350">
        <f t="shared" si="205"/>
        <v>182183112.67887855</v>
      </c>
      <c r="AY497" s="350">
        <f t="shared" si="206"/>
        <v>540743359.80603635</v>
      </c>
      <c r="AZ497" s="365"/>
      <c r="BA497" s="377">
        <f t="shared" si="207"/>
        <v>0</v>
      </c>
      <c r="BB497" s="377">
        <f t="shared" si="208"/>
        <v>0</v>
      </c>
      <c r="BC497" s="377">
        <f t="shared" si="209"/>
        <v>0</v>
      </c>
      <c r="BD497" s="377">
        <f t="shared" si="210"/>
        <v>0</v>
      </c>
      <c r="BE497" s="377">
        <f t="shared" si="211"/>
        <v>0</v>
      </c>
      <c r="BF497" s="377">
        <f t="shared" si="212"/>
        <v>0</v>
      </c>
      <c r="BG497" s="328"/>
    </row>
    <row r="498" spans="2:59">
      <c r="B498" s="332">
        <v>483</v>
      </c>
      <c r="C498" s="350">
        <v>117657066.17682204</v>
      </c>
      <c r="D498" s="350">
        <v>118622089.48923871</v>
      </c>
      <c r="E498" s="350">
        <v>119546676.91554718</v>
      </c>
      <c r="F498" s="350">
        <v>120473461.41556826</v>
      </c>
      <c r="G498" s="350">
        <v>121405321.86413747</v>
      </c>
      <c r="H498" s="348">
        <v>597704615.86131358</v>
      </c>
      <c r="I498" s="369"/>
      <c r="J498" s="350">
        <v>150133950.55953515</v>
      </c>
      <c r="K498" s="350">
        <v>184244605.57498622</v>
      </c>
      <c r="L498" s="350">
        <v>218816211.00953773</v>
      </c>
      <c r="M498" s="350">
        <v>253904994.73215044</v>
      </c>
      <c r="N498" s="350">
        <v>289519649.03110385</v>
      </c>
      <c r="O498" s="348">
        <v>1096619410.9073133</v>
      </c>
      <c r="P498" s="369"/>
      <c r="Q498" s="350">
        <f t="shared" si="213"/>
        <v>32476884.382713109</v>
      </c>
      <c r="R498" s="350">
        <f t="shared" si="214"/>
        <v>65622516.08574751</v>
      </c>
      <c r="S498" s="350">
        <f t="shared" si="215"/>
        <v>99269534.093990549</v>
      </c>
      <c r="T498" s="350">
        <f t="shared" si="216"/>
        <v>133431533.31658217</v>
      </c>
      <c r="U498" s="350">
        <f t="shared" si="217"/>
        <v>168114327.16696638</v>
      </c>
      <c r="V498" s="350">
        <f t="shared" si="218"/>
        <v>498914795.04599977</v>
      </c>
      <c r="W498" s="365"/>
      <c r="X498" s="377">
        <f t="shared" si="196"/>
        <v>0</v>
      </c>
      <c r="Y498" s="377">
        <f t="shared" si="197"/>
        <v>0</v>
      </c>
      <c r="Z498" s="377">
        <f t="shared" si="198"/>
        <v>0</v>
      </c>
      <c r="AA498" s="377">
        <f t="shared" si="199"/>
        <v>0</v>
      </c>
      <c r="AB498" s="377">
        <f t="shared" si="200"/>
        <v>0</v>
      </c>
      <c r="AC498" s="377">
        <f t="shared" si="201"/>
        <v>0</v>
      </c>
      <c r="AD498" s="376"/>
      <c r="AE498" s="332">
        <v>483</v>
      </c>
      <c r="AF498" s="350">
        <v>133624809.52058536</v>
      </c>
      <c r="AG498" s="350">
        <v>134720800.27145797</v>
      </c>
      <c r="AH498" s="350">
        <v>135770867.4092865</v>
      </c>
      <c r="AI498" s="350">
        <v>136823429.79509205</v>
      </c>
      <c r="AJ498" s="350">
        <v>137881757.00811881</v>
      </c>
      <c r="AK498" s="348">
        <v>678821664.00454068</v>
      </c>
      <c r="AL498" s="369"/>
      <c r="AM498" s="350">
        <v>167437550.09601182</v>
      </c>
      <c r="AN498" s="350">
        <v>203019528.3575719</v>
      </c>
      <c r="AO498" s="350">
        <v>239077233.93359044</v>
      </c>
      <c r="AP498" s="350">
        <v>275673238.50872397</v>
      </c>
      <c r="AQ498" s="350">
        <v>312816860.68408734</v>
      </c>
      <c r="AR498" s="348">
        <v>1198024411.5799854</v>
      </c>
      <c r="AS498" s="369"/>
      <c r="AT498" s="350">
        <f t="shared" si="219"/>
        <v>33812740.575426459</v>
      </c>
      <c r="AU498" s="350">
        <f t="shared" si="202"/>
        <v>68298728.08611393</v>
      </c>
      <c r="AV498" s="350">
        <f t="shared" si="203"/>
        <v>103306366.52430394</v>
      </c>
      <c r="AW498" s="350">
        <f t="shared" si="204"/>
        <v>138849808.71363193</v>
      </c>
      <c r="AX498" s="350">
        <f t="shared" si="205"/>
        <v>174935103.67596853</v>
      </c>
      <c r="AY498" s="350">
        <f t="shared" si="206"/>
        <v>519202747.5754447</v>
      </c>
      <c r="AZ498" s="365"/>
      <c r="BA498" s="377">
        <f t="shared" si="207"/>
        <v>0</v>
      </c>
      <c r="BB498" s="377">
        <f t="shared" si="208"/>
        <v>0</v>
      </c>
      <c r="BC498" s="377">
        <f t="shared" si="209"/>
        <v>0</v>
      </c>
      <c r="BD498" s="377">
        <f t="shared" si="210"/>
        <v>0</v>
      </c>
      <c r="BE498" s="377">
        <f t="shared" si="211"/>
        <v>0</v>
      </c>
      <c r="BF498" s="377">
        <f t="shared" si="212"/>
        <v>0</v>
      </c>
      <c r="BG498" s="328"/>
    </row>
    <row r="499" spans="2:59">
      <c r="B499" s="332">
        <v>484</v>
      </c>
      <c r="C499" s="350">
        <v>127266637.60593277</v>
      </c>
      <c r="D499" s="350">
        <v>128310478.62775493</v>
      </c>
      <c r="E499" s="350">
        <v>129310581.18633959</v>
      </c>
      <c r="F499" s="350">
        <v>130313060.26333541</v>
      </c>
      <c r="G499" s="350">
        <v>131321029.8639808</v>
      </c>
      <c r="H499" s="348">
        <v>646521787.54734349</v>
      </c>
      <c r="I499" s="369"/>
      <c r="J499" s="350">
        <v>158594753.29271182</v>
      </c>
      <c r="K499" s="350">
        <v>191573678.98707229</v>
      </c>
      <c r="L499" s="350">
        <v>224991923.24457401</v>
      </c>
      <c r="M499" s="350">
        <v>258908712.96008489</v>
      </c>
      <c r="N499" s="350">
        <v>293332764.10163504</v>
      </c>
      <c r="O499" s="348">
        <v>1127401832.5860779</v>
      </c>
      <c r="P499" s="369"/>
      <c r="Q499" s="350">
        <f t="shared" si="213"/>
        <v>31328115.686779052</v>
      </c>
      <c r="R499" s="350">
        <f t="shared" si="214"/>
        <v>63263200.359317362</v>
      </c>
      <c r="S499" s="350">
        <f t="shared" si="215"/>
        <v>95681342.058234423</v>
      </c>
      <c r="T499" s="350">
        <f t="shared" si="216"/>
        <v>128595652.69674948</v>
      </c>
      <c r="U499" s="350">
        <f t="shared" si="217"/>
        <v>162011734.23765424</v>
      </c>
      <c r="V499" s="350">
        <f t="shared" si="218"/>
        <v>480880045.03873444</v>
      </c>
      <c r="W499" s="365"/>
      <c r="X499" s="377">
        <f t="shared" si="196"/>
        <v>0</v>
      </c>
      <c r="Y499" s="377">
        <f t="shared" si="197"/>
        <v>0</v>
      </c>
      <c r="Z499" s="377">
        <f t="shared" si="198"/>
        <v>0</v>
      </c>
      <c r="AA499" s="377">
        <f t="shared" si="199"/>
        <v>0</v>
      </c>
      <c r="AB499" s="377">
        <f t="shared" si="200"/>
        <v>0</v>
      </c>
      <c r="AC499" s="377">
        <f t="shared" si="201"/>
        <v>0</v>
      </c>
      <c r="AD499" s="376"/>
      <c r="AE499" s="332">
        <v>484</v>
      </c>
      <c r="AF499" s="350">
        <v>139855673.16454121</v>
      </c>
      <c r="AG499" s="350">
        <v>141002769.46196786</v>
      </c>
      <c r="AH499" s="350">
        <v>142101800.74931529</v>
      </c>
      <c r="AI499" s="350">
        <v>143203443.63690966</v>
      </c>
      <c r="AJ499" s="350">
        <v>144311120.16297734</v>
      </c>
      <c r="AK499" s="348">
        <v>710474807.17571127</v>
      </c>
      <c r="AL499" s="369"/>
      <c r="AM499" s="350">
        <v>175875199.96002543</v>
      </c>
      <c r="AN499" s="350">
        <v>213770512.8853935</v>
      </c>
      <c r="AO499" s="350">
        <v>252173636.56594384</v>
      </c>
      <c r="AP499" s="350">
        <v>291150324.75790226</v>
      </c>
      <c r="AQ499" s="350">
        <v>330710445.06628293</v>
      </c>
      <c r="AR499" s="348">
        <v>1263680119.235548</v>
      </c>
      <c r="AS499" s="369"/>
      <c r="AT499" s="350">
        <f t="shared" si="219"/>
        <v>36019526.795484215</v>
      </c>
      <c r="AU499" s="350">
        <f t="shared" si="202"/>
        <v>72767743.423425645</v>
      </c>
      <c r="AV499" s="350">
        <f t="shared" si="203"/>
        <v>110071835.81662855</v>
      </c>
      <c r="AW499" s="350">
        <f t="shared" si="204"/>
        <v>147946881.1209926</v>
      </c>
      <c r="AX499" s="350">
        <f t="shared" si="205"/>
        <v>186399324.90330559</v>
      </c>
      <c r="AY499" s="350">
        <f t="shared" si="206"/>
        <v>553205312.05983675</v>
      </c>
      <c r="AZ499" s="365"/>
      <c r="BA499" s="377">
        <f t="shared" si="207"/>
        <v>0</v>
      </c>
      <c r="BB499" s="377">
        <f t="shared" si="208"/>
        <v>0</v>
      </c>
      <c r="BC499" s="377">
        <f t="shared" si="209"/>
        <v>0</v>
      </c>
      <c r="BD499" s="377">
        <f t="shared" si="210"/>
        <v>0</v>
      </c>
      <c r="BE499" s="377">
        <f t="shared" si="211"/>
        <v>0</v>
      </c>
      <c r="BF499" s="377">
        <f t="shared" si="212"/>
        <v>0</v>
      </c>
      <c r="BG499" s="328"/>
    </row>
    <row r="500" spans="2:59">
      <c r="B500" s="332">
        <v>485</v>
      </c>
      <c r="C500" s="350">
        <v>143614310.3650142</v>
      </c>
      <c r="D500" s="350">
        <v>144792235.00653633</v>
      </c>
      <c r="E500" s="350">
        <v>145920802.88534015</v>
      </c>
      <c r="F500" s="350">
        <v>147052052.5514459</v>
      </c>
      <c r="G500" s="350">
        <v>148189498.01074851</v>
      </c>
      <c r="H500" s="348">
        <v>729568898.81908512</v>
      </c>
      <c r="I500" s="369"/>
      <c r="J500" s="350">
        <v>178053066.23282886</v>
      </c>
      <c r="K500" s="350">
        <v>214345926.72435069</v>
      </c>
      <c r="L500" s="350">
        <v>251120590.73613375</v>
      </c>
      <c r="M500" s="350">
        <v>288443511.14019066</v>
      </c>
      <c r="N500" s="350">
        <v>326324361.50207102</v>
      </c>
      <c r="O500" s="348">
        <v>1258287456.3355751</v>
      </c>
      <c r="P500" s="369"/>
      <c r="Q500" s="350">
        <f t="shared" si="213"/>
        <v>34438755.86781466</v>
      </c>
      <c r="R500" s="350">
        <f t="shared" si="214"/>
        <v>69553691.717814356</v>
      </c>
      <c r="S500" s="350">
        <f t="shared" si="215"/>
        <v>105199787.8507936</v>
      </c>
      <c r="T500" s="350">
        <f t="shared" si="216"/>
        <v>141391458.58874476</v>
      </c>
      <c r="U500" s="350">
        <f t="shared" si="217"/>
        <v>178134863.49132252</v>
      </c>
      <c r="V500" s="350">
        <f t="shared" si="218"/>
        <v>528718557.51648998</v>
      </c>
      <c r="W500" s="365"/>
      <c r="X500" s="377">
        <f t="shared" si="196"/>
        <v>0</v>
      </c>
      <c r="Y500" s="377">
        <f t="shared" si="197"/>
        <v>0</v>
      </c>
      <c r="Z500" s="377">
        <f t="shared" si="198"/>
        <v>0</v>
      </c>
      <c r="AA500" s="377">
        <f t="shared" si="199"/>
        <v>0</v>
      </c>
      <c r="AB500" s="377">
        <f t="shared" si="200"/>
        <v>0</v>
      </c>
      <c r="AC500" s="377">
        <f t="shared" si="201"/>
        <v>0</v>
      </c>
      <c r="AD500" s="376"/>
      <c r="AE500" s="332">
        <v>485</v>
      </c>
      <c r="AF500" s="350">
        <v>131568884.1630754</v>
      </c>
      <c r="AG500" s="350">
        <v>132648012.2131936</v>
      </c>
      <c r="AH500" s="350">
        <v>133681923.22205552</v>
      </c>
      <c r="AI500" s="350">
        <v>134718291.08749384</v>
      </c>
      <c r="AJ500" s="350">
        <v>135760335.08364192</v>
      </c>
      <c r="AK500" s="348">
        <v>668377445.76946032</v>
      </c>
      <c r="AL500" s="369"/>
      <c r="AM500" s="350">
        <v>163442666.12934345</v>
      </c>
      <c r="AN500" s="350">
        <v>197024821.80489171</v>
      </c>
      <c r="AO500" s="350">
        <v>231053413.70825318</v>
      </c>
      <c r="AP500" s="350">
        <v>265589456.68128735</v>
      </c>
      <c r="AQ500" s="350">
        <v>300641871.32130152</v>
      </c>
      <c r="AR500" s="348">
        <v>1157752229.6450772</v>
      </c>
      <c r="AS500" s="369"/>
      <c r="AT500" s="350">
        <f t="shared" si="219"/>
        <v>31873781.966268048</v>
      </c>
      <c r="AU500" s="350">
        <f t="shared" si="202"/>
        <v>64376809.59169811</v>
      </c>
      <c r="AV500" s="350">
        <f t="shared" si="203"/>
        <v>97371490.48619765</v>
      </c>
      <c r="AW500" s="350">
        <f t="shared" si="204"/>
        <v>130871165.59379351</v>
      </c>
      <c r="AX500" s="350">
        <f t="shared" si="205"/>
        <v>164881536.2376596</v>
      </c>
      <c r="AY500" s="350">
        <f t="shared" si="206"/>
        <v>489374783.87561691</v>
      </c>
      <c r="AZ500" s="365"/>
      <c r="BA500" s="377">
        <f t="shared" si="207"/>
        <v>0</v>
      </c>
      <c r="BB500" s="377">
        <f t="shared" si="208"/>
        <v>0</v>
      </c>
      <c r="BC500" s="377">
        <f t="shared" si="209"/>
        <v>0</v>
      </c>
      <c r="BD500" s="377">
        <f t="shared" si="210"/>
        <v>0</v>
      </c>
      <c r="BE500" s="377">
        <f t="shared" si="211"/>
        <v>0</v>
      </c>
      <c r="BF500" s="377">
        <f t="shared" si="212"/>
        <v>0</v>
      </c>
      <c r="BG500" s="328"/>
    </row>
    <row r="501" spans="2:59">
      <c r="B501" s="332">
        <v>486</v>
      </c>
      <c r="C501" s="350">
        <v>141614338.55982077</v>
      </c>
      <c r="D501" s="350">
        <v>142775859.43165109</v>
      </c>
      <c r="E501" s="350">
        <v>143888710.88266906</v>
      </c>
      <c r="F501" s="350">
        <v>145004206.77443933</v>
      </c>
      <c r="G501" s="350">
        <v>146125812.17683697</v>
      </c>
      <c r="H501" s="348">
        <v>719408927.82541728</v>
      </c>
      <c r="I501" s="369"/>
      <c r="J501" s="350">
        <v>172428402.71933597</v>
      </c>
      <c r="K501" s="350">
        <v>205012773.55764121</v>
      </c>
      <c r="L501" s="350">
        <v>238023789.27552381</v>
      </c>
      <c r="M501" s="350">
        <v>271525661.15355802</v>
      </c>
      <c r="N501" s="350">
        <v>305527366.10143012</v>
      </c>
      <c r="O501" s="348">
        <v>1192517992.8074892</v>
      </c>
      <c r="P501" s="369"/>
      <c r="Q501" s="350">
        <f t="shared" si="213"/>
        <v>30814064.159515202</v>
      </c>
      <c r="R501" s="350">
        <f t="shared" si="214"/>
        <v>62236914.125990123</v>
      </c>
      <c r="S501" s="350">
        <f t="shared" si="215"/>
        <v>94135078.39285475</v>
      </c>
      <c r="T501" s="350">
        <f t="shared" si="216"/>
        <v>126521454.37911868</v>
      </c>
      <c r="U501" s="350">
        <f t="shared" si="217"/>
        <v>159401553.92459315</v>
      </c>
      <c r="V501" s="350">
        <f t="shared" si="218"/>
        <v>473109064.98207188</v>
      </c>
      <c r="W501" s="365"/>
      <c r="X501" s="377">
        <f t="shared" si="196"/>
        <v>0</v>
      </c>
      <c r="Y501" s="377">
        <f t="shared" si="197"/>
        <v>0</v>
      </c>
      <c r="Z501" s="377">
        <f t="shared" si="198"/>
        <v>0</v>
      </c>
      <c r="AA501" s="377">
        <f t="shared" si="199"/>
        <v>0</v>
      </c>
      <c r="AB501" s="377">
        <f t="shared" si="200"/>
        <v>0</v>
      </c>
      <c r="AC501" s="377">
        <f t="shared" si="201"/>
        <v>0</v>
      </c>
      <c r="AD501" s="376"/>
      <c r="AE501" s="332">
        <v>486</v>
      </c>
      <c r="AF501" s="350">
        <v>118405741.16075645</v>
      </c>
      <c r="AG501" s="350">
        <v>119376905.1057454</v>
      </c>
      <c r="AH501" s="350">
        <v>120307375.86315356</v>
      </c>
      <c r="AI501" s="350">
        <v>121240057.6746852</v>
      </c>
      <c r="AJ501" s="350">
        <v>122177847.73402095</v>
      </c>
      <c r="AK501" s="348">
        <v>601507927.53836155</v>
      </c>
      <c r="AL501" s="369"/>
      <c r="AM501" s="350">
        <v>148577056.18907771</v>
      </c>
      <c r="AN501" s="350">
        <v>180331886.68687943</v>
      </c>
      <c r="AO501" s="350">
        <v>212511677.28017908</v>
      </c>
      <c r="AP501" s="350">
        <v>245171961.50675407</v>
      </c>
      <c r="AQ501" s="350">
        <v>278321035.91151029</v>
      </c>
      <c r="AR501" s="348">
        <v>1064913617.5744007</v>
      </c>
      <c r="AS501" s="369"/>
      <c r="AT501" s="350">
        <f t="shared" si="219"/>
        <v>30171315.028321251</v>
      </c>
      <c r="AU501" s="350">
        <f t="shared" si="202"/>
        <v>60954981.581134021</v>
      </c>
      <c r="AV501" s="350">
        <f t="shared" si="203"/>
        <v>92204301.417025521</v>
      </c>
      <c r="AW501" s="350">
        <f t="shared" si="204"/>
        <v>123931903.83206888</v>
      </c>
      <c r="AX501" s="350">
        <f t="shared" si="205"/>
        <v>156143188.17748934</v>
      </c>
      <c r="AY501" s="350">
        <f t="shared" si="206"/>
        <v>463405690.03603911</v>
      </c>
      <c r="AZ501" s="365"/>
      <c r="BA501" s="377">
        <f t="shared" si="207"/>
        <v>0</v>
      </c>
      <c r="BB501" s="377">
        <f t="shared" si="208"/>
        <v>0</v>
      </c>
      <c r="BC501" s="377">
        <f t="shared" si="209"/>
        <v>0</v>
      </c>
      <c r="BD501" s="377">
        <f t="shared" si="210"/>
        <v>0</v>
      </c>
      <c r="BE501" s="377">
        <f t="shared" si="211"/>
        <v>0</v>
      </c>
      <c r="BF501" s="377">
        <f t="shared" si="212"/>
        <v>0</v>
      </c>
      <c r="BG501" s="328"/>
    </row>
    <row r="502" spans="2:59">
      <c r="B502" s="332">
        <v>487</v>
      </c>
      <c r="C502" s="350">
        <v>125883230.76276079</v>
      </c>
      <c r="D502" s="350">
        <v>126915725.08100112</v>
      </c>
      <c r="E502" s="350">
        <v>127904956.3794547</v>
      </c>
      <c r="F502" s="350">
        <v>128896538.36321902</v>
      </c>
      <c r="G502" s="350">
        <v>129893551.18784299</v>
      </c>
      <c r="H502" s="348">
        <v>639494001.77427864</v>
      </c>
      <c r="I502" s="369"/>
      <c r="J502" s="350">
        <v>157135658.06210345</v>
      </c>
      <c r="K502" s="350">
        <v>190043130.3292411</v>
      </c>
      <c r="L502" s="350">
        <v>223389495.30160159</v>
      </c>
      <c r="M502" s="350">
        <v>257233447.86653677</v>
      </c>
      <c r="N502" s="350">
        <v>291583659.2103622</v>
      </c>
      <c r="O502" s="348">
        <v>1119385390.769845</v>
      </c>
      <c r="P502" s="369"/>
      <c r="Q502" s="350">
        <f t="shared" si="213"/>
        <v>31252427.299342662</v>
      </c>
      <c r="R502" s="350">
        <f t="shared" si="214"/>
        <v>63127405.248239979</v>
      </c>
      <c r="S502" s="350">
        <f t="shared" si="215"/>
        <v>95484538.922146887</v>
      </c>
      <c r="T502" s="350">
        <f t="shared" si="216"/>
        <v>128336909.50331774</v>
      </c>
      <c r="U502" s="350">
        <f t="shared" si="217"/>
        <v>161690108.0225192</v>
      </c>
      <c r="V502" s="350">
        <f t="shared" si="218"/>
        <v>479891388.99556637</v>
      </c>
      <c r="W502" s="365"/>
      <c r="X502" s="377">
        <f t="shared" si="196"/>
        <v>0</v>
      </c>
      <c r="Y502" s="377">
        <f t="shared" si="197"/>
        <v>0</v>
      </c>
      <c r="Z502" s="377">
        <f t="shared" si="198"/>
        <v>0</v>
      </c>
      <c r="AA502" s="377">
        <f t="shared" si="199"/>
        <v>0</v>
      </c>
      <c r="AB502" s="377">
        <f t="shared" si="200"/>
        <v>0</v>
      </c>
      <c r="AC502" s="377">
        <f t="shared" si="201"/>
        <v>0</v>
      </c>
      <c r="AD502" s="376"/>
      <c r="AE502" s="332">
        <v>487</v>
      </c>
      <c r="AF502" s="350">
        <v>153596465.35921308</v>
      </c>
      <c r="AG502" s="350">
        <v>154856263.64071774</v>
      </c>
      <c r="AH502" s="350">
        <v>156063274.53442067</v>
      </c>
      <c r="AI502" s="350">
        <v>157273153.61757761</v>
      </c>
      <c r="AJ502" s="350">
        <v>158489659.14299306</v>
      </c>
      <c r="AK502" s="348">
        <v>780278816.29492223</v>
      </c>
      <c r="AL502" s="369"/>
      <c r="AM502" s="350">
        <v>191661287.12383431</v>
      </c>
      <c r="AN502" s="350">
        <v>231724195.65664324</v>
      </c>
      <c r="AO502" s="350">
        <v>272321261.44396639</v>
      </c>
      <c r="AP502" s="350">
        <v>313524071.56800407</v>
      </c>
      <c r="AQ502" s="350">
        <v>355343190.99590528</v>
      </c>
      <c r="AR502" s="348">
        <v>1364574006.7883534</v>
      </c>
      <c r="AS502" s="369"/>
      <c r="AT502" s="350">
        <f t="shared" si="219"/>
        <v>38064821.764621228</v>
      </c>
      <c r="AU502" s="350">
        <f t="shared" si="202"/>
        <v>76867932.015925497</v>
      </c>
      <c r="AV502" s="350">
        <f t="shared" si="203"/>
        <v>116257986.90954572</v>
      </c>
      <c r="AW502" s="350">
        <f t="shared" si="204"/>
        <v>156250917.95042646</v>
      </c>
      <c r="AX502" s="350">
        <f t="shared" si="205"/>
        <v>196853531.85291222</v>
      </c>
      <c r="AY502" s="350">
        <f t="shared" si="206"/>
        <v>584295190.49343121</v>
      </c>
      <c r="AZ502" s="365"/>
      <c r="BA502" s="377">
        <f t="shared" si="207"/>
        <v>0</v>
      </c>
      <c r="BB502" s="377">
        <f t="shared" si="208"/>
        <v>0</v>
      </c>
      <c r="BC502" s="377">
        <f t="shared" si="209"/>
        <v>0</v>
      </c>
      <c r="BD502" s="377">
        <f t="shared" si="210"/>
        <v>0</v>
      </c>
      <c r="BE502" s="377">
        <f t="shared" si="211"/>
        <v>0</v>
      </c>
      <c r="BF502" s="377">
        <f t="shared" si="212"/>
        <v>0</v>
      </c>
      <c r="BG502" s="328"/>
    </row>
    <row r="503" spans="2:59">
      <c r="B503" s="332">
        <v>488</v>
      </c>
      <c r="C503" s="350">
        <v>118442383.57908532</v>
      </c>
      <c r="D503" s="350">
        <v>119413848.06520669</v>
      </c>
      <c r="E503" s="350">
        <v>120344606.77063492</v>
      </c>
      <c r="F503" s="350">
        <v>121277577.2144303</v>
      </c>
      <c r="G503" s="350">
        <v>122215657.48685303</v>
      </c>
      <c r="H503" s="348">
        <v>601694073.11621022</v>
      </c>
      <c r="I503" s="369"/>
      <c r="J503" s="350">
        <v>151300675.96625304</v>
      </c>
      <c r="K503" s="350">
        <v>185768152.67918974</v>
      </c>
      <c r="L503" s="350">
        <v>220701592.07783034</v>
      </c>
      <c r="M503" s="350">
        <v>256157664.08833727</v>
      </c>
      <c r="N503" s="350">
        <v>292145142.55213535</v>
      </c>
      <c r="O503" s="348">
        <v>1106073227.3637457</v>
      </c>
      <c r="P503" s="369"/>
      <c r="Q503" s="350">
        <f t="shared" si="213"/>
        <v>32858292.387167722</v>
      </c>
      <c r="R503" s="350">
        <f t="shared" si="214"/>
        <v>66354304.61398305</v>
      </c>
      <c r="S503" s="350">
        <f t="shared" si="215"/>
        <v>100356985.30719543</v>
      </c>
      <c r="T503" s="350">
        <f t="shared" si="216"/>
        <v>134880086.87390697</v>
      </c>
      <c r="U503" s="350">
        <f t="shared" si="217"/>
        <v>169929485.06528232</v>
      </c>
      <c r="V503" s="350">
        <f t="shared" si="218"/>
        <v>504379154.24753547</v>
      </c>
      <c r="W503" s="365"/>
      <c r="X503" s="377">
        <f t="shared" si="196"/>
        <v>0</v>
      </c>
      <c r="Y503" s="377">
        <f t="shared" si="197"/>
        <v>0</v>
      </c>
      <c r="Z503" s="377">
        <f t="shared" si="198"/>
        <v>0</v>
      </c>
      <c r="AA503" s="377">
        <f t="shared" si="199"/>
        <v>0</v>
      </c>
      <c r="AB503" s="377">
        <f t="shared" si="200"/>
        <v>0</v>
      </c>
      <c r="AC503" s="377">
        <f t="shared" si="201"/>
        <v>0</v>
      </c>
      <c r="AD503" s="376"/>
      <c r="AE503" s="332">
        <v>488</v>
      </c>
      <c r="AF503" s="350">
        <v>124236991.49974971</v>
      </c>
      <c r="AG503" s="350">
        <v>125255983.36277638</v>
      </c>
      <c r="AH503" s="350">
        <v>126232277.9786087</v>
      </c>
      <c r="AI503" s="350">
        <v>127210892.53864014</v>
      </c>
      <c r="AJ503" s="350">
        <v>128194866.91765328</v>
      </c>
      <c r="AK503" s="348">
        <v>631131012.29742825</v>
      </c>
      <c r="AL503" s="369"/>
      <c r="AM503" s="350">
        <v>160992474.5128864</v>
      </c>
      <c r="AN503" s="350">
        <v>199480911.61032814</v>
      </c>
      <c r="AO503" s="350">
        <v>238493423.27802697</v>
      </c>
      <c r="AP503" s="350">
        <v>278090410.26609069</v>
      </c>
      <c r="AQ503" s="350">
        <v>318281485.19215465</v>
      </c>
      <c r="AR503" s="348">
        <v>1195338704.8594868</v>
      </c>
      <c r="AS503" s="369"/>
      <c r="AT503" s="350">
        <f t="shared" si="219"/>
        <v>36755483.0131367</v>
      </c>
      <c r="AU503" s="350">
        <f t="shared" si="202"/>
        <v>74224928.247551754</v>
      </c>
      <c r="AV503" s="350">
        <f t="shared" si="203"/>
        <v>112261145.29941827</v>
      </c>
      <c r="AW503" s="350">
        <f t="shared" si="204"/>
        <v>150879517.72745055</v>
      </c>
      <c r="AX503" s="350">
        <f t="shared" si="205"/>
        <v>190086618.27450138</v>
      </c>
      <c r="AY503" s="350">
        <f t="shared" si="206"/>
        <v>564207692.56205857</v>
      </c>
      <c r="AZ503" s="365"/>
      <c r="BA503" s="377">
        <f t="shared" si="207"/>
        <v>0</v>
      </c>
      <c r="BB503" s="377">
        <f t="shared" si="208"/>
        <v>0</v>
      </c>
      <c r="BC503" s="377">
        <f t="shared" si="209"/>
        <v>0</v>
      </c>
      <c r="BD503" s="377">
        <f t="shared" si="210"/>
        <v>0</v>
      </c>
      <c r="BE503" s="377">
        <f t="shared" si="211"/>
        <v>0</v>
      </c>
      <c r="BF503" s="377">
        <f t="shared" si="212"/>
        <v>0</v>
      </c>
      <c r="BG503" s="328"/>
    </row>
    <row r="504" spans="2:59">
      <c r="B504" s="332">
        <v>489</v>
      </c>
      <c r="C504" s="350">
        <v>116832388.84036815</v>
      </c>
      <c r="D504" s="350">
        <v>117790648.1488813</v>
      </c>
      <c r="E504" s="350">
        <v>118708754.99292791</v>
      </c>
      <c r="F504" s="350">
        <v>119629043.51104346</v>
      </c>
      <c r="G504" s="350">
        <v>120554372.39956576</v>
      </c>
      <c r="H504" s="348">
        <v>593515207.8927865</v>
      </c>
      <c r="I504" s="369"/>
      <c r="J504" s="350">
        <v>151271604.09315842</v>
      </c>
      <c r="K504" s="350">
        <v>187337305.27930838</v>
      </c>
      <c r="L504" s="350">
        <v>223893897.24539304</v>
      </c>
      <c r="M504" s="350">
        <v>260998128.20178741</v>
      </c>
      <c r="N504" s="350">
        <v>298659015.27125359</v>
      </c>
      <c r="O504" s="348">
        <v>1122159950.0909009</v>
      </c>
      <c r="P504" s="369"/>
      <c r="Q504" s="350">
        <f t="shared" si="213"/>
        <v>34439215.252790272</v>
      </c>
      <c r="R504" s="350">
        <f t="shared" si="214"/>
        <v>69546657.130427077</v>
      </c>
      <c r="S504" s="350">
        <f t="shared" si="215"/>
        <v>105185142.25246513</v>
      </c>
      <c r="T504" s="350">
        <f t="shared" si="216"/>
        <v>141369084.69074395</v>
      </c>
      <c r="U504" s="350">
        <f t="shared" si="217"/>
        <v>178104642.87168783</v>
      </c>
      <c r="V504" s="350">
        <f t="shared" si="218"/>
        <v>528644742.1981144</v>
      </c>
      <c r="W504" s="365"/>
      <c r="X504" s="377">
        <f t="shared" si="196"/>
        <v>0</v>
      </c>
      <c r="Y504" s="377">
        <f t="shared" si="197"/>
        <v>0</v>
      </c>
      <c r="Z504" s="377">
        <f t="shared" si="198"/>
        <v>0</v>
      </c>
      <c r="AA504" s="377">
        <f t="shared" si="199"/>
        <v>0</v>
      </c>
      <c r="AB504" s="377">
        <f t="shared" si="200"/>
        <v>0</v>
      </c>
      <c r="AC504" s="377">
        <f t="shared" si="201"/>
        <v>0</v>
      </c>
      <c r="AD504" s="376"/>
      <c r="AE504" s="332">
        <v>489</v>
      </c>
      <c r="AF504" s="350">
        <v>123355367.79108378</v>
      </c>
      <c r="AG504" s="350">
        <v>124367128.57603511</v>
      </c>
      <c r="AH504" s="350">
        <v>125336495.10652369</v>
      </c>
      <c r="AI504" s="350">
        <v>126308165.11817741</v>
      </c>
      <c r="AJ504" s="350">
        <v>127285156.9138972</v>
      </c>
      <c r="AK504" s="348">
        <v>626652313.50571716</v>
      </c>
      <c r="AL504" s="369"/>
      <c r="AM504" s="350">
        <v>153307150.59830752</v>
      </c>
      <c r="AN504" s="350">
        <v>184876463.75374123</v>
      </c>
      <c r="AO504" s="350">
        <v>216865614.60840645</v>
      </c>
      <c r="AP504" s="350">
        <v>249331838.18269452</v>
      </c>
      <c r="AQ504" s="350">
        <v>282283512.51945198</v>
      </c>
      <c r="AR504" s="348">
        <v>1086664579.6626017</v>
      </c>
      <c r="AS504" s="369"/>
      <c r="AT504" s="350">
        <f t="shared" si="219"/>
        <v>29951782.807223737</v>
      </c>
      <c r="AU504" s="350">
        <f t="shared" si="202"/>
        <v>60509335.177706122</v>
      </c>
      <c r="AV504" s="350">
        <f t="shared" si="203"/>
        <v>91529119.501882762</v>
      </c>
      <c r="AW504" s="350">
        <f t="shared" si="204"/>
        <v>123023673.06451711</v>
      </c>
      <c r="AX504" s="350">
        <f t="shared" si="205"/>
        <v>154998355.60555476</v>
      </c>
      <c r="AY504" s="350">
        <f t="shared" si="206"/>
        <v>460012266.15688455</v>
      </c>
      <c r="AZ504" s="365"/>
      <c r="BA504" s="377">
        <f t="shared" si="207"/>
        <v>0</v>
      </c>
      <c r="BB504" s="377">
        <f t="shared" si="208"/>
        <v>0</v>
      </c>
      <c r="BC504" s="377">
        <f t="shared" si="209"/>
        <v>0</v>
      </c>
      <c r="BD504" s="377">
        <f t="shared" si="210"/>
        <v>0</v>
      </c>
      <c r="BE504" s="377">
        <f t="shared" si="211"/>
        <v>0</v>
      </c>
      <c r="BF504" s="377">
        <f t="shared" si="212"/>
        <v>0</v>
      </c>
      <c r="BG504" s="328"/>
    </row>
    <row r="505" spans="2:59">
      <c r="B505" s="332">
        <v>490</v>
      </c>
      <c r="C505" s="350">
        <v>107015860.0355235</v>
      </c>
      <c r="D505" s="350">
        <v>107893604.17013754</v>
      </c>
      <c r="E505" s="350">
        <v>108734569.54365559</v>
      </c>
      <c r="F505" s="350">
        <v>109577533.28191757</v>
      </c>
      <c r="G505" s="350">
        <v>110425113.88695195</v>
      </c>
      <c r="H505" s="348">
        <v>543646680.91818619</v>
      </c>
      <c r="I505" s="369"/>
      <c r="J505" s="350">
        <v>134734311.33655772</v>
      </c>
      <c r="K505" s="350">
        <v>163883660.63759559</v>
      </c>
      <c r="L505" s="350">
        <v>193423881.07422942</v>
      </c>
      <c r="M505" s="350">
        <v>223405351.81033698</v>
      </c>
      <c r="N505" s="350">
        <v>253835650.30631179</v>
      </c>
      <c r="O505" s="348">
        <v>969282855.16503143</v>
      </c>
      <c r="P505" s="369"/>
      <c r="Q505" s="350">
        <f t="shared" si="213"/>
        <v>27718451.301034212</v>
      </c>
      <c r="R505" s="350">
        <f t="shared" si="214"/>
        <v>55990056.467458054</v>
      </c>
      <c r="S505" s="350">
        <f t="shared" si="215"/>
        <v>84689311.53057383</v>
      </c>
      <c r="T505" s="350">
        <f t="shared" si="216"/>
        <v>113827818.52841941</v>
      </c>
      <c r="U505" s="350">
        <f t="shared" si="217"/>
        <v>143410536.41935983</v>
      </c>
      <c r="V505" s="350">
        <f t="shared" si="218"/>
        <v>425636174.24684525</v>
      </c>
      <c r="W505" s="365"/>
      <c r="X505" s="377">
        <f t="shared" si="196"/>
        <v>0</v>
      </c>
      <c r="Y505" s="377">
        <f t="shared" si="197"/>
        <v>0</v>
      </c>
      <c r="Z505" s="377">
        <f t="shared" si="198"/>
        <v>0</v>
      </c>
      <c r="AA505" s="377">
        <f t="shared" si="199"/>
        <v>0</v>
      </c>
      <c r="AB505" s="377">
        <f t="shared" si="200"/>
        <v>0</v>
      </c>
      <c r="AC505" s="377">
        <f t="shared" si="201"/>
        <v>0</v>
      </c>
      <c r="AD505" s="376"/>
      <c r="AE505" s="332">
        <v>490</v>
      </c>
      <c r="AF505" s="350">
        <v>111228329.54501206</v>
      </c>
      <c r="AG505" s="350">
        <v>112140624.35653476</v>
      </c>
      <c r="AH505" s="350">
        <v>113014692.68314129</v>
      </c>
      <c r="AI505" s="350">
        <v>113890838.03620182</v>
      </c>
      <c r="AJ505" s="350">
        <v>114771781.98994318</v>
      </c>
      <c r="AK505" s="348">
        <v>565046266.61083317</v>
      </c>
      <c r="AL505" s="369"/>
      <c r="AM505" s="350">
        <v>142440277.82184741</v>
      </c>
      <c r="AN505" s="350">
        <v>175171159.80819628</v>
      </c>
      <c r="AO505" s="350">
        <v>208345111.05797714</v>
      </c>
      <c r="AP505" s="350">
        <v>242015498.48236945</v>
      </c>
      <c r="AQ505" s="350">
        <v>276190625.13898623</v>
      </c>
      <c r="AR505" s="348">
        <v>1044162672.3093765</v>
      </c>
      <c r="AS505" s="369"/>
      <c r="AT505" s="350">
        <f t="shared" si="219"/>
        <v>31211948.276835352</v>
      </c>
      <c r="AU505" s="350">
        <f t="shared" si="202"/>
        <v>63030535.451661512</v>
      </c>
      <c r="AV505" s="350">
        <f t="shared" si="203"/>
        <v>95330418.374835849</v>
      </c>
      <c r="AW505" s="350">
        <f t="shared" si="204"/>
        <v>128124660.44616763</v>
      </c>
      <c r="AX505" s="350">
        <f t="shared" si="205"/>
        <v>161418843.14904305</v>
      </c>
      <c r="AY505" s="350">
        <f t="shared" si="206"/>
        <v>479116405.69854331</v>
      </c>
      <c r="AZ505" s="365"/>
      <c r="BA505" s="377">
        <f t="shared" si="207"/>
        <v>0</v>
      </c>
      <c r="BB505" s="377">
        <f t="shared" si="208"/>
        <v>0</v>
      </c>
      <c r="BC505" s="377">
        <f t="shared" si="209"/>
        <v>0</v>
      </c>
      <c r="BD505" s="377">
        <f t="shared" si="210"/>
        <v>0</v>
      </c>
      <c r="BE505" s="377">
        <f t="shared" si="211"/>
        <v>0</v>
      </c>
      <c r="BF505" s="377">
        <f t="shared" si="212"/>
        <v>0</v>
      </c>
      <c r="BG505" s="328"/>
    </row>
    <row r="506" spans="2:59">
      <c r="B506" s="332">
        <v>491</v>
      </c>
      <c r="C506" s="350">
        <v>119098059.14123231</v>
      </c>
      <c r="D506" s="350">
        <v>120074901.47862446</v>
      </c>
      <c r="E506" s="350">
        <v>121010812.69550148</v>
      </c>
      <c r="F506" s="350">
        <v>121948947.89452815</v>
      </c>
      <c r="G506" s="350">
        <v>122892221.20926705</v>
      </c>
      <c r="H506" s="348">
        <v>605024942.41915345</v>
      </c>
      <c r="I506" s="369"/>
      <c r="J506" s="350">
        <v>150202413.33441678</v>
      </c>
      <c r="K506" s="350">
        <v>182887251.60094962</v>
      </c>
      <c r="L506" s="350">
        <v>216010781.24598399</v>
      </c>
      <c r="M506" s="350">
        <v>249629175.68939623</v>
      </c>
      <c r="N506" s="350">
        <v>283750911.16931343</v>
      </c>
      <c r="O506" s="348">
        <v>1082480533.04006</v>
      </c>
      <c r="P506" s="369"/>
      <c r="Q506" s="350">
        <f t="shared" si="213"/>
        <v>31104354.193184465</v>
      </c>
      <c r="R506" s="350">
        <f t="shared" si="214"/>
        <v>62812350.122325152</v>
      </c>
      <c r="S506" s="350">
        <f t="shared" si="215"/>
        <v>94999968.550482512</v>
      </c>
      <c r="T506" s="350">
        <f t="shared" si="216"/>
        <v>127680227.79486808</v>
      </c>
      <c r="U506" s="350">
        <f t="shared" si="217"/>
        <v>160858689.96004638</v>
      </c>
      <c r="V506" s="350">
        <f t="shared" si="218"/>
        <v>477455590.62090659</v>
      </c>
      <c r="W506" s="365"/>
      <c r="X506" s="377">
        <f t="shared" si="196"/>
        <v>0</v>
      </c>
      <c r="Y506" s="377">
        <f t="shared" si="197"/>
        <v>0</v>
      </c>
      <c r="Z506" s="377">
        <f t="shared" si="198"/>
        <v>0</v>
      </c>
      <c r="AA506" s="377">
        <f t="shared" si="199"/>
        <v>0</v>
      </c>
      <c r="AB506" s="377">
        <f t="shared" si="200"/>
        <v>0</v>
      </c>
      <c r="AC506" s="377">
        <f t="shared" si="201"/>
        <v>0</v>
      </c>
      <c r="AD506" s="376"/>
      <c r="AE506" s="332">
        <v>491</v>
      </c>
      <c r="AF506" s="350">
        <v>126024738.70805395</v>
      </c>
      <c r="AG506" s="350">
        <v>127058393.67452849</v>
      </c>
      <c r="AH506" s="350">
        <v>128048736.98836023</v>
      </c>
      <c r="AI506" s="350">
        <v>129041433.62995678</v>
      </c>
      <c r="AJ506" s="350">
        <v>130039567.21733357</v>
      </c>
      <c r="AK506" s="348">
        <v>640212870.21823299</v>
      </c>
      <c r="AL506" s="369"/>
      <c r="AM506" s="350">
        <v>156134678.84251031</v>
      </c>
      <c r="AN506" s="350">
        <v>187877499.80998993</v>
      </c>
      <c r="AO506" s="350">
        <v>220041529.97485647</v>
      </c>
      <c r="AP506" s="350">
        <v>252685037.26279604</v>
      </c>
      <c r="AQ506" s="350">
        <v>285816491.84622854</v>
      </c>
      <c r="AR506" s="348">
        <v>1102555237.7363813</v>
      </c>
      <c r="AS506" s="369"/>
      <c r="AT506" s="350">
        <f t="shared" si="219"/>
        <v>30109940.134456366</v>
      </c>
      <c r="AU506" s="350">
        <f t="shared" si="202"/>
        <v>60819106.135461435</v>
      </c>
      <c r="AV506" s="350">
        <f t="shared" si="203"/>
        <v>91992792.98649624</v>
      </c>
      <c r="AW506" s="350">
        <f t="shared" si="204"/>
        <v>123643603.63283926</v>
      </c>
      <c r="AX506" s="350">
        <f t="shared" si="205"/>
        <v>155776924.62889498</v>
      </c>
      <c r="AY506" s="350">
        <f t="shared" si="206"/>
        <v>462342367.5181483</v>
      </c>
      <c r="AZ506" s="365"/>
      <c r="BA506" s="377">
        <f t="shared" si="207"/>
        <v>0</v>
      </c>
      <c r="BB506" s="377">
        <f t="shared" si="208"/>
        <v>0</v>
      </c>
      <c r="BC506" s="377">
        <f t="shared" si="209"/>
        <v>0</v>
      </c>
      <c r="BD506" s="377">
        <f t="shared" si="210"/>
        <v>0</v>
      </c>
      <c r="BE506" s="377">
        <f t="shared" si="211"/>
        <v>0</v>
      </c>
      <c r="BF506" s="377">
        <f t="shared" si="212"/>
        <v>0</v>
      </c>
      <c r="BG506" s="328"/>
    </row>
    <row r="507" spans="2:59">
      <c r="B507" s="332">
        <v>492</v>
      </c>
      <c r="C507" s="350">
        <v>143657631.56144187</v>
      </c>
      <c r="D507" s="350">
        <v>144835911.52343765</v>
      </c>
      <c r="E507" s="350">
        <v>145964819.83426824</v>
      </c>
      <c r="F507" s="350">
        <v>147096410.74136087</v>
      </c>
      <c r="G507" s="350">
        <v>148234199.31060874</v>
      </c>
      <c r="H507" s="348">
        <v>729788972.97111738</v>
      </c>
      <c r="I507" s="369"/>
      <c r="J507" s="350">
        <v>179609068.5876064</v>
      </c>
      <c r="K507" s="350">
        <v>217446448.92963418</v>
      </c>
      <c r="L507" s="350">
        <v>255788976.27798998</v>
      </c>
      <c r="M507" s="350">
        <v>294703752.43301654</v>
      </c>
      <c r="N507" s="350">
        <v>334200722.84370863</v>
      </c>
      <c r="O507" s="348">
        <v>1281748969.0719557</v>
      </c>
      <c r="P507" s="369"/>
      <c r="Q507" s="350">
        <f t="shared" si="213"/>
        <v>35951437.026164532</v>
      </c>
      <c r="R507" s="350">
        <f t="shared" si="214"/>
        <v>72610537.406196535</v>
      </c>
      <c r="S507" s="350">
        <f t="shared" si="215"/>
        <v>109824156.44372174</v>
      </c>
      <c r="T507" s="350">
        <f t="shared" si="216"/>
        <v>147607341.69165567</v>
      </c>
      <c r="U507" s="350">
        <f t="shared" si="217"/>
        <v>185966523.53309989</v>
      </c>
      <c r="V507" s="350">
        <f t="shared" si="218"/>
        <v>551959996.1008383</v>
      </c>
      <c r="W507" s="365"/>
      <c r="X507" s="377">
        <f t="shared" si="196"/>
        <v>0</v>
      </c>
      <c r="Y507" s="377">
        <f t="shared" si="197"/>
        <v>0</v>
      </c>
      <c r="Z507" s="377">
        <f t="shared" si="198"/>
        <v>0</v>
      </c>
      <c r="AA507" s="377">
        <f t="shared" si="199"/>
        <v>0</v>
      </c>
      <c r="AB507" s="377">
        <f t="shared" si="200"/>
        <v>0</v>
      </c>
      <c r="AC507" s="377">
        <f t="shared" si="201"/>
        <v>0</v>
      </c>
      <c r="AD507" s="376"/>
      <c r="AE507" s="332">
        <v>492</v>
      </c>
      <c r="AF507" s="350">
        <v>113380595.1156742</v>
      </c>
      <c r="AG507" s="350">
        <v>114310542.81042519</v>
      </c>
      <c r="AH507" s="350">
        <v>115201524.33867256</v>
      </c>
      <c r="AI507" s="350">
        <v>116094623.08378707</v>
      </c>
      <c r="AJ507" s="350">
        <v>116992613.28239314</v>
      </c>
      <c r="AK507" s="348">
        <v>575979898.63095212</v>
      </c>
      <c r="AL507" s="369"/>
      <c r="AM507" s="350">
        <v>141342881.62964746</v>
      </c>
      <c r="AN507" s="350">
        <v>170796381.63900191</v>
      </c>
      <c r="AO507" s="350">
        <v>200642377.95289829</v>
      </c>
      <c r="AP507" s="350">
        <v>230933658.23455733</v>
      </c>
      <c r="AQ507" s="350">
        <v>261677999.79767323</v>
      </c>
      <c r="AR507" s="348">
        <v>1005393299.2537782</v>
      </c>
      <c r="AS507" s="369"/>
      <c r="AT507" s="350">
        <f t="shared" si="219"/>
        <v>27962286.513973266</v>
      </c>
      <c r="AU507" s="350">
        <f t="shared" si="202"/>
        <v>56485838.828576714</v>
      </c>
      <c r="AV507" s="350">
        <f t="shared" si="203"/>
        <v>85440853.61422573</v>
      </c>
      <c r="AW507" s="350">
        <f t="shared" si="204"/>
        <v>114839035.15077026</v>
      </c>
      <c r="AX507" s="350">
        <f t="shared" si="205"/>
        <v>144685386.51528007</v>
      </c>
      <c r="AY507" s="350">
        <f t="shared" si="206"/>
        <v>429413400.6228261</v>
      </c>
      <c r="AZ507" s="365"/>
      <c r="BA507" s="377">
        <f t="shared" si="207"/>
        <v>0</v>
      </c>
      <c r="BB507" s="377">
        <f t="shared" si="208"/>
        <v>0</v>
      </c>
      <c r="BC507" s="377">
        <f t="shared" si="209"/>
        <v>0</v>
      </c>
      <c r="BD507" s="377">
        <f t="shared" si="210"/>
        <v>0</v>
      </c>
      <c r="BE507" s="377">
        <f t="shared" si="211"/>
        <v>0</v>
      </c>
      <c r="BF507" s="377">
        <f t="shared" si="212"/>
        <v>0</v>
      </c>
      <c r="BG507" s="328"/>
    </row>
    <row r="508" spans="2:59">
      <c r="B508" s="332">
        <v>493</v>
      </c>
      <c r="C508" s="350">
        <v>110910927.81310301</v>
      </c>
      <c r="D508" s="350">
        <v>111820619.29547049</v>
      </c>
      <c r="E508" s="350">
        <v>112692193.37621538</v>
      </c>
      <c r="F508" s="350">
        <v>113565838.55640082</v>
      </c>
      <c r="G508" s="350">
        <v>114444268.64395556</v>
      </c>
      <c r="H508" s="348">
        <v>563433847.68514526</v>
      </c>
      <c r="I508" s="369"/>
      <c r="J508" s="350">
        <v>140986049.60433578</v>
      </c>
      <c r="K508" s="350">
        <v>172545925.76469931</v>
      </c>
      <c r="L508" s="350">
        <v>204531302.34407628</v>
      </c>
      <c r="M508" s="350">
        <v>236994954.91098326</v>
      </c>
      <c r="N508" s="350">
        <v>269944974.0163666</v>
      </c>
      <c r="O508" s="348">
        <v>1025003206.6404613</v>
      </c>
      <c r="P508" s="369"/>
      <c r="Q508" s="350">
        <f t="shared" si="213"/>
        <v>30075121.79123278</v>
      </c>
      <c r="R508" s="350">
        <f t="shared" si="214"/>
        <v>60725306.469228819</v>
      </c>
      <c r="S508" s="350">
        <f t="shared" si="215"/>
        <v>91839108.967860892</v>
      </c>
      <c r="T508" s="350">
        <f t="shared" si="216"/>
        <v>123429116.35458244</v>
      </c>
      <c r="U508" s="350">
        <f t="shared" si="217"/>
        <v>155500705.37241104</v>
      </c>
      <c r="V508" s="350">
        <f t="shared" si="218"/>
        <v>461569358.95531607</v>
      </c>
      <c r="W508" s="365"/>
      <c r="X508" s="377">
        <f t="shared" si="196"/>
        <v>0</v>
      </c>
      <c r="Y508" s="377">
        <f t="shared" si="197"/>
        <v>0</v>
      </c>
      <c r="Z508" s="377">
        <f t="shared" si="198"/>
        <v>0</v>
      </c>
      <c r="AA508" s="377">
        <f t="shared" si="199"/>
        <v>0</v>
      </c>
      <c r="AB508" s="377">
        <f t="shared" si="200"/>
        <v>0</v>
      </c>
      <c r="AC508" s="377">
        <f t="shared" si="201"/>
        <v>0</v>
      </c>
      <c r="AD508" s="376"/>
      <c r="AE508" s="332">
        <v>493</v>
      </c>
      <c r="AF508" s="350">
        <v>119377358.74313183</v>
      </c>
      <c r="AG508" s="350">
        <v>120356491.89599085</v>
      </c>
      <c r="AH508" s="350">
        <v>121294597.93982114</v>
      </c>
      <c r="AI508" s="350">
        <v>122234933.18131287</v>
      </c>
      <c r="AJ508" s="350">
        <v>123180418.58803037</v>
      </c>
      <c r="AK508" s="348">
        <v>606443800.34828699</v>
      </c>
      <c r="AL508" s="369"/>
      <c r="AM508" s="350">
        <v>156237354.52991322</v>
      </c>
      <c r="AN508" s="350">
        <v>194808185.35134226</v>
      </c>
      <c r="AO508" s="350">
        <v>233906617.3672905</v>
      </c>
      <c r="AP508" s="350">
        <v>273591335.05860615</v>
      </c>
      <c r="AQ508" s="350">
        <v>313871853.22297901</v>
      </c>
      <c r="AR508" s="348">
        <v>1172415345.5301311</v>
      </c>
      <c r="AS508" s="369"/>
      <c r="AT508" s="350">
        <f t="shared" si="219"/>
        <v>36859995.786781386</v>
      </c>
      <c r="AU508" s="350">
        <f t="shared" si="202"/>
        <v>74451693.455351412</v>
      </c>
      <c r="AV508" s="350">
        <f t="shared" si="203"/>
        <v>112612019.42746936</v>
      </c>
      <c r="AW508" s="350">
        <f t="shared" si="204"/>
        <v>151356401.87729329</v>
      </c>
      <c r="AX508" s="350">
        <f t="shared" si="205"/>
        <v>190691434.63494864</v>
      </c>
      <c r="AY508" s="350">
        <f t="shared" si="206"/>
        <v>565971545.18184412</v>
      </c>
      <c r="AZ508" s="365"/>
      <c r="BA508" s="377">
        <f t="shared" si="207"/>
        <v>0</v>
      </c>
      <c r="BB508" s="377">
        <f t="shared" si="208"/>
        <v>0</v>
      </c>
      <c r="BC508" s="377">
        <f t="shared" si="209"/>
        <v>0</v>
      </c>
      <c r="BD508" s="377">
        <f t="shared" si="210"/>
        <v>0</v>
      </c>
      <c r="BE508" s="377">
        <f t="shared" si="211"/>
        <v>0</v>
      </c>
      <c r="BF508" s="377">
        <f t="shared" si="212"/>
        <v>0</v>
      </c>
      <c r="BG508" s="328"/>
    </row>
    <row r="509" spans="2:59">
      <c r="B509" s="332">
        <v>494</v>
      </c>
      <c r="C509" s="350">
        <v>158726483.73349008</v>
      </c>
      <c r="D509" s="350">
        <v>160028358.42812631</v>
      </c>
      <c r="E509" s="350">
        <v>161275682.67180228</v>
      </c>
      <c r="F509" s="350">
        <v>162525970.90052602</v>
      </c>
      <c r="G509" s="350">
        <v>163783106.89021158</v>
      </c>
      <c r="H509" s="348">
        <v>806339602.62415624</v>
      </c>
      <c r="I509" s="369"/>
      <c r="J509" s="350">
        <v>198225380.32191315</v>
      </c>
      <c r="K509" s="350">
        <v>239773718.48998442</v>
      </c>
      <c r="L509" s="350">
        <v>281876274.76325089</v>
      </c>
      <c r="M509" s="350">
        <v>324607094.26489168</v>
      </c>
      <c r="N509" s="350">
        <v>367977121.09561157</v>
      </c>
      <c r="O509" s="348">
        <v>1412459588.9356518</v>
      </c>
      <c r="P509" s="369"/>
      <c r="Q509" s="350">
        <f t="shared" si="213"/>
        <v>39498896.588423073</v>
      </c>
      <c r="R509" s="350">
        <f t="shared" si="214"/>
        <v>79745360.061858118</v>
      </c>
      <c r="S509" s="350">
        <f t="shared" si="215"/>
        <v>120600592.09144861</v>
      </c>
      <c r="T509" s="350">
        <f t="shared" si="216"/>
        <v>162081123.36436567</v>
      </c>
      <c r="U509" s="350">
        <f t="shared" si="217"/>
        <v>204194014.20539999</v>
      </c>
      <c r="V509" s="350">
        <f t="shared" si="218"/>
        <v>606119986.31149554</v>
      </c>
      <c r="W509" s="365"/>
      <c r="X509" s="377">
        <f t="shared" si="196"/>
        <v>0</v>
      </c>
      <c r="Y509" s="377">
        <f t="shared" si="197"/>
        <v>0</v>
      </c>
      <c r="Z509" s="377">
        <f t="shared" si="198"/>
        <v>0</v>
      </c>
      <c r="AA509" s="377">
        <f t="shared" si="199"/>
        <v>0</v>
      </c>
      <c r="AB509" s="377">
        <f t="shared" si="200"/>
        <v>0</v>
      </c>
      <c r="AC509" s="377">
        <f t="shared" si="201"/>
        <v>0</v>
      </c>
      <c r="AD509" s="376"/>
      <c r="AE509" s="332">
        <v>494</v>
      </c>
      <c r="AF509" s="350">
        <v>123819276.82895532</v>
      </c>
      <c r="AG509" s="350">
        <v>124834842.59605461</v>
      </c>
      <c r="AH509" s="350">
        <v>125807854.67438243</v>
      </c>
      <c r="AI509" s="350">
        <v>126783178.89669845</v>
      </c>
      <c r="AJ509" s="350">
        <v>127763844.9169946</v>
      </c>
      <c r="AK509" s="348">
        <v>629008997.91308534</v>
      </c>
      <c r="AL509" s="369"/>
      <c r="AM509" s="350">
        <v>153094531.75149924</v>
      </c>
      <c r="AN509" s="350">
        <v>183984870.89412156</v>
      </c>
      <c r="AO509" s="350">
        <v>215284563.60985696</v>
      </c>
      <c r="AP509" s="350">
        <v>247050730.24659449</v>
      </c>
      <c r="AQ509" s="350">
        <v>279291640.27094567</v>
      </c>
      <c r="AR509" s="348">
        <v>1078706336.7730179</v>
      </c>
      <c r="AS509" s="369"/>
      <c r="AT509" s="350">
        <f t="shared" si="219"/>
        <v>29275254.922543913</v>
      </c>
      <c r="AU509" s="350">
        <f t="shared" si="202"/>
        <v>59150028.298066944</v>
      </c>
      <c r="AV509" s="350">
        <f t="shared" si="203"/>
        <v>89476708.93547453</v>
      </c>
      <c r="AW509" s="350">
        <f t="shared" si="204"/>
        <v>120267551.34989604</v>
      </c>
      <c r="AX509" s="350">
        <f t="shared" si="205"/>
        <v>151527795.35395107</v>
      </c>
      <c r="AY509" s="350">
        <f t="shared" si="206"/>
        <v>449697338.85993254</v>
      </c>
      <c r="AZ509" s="365"/>
      <c r="BA509" s="377">
        <f t="shared" si="207"/>
        <v>0</v>
      </c>
      <c r="BB509" s="377">
        <f t="shared" si="208"/>
        <v>0</v>
      </c>
      <c r="BC509" s="377">
        <f t="shared" si="209"/>
        <v>0</v>
      </c>
      <c r="BD509" s="377">
        <f t="shared" si="210"/>
        <v>0</v>
      </c>
      <c r="BE509" s="377">
        <f t="shared" si="211"/>
        <v>0</v>
      </c>
      <c r="BF509" s="377">
        <f t="shared" si="212"/>
        <v>0</v>
      </c>
      <c r="BG509" s="328"/>
    </row>
    <row r="510" spans="2:59">
      <c r="B510" s="332">
        <v>495</v>
      </c>
      <c r="C510" s="350">
        <v>100989212.67614007</v>
      </c>
      <c r="D510" s="350">
        <v>101817526.24626274</v>
      </c>
      <c r="E510" s="350">
        <v>102611132.26812991</v>
      </c>
      <c r="F510" s="350">
        <v>103406624.11591166</v>
      </c>
      <c r="G510" s="350">
        <v>104206472.82949089</v>
      </c>
      <c r="H510" s="348">
        <v>513030968.13593525</v>
      </c>
      <c r="I510" s="369"/>
      <c r="J510" s="350">
        <v>129778907.23001714</v>
      </c>
      <c r="K510" s="350">
        <v>159983370.98691261</v>
      </c>
      <c r="L510" s="350">
        <v>190597490.48395422</v>
      </c>
      <c r="M510" s="350">
        <v>221669910.1833213</v>
      </c>
      <c r="N510" s="350">
        <v>253208253.55368805</v>
      </c>
      <c r="O510" s="348">
        <v>955237932.43789339</v>
      </c>
      <c r="P510" s="369"/>
      <c r="Q510" s="350">
        <f t="shared" si="213"/>
        <v>28789694.553877071</v>
      </c>
      <c r="R510" s="350">
        <f t="shared" si="214"/>
        <v>58165844.740649864</v>
      </c>
      <c r="S510" s="350">
        <f t="shared" si="215"/>
        <v>87986358.215824306</v>
      </c>
      <c r="T510" s="350">
        <f t="shared" si="216"/>
        <v>118263286.06740963</v>
      </c>
      <c r="U510" s="350">
        <f t="shared" si="217"/>
        <v>149001780.72419715</v>
      </c>
      <c r="V510" s="350">
        <f t="shared" si="218"/>
        <v>442206964.30195814</v>
      </c>
      <c r="W510" s="365"/>
      <c r="X510" s="377">
        <f t="shared" si="196"/>
        <v>0</v>
      </c>
      <c r="Y510" s="377">
        <f t="shared" si="197"/>
        <v>0</v>
      </c>
      <c r="Z510" s="377">
        <f t="shared" si="198"/>
        <v>0</v>
      </c>
      <c r="AA510" s="377">
        <f t="shared" si="199"/>
        <v>0</v>
      </c>
      <c r="AB510" s="377">
        <f t="shared" si="200"/>
        <v>0</v>
      </c>
      <c r="AC510" s="377">
        <f t="shared" si="201"/>
        <v>0</v>
      </c>
      <c r="AD510" s="376"/>
      <c r="AE510" s="332">
        <v>495</v>
      </c>
      <c r="AF510" s="350">
        <v>105424225.72833779</v>
      </c>
      <c r="AG510" s="350">
        <v>106288915.2776117</v>
      </c>
      <c r="AH510" s="350">
        <v>107117373.07198027</v>
      </c>
      <c r="AI510" s="350">
        <v>107947799.5096488</v>
      </c>
      <c r="AJ510" s="350">
        <v>108782774.14797288</v>
      </c>
      <c r="AK510" s="348">
        <v>535561087.73555142</v>
      </c>
      <c r="AL510" s="369"/>
      <c r="AM510" s="350">
        <v>137251960.80084357</v>
      </c>
      <c r="AN510" s="350">
        <v>170560870.71382555</v>
      </c>
      <c r="AO510" s="350">
        <v>204324307.11963809</v>
      </c>
      <c r="AP510" s="350">
        <v>238593791.42881954</v>
      </c>
      <c r="AQ510" s="350">
        <v>273377594.47639513</v>
      </c>
      <c r="AR510" s="348">
        <v>1024108524.5395219</v>
      </c>
      <c r="AS510" s="369"/>
      <c r="AT510" s="350">
        <f t="shared" si="219"/>
        <v>31827735.072505772</v>
      </c>
      <c r="AU510" s="350">
        <f t="shared" si="202"/>
        <v>64271955.436213851</v>
      </c>
      <c r="AV510" s="350">
        <f t="shared" si="203"/>
        <v>97206934.047657818</v>
      </c>
      <c r="AW510" s="350">
        <f t="shared" si="204"/>
        <v>130645991.91917074</v>
      </c>
      <c r="AX510" s="350">
        <f t="shared" si="205"/>
        <v>164594820.32842225</v>
      </c>
      <c r="AY510" s="350">
        <f t="shared" si="206"/>
        <v>488547436.80397052</v>
      </c>
      <c r="AZ510" s="365"/>
      <c r="BA510" s="377">
        <f t="shared" si="207"/>
        <v>0</v>
      </c>
      <c r="BB510" s="377">
        <f t="shared" si="208"/>
        <v>0</v>
      </c>
      <c r="BC510" s="377">
        <f t="shared" si="209"/>
        <v>0</v>
      </c>
      <c r="BD510" s="377">
        <f t="shared" si="210"/>
        <v>0</v>
      </c>
      <c r="BE510" s="377">
        <f t="shared" si="211"/>
        <v>0</v>
      </c>
      <c r="BF510" s="377">
        <f t="shared" si="212"/>
        <v>0</v>
      </c>
      <c r="BG510" s="328"/>
    </row>
    <row r="511" spans="2:59">
      <c r="B511" s="332">
        <v>496</v>
      </c>
      <c r="C511" s="350">
        <v>129910222.52294648</v>
      </c>
      <c r="D511" s="350">
        <v>130975746.22950803</v>
      </c>
      <c r="E511" s="350">
        <v>131996622.93667607</v>
      </c>
      <c r="F511" s="350">
        <v>133019925.52733915</v>
      </c>
      <c r="G511" s="350">
        <v>134048832.69090915</v>
      </c>
      <c r="H511" s="348">
        <v>659951349.90737891</v>
      </c>
      <c r="I511" s="369"/>
      <c r="J511" s="350">
        <v>163301450.31381798</v>
      </c>
      <c r="K511" s="350">
        <v>198422989.58648354</v>
      </c>
      <c r="L511" s="350">
        <v>234015028.80292797</v>
      </c>
      <c r="M511" s="350">
        <v>270138617.23556334</v>
      </c>
      <c r="N511" s="350">
        <v>306802907.17786467</v>
      </c>
      <c r="O511" s="348">
        <v>1172680993.1166573</v>
      </c>
      <c r="P511" s="369"/>
      <c r="Q511" s="350">
        <f t="shared" si="213"/>
        <v>33391227.790871501</v>
      </c>
      <c r="R511" s="350">
        <f t="shared" si="214"/>
        <v>67447243.356975511</v>
      </c>
      <c r="S511" s="350">
        <f t="shared" si="215"/>
        <v>102018405.8662519</v>
      </c>
      <c r="T511" s="350">
        <f t="shared" si="216"/>
        <v>137118691.70822418</v>
      </c>
      <c r="U511" s="350">
        <f t="shared" si="217"/>
        <v>172754074.48695552</v>
      </c>
      <c r="V511" s="350">
        <f t="shared" si="218"/>
        <v>512729643.20927835</v>
      </c>
      <c r="W511" s="365"/>
      <c r="X511" s="377">
        <f t="shared" si="196"/>
        <v>0</v>
      </c>
      <c r="Y511" s="377">
        <f t="shared" si="197"/>
        <v>0</v>
      </c>
      <c r="Z511" s="377">
        <f t="shared" si="198"/>
        <v>0</v>
      </c>
      <c r="AA511" s="377">
        <f t="shared" si="199"/>
        <v>0</v>
      </c>
      <c r="AB511" s="377">
        <f t="shared" si="200"/>
        <v>0</v>
      </c>
      <c r="AC511" s="377">
        <f t="shared" si="201"/>
        <v>0</v>
      </c>
      <c r="AD511" s="376"/>
      <c r="AE511" s="332">
        <v>496</v>
      </c>
      <c r="AF511" s="350">
        <v>131549884.21598834</v>
      </c>
      <c r="AG511" s="350">
        <v>132628856.4285315</v>
      </c>
      <c r="AH511" s="350">
        <v>133662618.12964046</v>
      </c>
      <c r="AI511" s="350">
        <v>134698836.33252952</v>
      </c>
      <c r="AJ511" s="350">
        <v>135740729.84643465</v>
      </c>
      <c r="AK511" s="348">
        <v>668280924.95312452</v>
      </c>
      <c r="AL511" s="369"/>
      <c r="AM511" s="350">
        <v>161897829.37282217</v>
      </c>
      <c r="AN511" s="350">
        <v>193916154.02762303</v>
      </c>
      <c r="AO511" s="350">
        <v>226357265.12141997</v>
      </c>
      <c r="AP511" s="350">
        <v>259281531.53547829</v>
      </c>
      <c r="AQ511" s="350">
        <v>292697599.29518801</v>
      </c>
      <c r="AR511" s="348">
        <v>1134150379.3525314</v>
      </c>
      <c r="AS511" s="369"/>
      <c r="AT511" s="350">
        <f t="shared" si="219"/>
        <v>30347945.156833827</v>
      </c>
      <c r="AU511" s="350">
        <f t="shared" si="202"/>
        <v>61287297.59909153</v>
      </c>
      <c r="AV511" s="350">
        <f t="shared" si="203"/>
        <v>92694646.991779506</v>
      </c>
      <c r="AW511" s="350">
        <f t="shared" si="204"/>
        <v>124582695.20294878</v>
      </c>
      <c r="AX511" s="350">
        <f t="shared" si="205"/>
        <v>156956869.44875336</v>
      </c>
      <c r="AY511" s="350">
        <f t="shared" si="206"/>
        <v>465869454.39940691</v>
      </c>
      <c r="AZ511" s="365"/>
      <c r="BA511" s="377">
        <f t="shared" si="207"/>
        <v>0</v>
      </c>
      <c r="BB511" s="377">
        <f t="shared" si="208"/>
        <v>0</v>
      </c>
      <c r="BC511" s="377">
        <f t="shared" si="209"/>
        <v>0</v>
      </c>
      <c r="BD511" s="377">
        <f t="shared" si="210"/>
        <v>0</v>
      </c>
      <c r="BE511" s="377">
        <f t="shared" si="211"/>
        <v>0</v>
      </c>
      <c r="BF511" s="377">
        <f t="shared" si="212"/>
        <v>0</v>
      </c>
      <c r="BG511" s="328"/>
    </row>
    <row r="512" spans="2:59">
      <c r="B512" s="332">
        <v>497</v>
      </c>
      <c r="C512" s="350">
        <v>126878912.95484474</v>
      </c>
      <c r="D512" s="350">
        <v>127919573.85889535</v>
      </c>
      <c r="E512" s="350">
        <v>128916629.55128729</v>
      </c>
      <c r="F512" s="350">
        <v>129916054.5218994</v>
      </c>
      <c r="G512" s="350">
        <v>130920953.28898561</v>
      </c>
      <c r="H512" s="348">
        <v>644552124.17591238</v>
      </c>
      <c r="I512" s="369"/>
      <c r="J512" s="350">
        <v>162000295.4736625</v>
      </c>
      <c r="K512" s="350">
        <v>198837019.80689263</v>
      </c>
      <c r="L512" s="350">
        <v>236171595.28389734</v>
      </c>
      <c r="M512" s="350">
        <v>274064695.60152555</v>
      </c>
      <c r="N512" s="350">
        <v>312525704.65452766</v>
      </c>
      <c r="O512" s="348">
        <v>1183599310.8205056</v>
      </c>
      <c r="P512" s="369"/>
      <c r="Q512" s="350">
        <f t="shared" si="213"/>
        <v>35121382.518817753</v>
      </c>
      <c r="R512" s="350">
        <f t="shared" si="214"/>
        <v>70917445.947997287</v>
      </c>
      <c r="S512" s="350">
        <f t="shared" si="215"/>
        <v>107254965.73261005</v>
      </c>
      <c r="T512" s="350">
        <f t="shared" si="216"/>
        <v>144148641.07962614</v>
      </c>
      <c r="U512" s="350">
        <f t="shared" si="217"/>
        <v>181604751.36554205</v>
      </c>
      <c r="V512" s="350">
        <f t="shared" si="218"/>
        <v>539047186.64459324</v>
      </c>
      <c r="W512" s="365"/>
      <c r="X512" s="377">
        <f t="shared" si="196"/>
        <v>0</v>
      </c>
      <c r="Y512" s="377">
        <f t="shared" si="197"/>
        <v>0</v>
      </c>
      <c r="Z512" s="377">
        <f t="shared" si="198"/>
        <v>0</v>
      </c>
      <c r="AA512" s="377">
        <f t="shared" si="199"/>
        <v>0</v>
      </c>
      <c r="AB512" s="377">
        <f t="shared" si="200"/>
        <v>0</v>
      </c>
      <c r="AC512" s="377">
        <f t="shared" si="201"/>
        <v>0</v>
      </c>
      <c r="AD512" s="376"/>
      <c r="AE512" s="332">
        <v>497</v>
      </c>
      <c r="AF512" s="350">
        <v>149372360.70593089</v>
      </c>
      <c r="AG512" s="350">
        <v>150597512.87907201</v>
      </c>
      <c r="AH512" s="350">
        <v>151771329.38694891</v>
      </c>
      <c r="AI512" s="350">
        <v>152947935.20530039</v>
      </c>
      <c r="AJ512" s="350">
        <v>154130985.23003989</v>
      </c>
      <c r="AK512" s="348">
        <v>758820123.40729213</v>
      </c>
      <c r="AL512" s="369"/>
      <c r="AM512" s="350">
        <v>188666231.09125385</v>
      </c>
      <c r="AN512" s="350">
        <v>229956541.83136493</v>
      </c>
      <c r="AO512" s="350">
        <v>271801555.81528211</v>
      </c>
      <c r="AP512" s="350">
        <v>314271844.43406212</v>
      </c>
      <c r="AQ512" s="350">
        <v>357378090.47368729</v>
      </c>
      <c r="AR512" s="348">
        <v>1362074263.6456504</v>
      </c>
      <c r="AS512" s="369"/>
      <c r="AT512" s="350">
        <f t="shared" si="219"/>
        <v>39293870.385322958</v>
      </c>
      <c r="AU512" s="350">
        <f t="shared" si="202"/>
        <v>79359028.952292919</v>
      </c>
      <c r="AV512" s="350">
        <f t="shared" si="203"/>
        <v>120030226.42833319</v>
      </c>
      <c r="AW512" s="350">
        <f t="shared" si="204"/>
        <v>161323909.22876173</v>
      </c>
      <c r="AX512" s="350">
        <f t="shared" si="205"/>
        <v>203247105.2436474</v>
      </c>
      <c r="AY512" s="350">
        <f t="shared" si="206"/>
        <v>603254140.23835826</v>
      </c>
      <c r="AZ512" s="365"/>
      <c r="BA512" s="377">
        <f t="shared" si="207"/>
        <v>0</v>
      </c>
      <c r="BB512" s="377">
        <f t="shared" si="208"/>
        <v>0</v>
      </c>
      <c r="BC512" s="377">
        <f t="shared" si="209"/>
        <v>0</v>
      </c>
      <c r="BD512" s="377">
        <f t="shared" si="210"/>
        <v>0</v>
      </c>
      <c r="BE512" s="377">
        <f t="shared" si="211"/>
        <v>0</v>
      </c>
      <c r="BF512" s="377">
        <f t="shared" si="212"/>
        <v>0</v>
      </c>
      <c r="BG512" s="328"/>
    </row>
    <row r="513" spans="2:59">
      <c r="B513" s="332">
        <v>498</v>
      </c>
      <c r="C513" s="350">
        <v>138692780.24084526</v>
      </c>
      <c r="D513" s="350">
        <v>139830338.48996186</v>
      </c>
      <c r="E513" s="350">
        <v>140920231.38715285</v>
      </c>
      <c r="F513" s="350">
        <v>142012714.16926536</v>
      </c>
      <c r="G513" s="350">
        <v>143111180.42044917</v>
      </c>
      <c r="H513" s="348">
        <v>704567244.7076745</v>
      </c>
      <c r="I513" s="369"/>
      <c r="J513" s="350">
        <v>175009356.42901301</v>
      </c>
      <c r="K513" s="350">
        <v>213179979.37291086</v>
      </c>
      <c r="L513" s="350">
        <v>251863113.09766138</v>
      </c>
      <c r="M513" s="350">
        <v>291124213.31382954</v>
      </c>
      <c r="N513" s="350">
        <v>330973169.54856229</v>
      </c>
      <c r="O513" s="348">
        <v>1262149831.7619772</v>
      </c>
      <c r="P513" s="369"/>
      <c r="Q513" s="350">
        <f t="shared" si="213"/>
        <v>36316576.188167751</v>
      </c>
      <c r="R513" s="350">
        <f t="shared" si="214"/>
        <v>73349640.882948995</v>
      </c>
      <c r="S513" s="350">
        <f t="shared" si="215"/>
        <v>110942881.71050853</v>
      </c>
      <c r="T513" s="350">
        <f t="shared" si="216"/>
        <v>149111499.14456418</v>
      </c>
      <c r="U513" s="350">
        <f t="shared" si="217"/>
        <v>187861989.12811312</v>
      </c>
      <c r="V513" s="350">
        <f t="shared" si="218"/>
        <v>557582587.05430269</v>
      </c>
      <c r="W513" s="365"/>
      <c r="X513" s="377">
        <f t="shared" si="196"/>
        <v>0</v>
      </c>
      <c r="Y513" s="377">
        <f t="shared" si="197"/>
        <v>0</v>
      </c>
      <c r="Z513" s="377">
        <f t="shared" si="198"/>
        <v>0</v>
      </c>
      <c r="AA513" s="377">
        <f t="shared" si="199"/>
        <v>0</v>
      </c>
      <c r="AB513" s="377">
        <f t="shared" si="200"/>
        <v>0</v>
      </c>
      <c r="AC513" s="377">
        <f t="shared" si="201"/>
        <v>0</v>
      </c>
      <c r="AD513" s="376"/>
      <c r="AE513" s="332">
        <v>498</v>
      </c>
      <c r="AF513" s="350">
        <v>122119728.92271055</v>
      </c>
      <c r="AG513" s="350">
        <v>123121354.99707921</v>
      </c>
      <c r="AH513" s="350">
        <v>124081011.47615923</v>
      </c>
      <c r="AI513" s="350">
        <v>125042948.36265492</v>
      </c>
      <c r="AJ513" s="350">
        <v>126010153.7254169</v>
      </c>
      <c r="AK513" s="348">
        <v>620375197.48402083</v>
      </c>
      <c r="AL513" s="369"/>
      <c r="AM513" s="350">
        <v>154808595.75107399</v>
      </c>
      <c r="AN513" s="350">
        <v>189154493.14180177</v>
      </c>
      <c r="AO513" s="350">
        <v>223962803.83652875</v>
      </c>
      <c r="AP513" s="350">
        <v>259291460.49957296</v>
      </c>
      <c r="AQ513" s="350">
        <v>295149299.85545522</v>
      </c>
      <c r="AR513" s="348">
        <v>1122366653.0844328</v>
      </c>
      <c r="AS513" s="369"/>
      <c r="AT513" s="350">
        <f t="shared" si="219"/>
        <v>32688866.828363433</v>
      </c>
      <c r="AU513" s="350">
        <f t="shared" si="202"/>
        <v>66033138.144722566</v>
      </c>
      <c r="AV513" s="350">
        <f t="shared" si="203"/>
        <v>99881792.360369518</v>
      </c>
      <c r="AW513" s="350">
        <f t="shared" si="204"/>
        <v>134248512.13691804</v>
      </c>
      <c r="AX513" s="350">
        <f t="shared" si="205"/>
        <v>169139146.13003832</v>
      </c>
      <c r="AY513" s="350">
        <f t="shared" si="206"/>
        <v>501991455.60041201</v>
      </c>
      <c r="AZ513" s="365"/>
      <c r="BA513" s="377">
        <f t="shared" si="207"/>
        <v>0</v>
      </c>
      <c r="BB513" s="377">
        <f t="shared" si="208"/>
        <v>0</v>
      </c>
      <c r="BC513" s="377">
        <f t="shared" si="209"/>
        <v>0</v>
      </c>
      <c r="BD513" s="377">
        <f t="shared" si="210"/>
        <v>0</v>
      </c>
      <c r="BE513" s="377">
        <f t="shared" si="211"/>
        <v>0</v>
      </c>
      <c r="BF513" s="377">
        <f t="shared" si="212"/>
        <v>0</v>
      </c>
      <c r="BG513" s="328"/>
    </row>
    <row r="514" spans="2:59">
      <c r="B514" s="332">
        <v>499</v>
      </c>
      <c r="C514" s="350">
        <v>122767445.23705125</v>
      </c>
      <c r="D514" s="350">
        <v>123774383.8809364</v>
      </c>
      <c r="E514" s="350">
        <v>124739130.32511173</v>
      </c>
      <c r="F514" s="350">
        <v>125706169.27185799</v>
      </c>
      <c r="G514" s="350">
        <v>126678504.63857844</v>
      </c>
      <c r="H514" s="348">
        <v>623665633.35353577</v>
      </c>
      <c r="I514" s="369"/>
      <c r="J514" s="350">
        <v>159669688.5602496</v>
      </c>
      <c r="K514" s="350">
        <v>198308061.6126208</v>
      </c>
      <c r="L514" s="350">
        <v>237473470.29533264</v>
      </c>
      <c r="M514" s="350">
        <v>277225844.98190355</v>
      </c>
      <c r="N514" s="350">
        <v>317574790.46619529</v>
      </c>
      <c r="O514" s="348">
        <v>1190251855.916302</v>
      </c>
      <c r="P514" s="369"/>
      <c r="Q514" s="350">
        <f t="shared" si="213"/>
        <v>36902243.323198348</v>
      </c>
      <c r="R514" s="350">
        <f t="shared" si="214"/>
        <v>74533677.731684402</v>
      </c>
      <c r="S514" s="350">
        <f t="shared" si="215"/>
        <v>112734339.97022091</v>
      </c>
      <c r="T514" s="350">
        <f t="shared" si="216"/>
        <v>151519675.71004558</v>
      </c>
      <c r="U514" s="350">
        <f t="shared" si="217"/>
        <v>190896285.82761684</v>
      </c>
      <c r="V514" s="350">
        <f t="shared" si="218"/>
        <v>566586222.56276619</v>
      </c>
      <c r="W514" s="365"/>
      <c r="X514" s="377">
        <f t="shared" si="196"/>
        <v>0</v>
      </c>
      <c r="Y514" s="377">
        <f t="shared" si="197"/>
        <v>0</v>
      </c>
      <c r="Z514" s="377">
        <f t="shared" si="198"/>
        <v>0</v>
      </c>
      <c r="AA514" s="377">
        <f t="shared" si="199"/>
        <v>0</v>
      </c>
      <c r="AB514" s="377">
        <f t="shared" si="200"/>
        <v>0</v>
      </c>
      <c r="AC514" s="377">
        <f t="shared" si="201"/>
        <v>0</v>
      </c>
      <c r="AD514" s="376"/>
      <c r="AE514" s="332">
        <v>499</v>
      </c>
      <c r="AF514" s="350">
        <v>134335332.94547734</v>
      </c>
      <c r="AG514" s="350">
        <v>135437151.40981692</v>
      </c>
      <c r="AH514" s="350">
        <v>136492802.07140729</v>
      </c>
      <c r="AI514" s="350">
        <v>137550961.24896097</v>
      </c>
      <c r="AJ514" s="350">
        <v>138614915.9070614</v>
      </c>
      <c r="AK514" s="348">
        <v>682431163.58272386</v>
      </c>
      <c r="AL514" s="369"/>
      <c r="AM514" s="350">
        <v>166457219.23091289</v>
      </c>
      <c r="AN514" s="350">
        <v>200311366.38946524</v>
      </c>
      <c r="AO514" s="350">
        <v>234614768.32648194</v>
      </c>
      <c r="AP514" s="350">
        <v>269429545.94444758</v>
      </c>
      <c r="AQ514" s="350">
        <v>304764731.34503436</v>
      </c>
      <c r="AR514" s="348">
        <v>1175577631.236342</v>
      </c>
      <c r="AS514" s="369"/>
      <c r="AT514" s="350">
        <f t="shared" si="219"/>
        <v>32121886.285435557</v>
      </c>
      <c r="AU514" s="350">
        <f t="shared" si="202"/>
        <v>64874214.979648322</v>
      </c>
      <c r="AV514" s="350">
        <f t="shared" si="203"/>
        <v>98121966.25507465</v>
      </c>
      <c r="AW514" s="350">
        <f t="shared" si="204"/>
        <v>131878584.69548661</v>
      </c>
      <c r="AX514" s="350">
        <f t="shared" si="205"/>
        <v>166149815.43797296</v>
      </c>
      <c r="AY514" s="350">
        <f t="shared" si="206"/>
        <v>493146467.6536181</v>
      </c>
      <c r="AZ514" s="365"/>
      <c r="BA514" s="377">
        <f t="shared" si="207"/>
        <v>0</v>
      </c>
      <c r="BB514" s="377">
        <f t="shared" si="208"/>
        <v>0</v>
      </c>
      <c r="BC514" s="377">
        <f t="shared" si="209"/>
        <v>0</v>
      </c>
      <c r="BD514" s="377">
        <f t="shared" si="210"/>
        <v>0</v>
      </c>
      <c r="BE514" s="377">
        <f t="shared" si="211"/>
        <v>0</v>
      </c>
      <c r="BF514" s="377">
        <f t="shared" si="212"/>
        <v>0</v>
      </c>
      <c r="BG514" s="328"/>
    </row>
    <row r="515" spans="2:59">
      <c r="B515" s="332">
        <v>500</v>
      </c>
      <c r="C515" s="350">
        <v>128517419.47061041</v>
      </c>
      <c r="D515" s="350">
        <v>129571519.4058781</v>
      </c>
      <c r="E515" s="350">
        <v>130581451.0144528</v>
      </c>
      <c r="F515" s="350">
        <v>131593782.49796158</v>
      </c>
      <c r="G515" s="350">
        <v>132611658.46621712</v>
      </c>
      <c r="H515" s="348">
        <v>652875830.85512006</v>
      </c>
      <c r="I515" s="369"/>
      <c r="J515" s="350">
        <v>156505210.26643369</v>
      </c>
      <c r="K515" s="350">
        <v>186115720.81679812</v>
      </c>
      <c r="L515" s="350">
        <v>216114025.70650107</v>
      </c>
      <c r="M515" s="350">
        <v>246558408.4726229</v>
      </c>
      <c r="N515" s="350">
        <v>277457022.40972203</v>
      </c>
      <c r="O515" s="348">
        <v>1082750387.6720779</v>
      </c>
      <c r="P515" s="369"/>
      <c r="Q515" s="350">
        <f t="shared" si="213"/>
        <v>27987790.795823276</v>
      </c>
      <c r="R515" s="350">
        <f t="shared" si="214"/>
        <v>56544201.410920024</v>
      </c>
      <c r="S515" s="350">
        <f t="shared" si="215"/>
        <v>85532574.692048267</v>
      </c>
      <c r="T515" s="350">
        <f t="shared" si="216"/>
        <v>114964625.97466132</v>
      </c>
      <c r="U515" s="350">
        <f t="shared" si="217"/>
        <v>144845363.94350493</v>
      </c>
      <c r="V515" s="350">
        <f t="shared" si="218"/>
        <v>429874556.81695783</v>
      </c>
      <c r="W515" s="365"/>
      <c r="X515" s="377">
        <f t="shared" si="196"/>
        <v>0</v>
      </c>
      <c r="Y515" s="377">
        <f t="shared" si="197"/>
        <v>0</v>
      </c>
      <c r="Z515" s="377">
        <f t="shared" si="198"/>
        <v>0</v>
      </c>
      <c r="AA515" s="377">
        <f t="shared" si="199"/>
        <v>0</v>
      </c>
      <c r="AB515" s="377">
        <f t="shared" si="200"/>
        <v>0</v>
      </c>
      <c r="AC515" s="377">
        <f t="shared" si="201"/>
        <v>0</v>
      </c>
      <c r="AD515" s="376"/>
      <c r="AE515" s="332">
        <v>500</v>
      </c>
      <c r="AF515" s="350">
        <v>113075211.81509541</v>
      </c>
      <c r="AG515" s="350">
        <v>114002654.7558707</v>
      </c>
      <c r="AH515" s="350">
        <v>114891236.48299181</v>
      </c>
      <c r="AI515" s="350">
        <v>115781929.72439338</v>
      </c>
      <c r="AJ515" s="350">
        <v>116677501.24447283</v>
      </c>
      <c r="AK515" s="348">
        <v>574428534.02282417</v>
      </c>
      <c r="AL515" s="369"/>
      <c r="AM515" s="350">
        <v>140968447.15635017</v>
      </c>
      <c r="AN515" s="350">
        <v>170352891.41477609</v>
      </c>
      <c r="AO515" s="350">
        <v>200128932.04112086</v>
      </c>
      <c r="AP515" s="350">
        <v>230349217.3560946</v>
      </c>
      <c r="AQ515" s="350">
        <v>261021505.43956429</v>
      </c>
      <c r="AR515" s="348">
        <v>1002820993.4079061</v>
      </c>
      <c r="AS515" s="369"/>
      <c r="AT515" s="350">
        <f t="shared" si="219"/>
        <v>27893235.341254756</v>
      </c>
      <c r="AU515" s="350">
        <f t="shared" si="202"/>
        <v>56350236.658905387</v>
      </c>
      <c r="AV515" s="350">
        <f t="shared" si="203"/>
        <v>85237695.558129042</v>
      </c>
      <c r="AW515" s="350">
        <f t="shared" si="204"/>
        <v>114567287.63170122</v>
      </c>
      <c r="AX515" s="350">
        <f t="shared" si="205"/>
        <v>144344004.19509146</v>
      </c>
      <c r="AY515" s="350">
        <f t="shared" si="206"/>
        <v>428392459.38508189</v>
      </c>
      <c r="AZ515" s="365"/>
      <c r="BA515" s="377">
        <f t="shared" si="207"/>
        <v>0</v>
      </c>
      <c r="BB515" s="377">
        <f t="shared" si="208"/>
        <v>0</v>
      </c>
      <c r="BC515" s="377">
        <f t="shared" si="209"/>
        <v>0</v>
      </c>
      <c r="BD515" s="377">
        <f t="shared" si="210"/>
        <v>0</v>
      </c>
      <c r="BE515" s="377">
        <f t="shared" si="211"/>
        <v>0</v>
      </c>
      <c r="BF515" s="377">
        <f t="shared" si="212"/>
        <v>0</v>
      </c>
      <c r="BG515" s="328"/>
    </row>
    <row r="516" spans="2:59">
      <c r="B516" s="332">
        <v>501</v>
      </c>
      <c r="C516" s="350">
        <v>130420024.43503106</v>
      </c>
      <c r="D516" s="350">
        <v>131489729.53711659</v>
      </c>
      <c r="E516" s="350">
        <v>132514612.43322966</v>
      </c>
      <c r="F516" s="350">
        <v>133541930.73264325</v>
      </c>
      <c r="G516" s="350">
        <v>134574875.59878317</v>
      </c>
      <c r="H516" s="348">
        <v>662541172.73680365</v>
      </c>
      <c r="I516" s="369"/>
      <c r="J516" s="350">
        <v>159715335.9938342</v>
      </c>
      <c r="K516" s="350">
        <v>190677893.03564405</v>
      </c>
      <c r="L516" s="350">
        <v>222047807.49890125</v>
      </c>
      <c r="M516" s="350">
        <v>253884599.77090922</v>
      </c>
      <c r="N516" s="350">
        <v>286196704.0529055</v>
      </c>
      <c r="O516" s="348">
        <v>1112522340.3521941</v>
      </c>
      <c r="P516" s="369"/>
      <c r="Q516" s="350">
        <f t="shared" si="213"/>
        <v>29295311.558803141</v>
      </c>
      <c r="R516" s="350">
        <f t="shared" si="214"/>
        <v>59188163.498527467</v>
      </c>
      <c r="S516" s="350">
        <f t="shared" si="215"/>
        <v>89533195.065671593</v>
      </c>
      <c r="T516" s="350">
        <f t="shared" si="216"/>
        <v>120342669.03826597</v>
      </c>
      <c r="U516" s="350">
        <f t="shared" si="217"/>
        <v>151621828.45412233</v>
      </c>
      <c r="V516" s="350">
        <f t="shared" si="218"/>
        <v>449981167.61539042</v>
      </c>
      <c r="W516" s="365"/>
      <c r="X516" s="377">
        <f t="shared" si="196"/>
        <v>0</v>
      </c>
      <c r="Y516" s="377">
        <f t="shared" si="197"/>
        <v>0</v>
      </c>
      <c r="Z516" s="377">
        <f t="shared" si="198"/>
        <v>0</v>
      </c>
      <c r="AA516" s="377">
        <f t="shared" si="199"/>
        <v>0</v>
      </c>
      <c r="AB516" s="377">
        <f t="shared" si="200"/>
        <v>0</v>
      </c>
      <c r="AC516" s="377">
        <f t="shared" si="201"/>
        <v>0</v>
      </c>
      <c r="AD516" s="376"/>
      <c r="AE516" s="332">
        <v>501</v>
      </c>
      <c r="AF516" s="350">
        <v>143507723.13312101</v>
      </c>
      <c r="AG516" s="350">
        <v>144684773.5461168</v>
      </c>
      <c r="AH516" s="350">
        <v>145812503.82784617</v>
      </c>
      <c r="AI516" s="350">
        <v>146942913.90651679</v>
      </c>
      <c r="AJ516" s="350">
        <v>148079515.18000937</v>
      </c>
      <c r="AK516" s="348">
        <v>729027429.59361017</v>
      </c>
      <c r="AL516" s="369"/>
      <c r="AM516" s="350">
        <v>184625330.67829636</v>
      </c>
      <c r="AN516" s="350">
        <v>227721830.8511841</v>
      </c>
      <c r="AO516" s="350">
        <v>271403096.00202632</v>
      </c>
      <c r="AP516" s="350">
        <v>315738335.506594</v>
      </c>
      <c r="AQ516" s="350">
        <v>360738414.03625292</v>
      </c>
      <c r="AR516" s="348">
        <v>1360227007.0743537</v>
      </c>
      <c r="AS516" s="369"/>
      <c r="AT516" s="350">
        <f t="shared" si="219"/>
        <v>41117607.545175344</v>
      </c>
      <c r="AU516" s="350">
        <f t="shared" si="202"/>
        <v>83037057.305067301</v>
      </c>
      <c r="AV516" s="350">
        <f t="shared" si="203"/>
        <v>125590592.17418015</v>
      </c>
      <c r="AW516" s="350">
        <f t="shared" si="204"/>
        <v>168795421.60007721</v>
      </c>
      <c r="AX516" s="350">
        <f t="shared" si="205"/>
        <v>212658898.85624355</v>
      </c>
      <c r="AY516" s="350">
        <f t="shared" si="206"/>
        <v>631199577.48074353</v>
      </c>
      <c r="AZ516" s="365"/>
      <c r="BA516" s="377">
        <f t="shared" si="207"/>
        <v>0</v>
      </c>
      <c r="BB516" s="377">
        <f t="shared" si="208"/>
        <v>0</v>
      </c>
      <c r="BC516" s="377">
        <f t="shared" si="209"/>
        <v>0</v>
      </c>
      <c r="BD516" s="377">
        <f t="shared" si="210"/>
        <v>0</v>
      </c>
      <c r="BE516" s="377">
        <f t="shared" si="211"/>
        <v>0</v>
      </c>
      <c r="BF516" s="377">
        <f t="shared" si="212"/>
        <v>0</v>
      </c>
      <c r="BG516" s="328"/>
    </row>
    <row r="517" spans="2:59">
      <c r="B517" s="332">
        <v>502</v>
      </c>
      <c r="C517" s="350">
        <v>114303280.02041242</v>
      </c>
      <c r="D517" s="350">
        <v>115240795.57718837</v>
      </c>
      <c r="E517" s="350">
        <v>116139027.86298974</v>
      </c>
      <c r="F517" s="350">
        <v>117039394.59545</v>
      </c>
      <c r="G517" s="350">
        <v>117944692.58777517</v>
      </c>
      <c r="H517" s="348">
        <v>580667190.64381576</v>
      </c>
      <c r="I517" s="369"/>
      <c r="J517" s="350">
        <v>146270251.27018243</v>
      </c>
      <c r="K517" s="350">
        <v>179807132.87618083</v>
      </c>
      <c r="L517" s="350">
        <v>213797842.33772534</v>
      </c>
      <c r="M517" s="350">
        <v>248297177.39411294</v>
      </c>
      <c r="N517" s="350">
        <v>283313653.05053753</v>
      </c>
      <c r="O517" s="348">
        <v>1071486056.9287391</v>
      </c>
      <c r="P517" s="369"/>
      <c r="Q517" s="350">
        <f t="shared" si="213"/>
        <v>31966971.249770015</v>
      </c>
      <c r="R517" s="350">
        <f t="shared" si="214"/>
        <v>64566337.298992455</v>
      </c>
      <c r="S517" s="350">
        <f t="shared" si="215"/>
        <v>97658814.474735603</v>
      </c>
      <c r="T517" s="350">
        <f t="shared" si="216"/>
        <v>131257782.79866295</v>
      </c>
      <c r="U517" s="350">
        <f t="shared" si="217"/>
        <v>165368960.46276236</v>
      </c>
      <c r="V517" s="350">
        <f t="shared" si="218"/>
        <v>490818866.28492332</v>
      </c>
      <c r="W517" s="365"/>
      <c r="X517" s="377">
        <f t="shared" si="196"/>
        <v>0</v>
      </c>
      <c r="Y517" s="377">
        <f t="shared" si="197"/>
        <v>0</v>
      </c>
      <c r="Z517" s="377">
        <f t="shared" si="198"/>
        <v>0</v>
      </c>
      <c r="AA517" s="377">
        <f t="shared" si="199"/>
        <v>0</v>
      </c>
      <c r="AB517" s="377">
        <f t="shared" si="200"/>
        <v>0</v>
      </c>
      <c r="AC517" s="377">
        <f t="shared" si="201"/>
        <v>0</v>
      </c>
      <c r="AD517" s="376"/>
      <c r="AE517" s="332">
        <v>502</v>
      </c>
      <c r="AF517" s="350">
        <v>147656804.79235491</v>
      </c>
      <c r="AG517" s="350">
        <v>148867885.97508165</v>
      </c>
      <c r="AH517" s="350">
        <v>150028221.08759183</v>
      </c>
      <c r="AI517" s="350">
        <v>151191313.47507775</v>
      </c>
      <c r="AJ517" s="350">
        <v>152360776.05662224</v>
      </c>
      <c r="AK517" s="348">
        <v>750105001.38672841</v>
      </c>
      <c r="AL517" s="369"/>
      <c r="AM517" s="350">
        <v>185054993.90484965</v>
      </c>
      <c r="AN517" s="350">
        <v>224405927.46703595</v>
      </c>
      <c r="AO517" s="350">
        <v>264283034.55425319</v>
      </c>
      <c r="AP517" s="350">
        <v>304755471.91271448</v>
      </c>
      <c r="AQ517" s="350">
        <v>345833542.4579969</v>
      </c>
      <c r="AR517" s="348">
        <v>1324332970.2968502</v>
      </c>
      <c r="AS517" s="369"/>
      <c r="AT517" s="350">
        <f t="shared" si="219"/>
        <v>37398189.112494737</v>
      </c>
      <c r="AU517" s="350">
        <f t="shared" si="202"/>
        <v>75538041.491954297</v>
      </c>
      <c r="AV517" s="350">
        <f t="shared" si="203"/>
        <v>114254813.46666136</v>
      </c>
      <c r="AW517" s="350">
        <f t="shared" si="204"/>
        <v>153564158.43763673</v>
      </c>
      <c r="AX517" s="350">
        <f t="shared" si="205"/>
        <v>193472766.40137467</v>
      </c>
      <c r="AY517" s="350">
        <f t="shared" si="206"/>
        <v>574227968.9101218</v>
      </c>
      <c r="AZ517" s="365"/>
      <c r="BA517" s="377">
        <f t="shared" si="207"/>
        <v>0</v>
      </c>
      <c r="BB517" s="377">
        <f t="shared" si="208"/>
        <v>0</v>
      </c>
      <c r="BC517" s="377">
        <f t="shared" si="209"/>
        <v>0</v>
      </c>
      <c r="BD517" s="377">
        <f t="shared" si="210"/>
        <v>0</v>
      </c>
      <c r="BE517" s="377">
        <f t="shared" si="211"/>
        <v>0</v>
      </c>
      <c r="BF517" s="377">
        <f t="shared" si="212"/>
        <v>0</v>
      </c>
      <c r="BG517" s="328"/>
    </row>
    <row r="518" spans="2:59">
      <c r="B518" s="332">
        <v>503</v>
      </c>
      <c r="C518" s="350">
        <v>118957675.824624</v>
      </c>
      <c r="D518" s="350">
        <v>119933366.73798695</v>
      </c>
      <c r="E518" s="350">
        <v>120868174.77718306</v>
      </c>
      <c r="F518" s="350">
        <v>121805204.1770757</v>
      </c>
      <c r="G518" s="350">
        <v>122747365.63627854</v>
      </c>
      <c r="H518" s="348">
        <v>604311787.15314829</v>
      </c>
      <c r="I518" s="369"/>
      <c r="J518" s="350">
        <v>148901672.30156425</v>
      </c>
      <c r="K518" s="350">
        <v>180410424.70198232</v>
      </c>
      <c r="L518" s="350">
        <v>212340148.07021487</v>
      </c>
      <c r="M518" s="350">
        <v>244746479.74723274</v>
      </c>
      <c r="N518" s="350">
        <v>277637686.25248575</v>
      </c>
      <c r="O518" s="348">
        <v>1064036411.0734799</v>
      </c>
      <c r="P518" s="369"/>
      <c r="Q518" s="350">
        <f t="shared" si="213"/>
        <v>29943996.476940244</v>
      </c>
      <c r="R518" s="350">
        <f t="shared" si="214"/>
        <v>60477057.963995367</v>
      </c>
      <c r="S518" s="350">
        <f t="shared" si="215"/>
        <v>91471973.293031812</v>
      </c>
      <c r="T518" s="350">
        <f t="shared" si="216"/>
        <v>122941275.57015704</v>
      </c>
      <c r="U518" s="350">
        <f t="shared" si="217"/>
        <v>154890320.61620721</v>
      </c>
      <c r="V518" s="350">
        <f t="shared" si="218"/>
        <v>459724623.9203316</v>
      </c>
      <c r="W518" s="365"/>
      <c r="X518" s="377">
        <f t="shared" si="196"/>
        <v>0</v>
      </c>
      <c r="Y518" s="377">
        <f t="shared" si="197"/>
        <v>0</v>
      </c>
      <c r="Z518" s="377">
        <f t="shared" si="198"/>
        <v>0</v>
      </c>
      <c r="AA518" s="377">
        <f t="shared" si="199"/>
        <v>0</v>
      </c>
      <c r="AB518" s="377">
        <f t="shared" si="200"/>
        <v>0</v>
      </c>
      <c r="AC518" s="377">
        <f t="shared" si="201"/>
        <v>0</v>
      </c>
      <c r="AD518" s="376"/>
      <c r="AE518" s="332">
        <v>503</v>
      </c>
      <c r="AF518" s="350">
        <v>140995143.8788054</v>
      </c>
      <c r="AG518" s="350">
        <v>142151586.1155692</v>
      </c>
      <c r="AH518" s="350">
        <v>143259571.73374686</v>
      </c>
      <c r="AI518" s="350">
        <v>144370190.23012125</v>
      </c>
      <c r="AJ518" s="350">
        <v>145486891.52389243</v>
      </c>
      <c r="AK518" s="348">
        <v>716263383.48213518</v>
      </c>
      <c r="AL518" s="369"/>
      <c r="AM518" s="350">
        <v>177664811.83315316</v>
      </c>
      <c r="AN518" s="350">
        <v>216218973.34384319</v>
      </c>
      <c r="AO518" s="350">
        <v>255290372.39726588</v>
      </c>
      <c r="AP518" s="350">
        <v>294945447.00755435</v>
      </c>
      <c r="AQ518" s="350">
        <v>335194206.89604789</v>
      </c>
      <c r="AR518" s="348">
        <v>1279313811.4778645</v>
      </c>
      <c r="AS518" s="369"/>
      <c r="AT518" s="350">
        <f t="shared" si="219"/>
        <v>36669667.954347759</v>
      </c>
      <c r="AU518" s="350">
        <f t="shared" si="202"/>
        <v>74067387.228273988</v>
      </c>
      <c r="AV518" s="350">
        <f t="shared" si="203"/>
        <v>112030800.66351902</v>
      </c>
      <c r="AW518" s="350">
        <f t="shared" si="204"/>
        <v>150575256.7774331</v>
      </c>
      <c r="AX518" s="350">
        <f t="shared" si="205"/>
        <v>189707315.37215546</v>
      </c>
      <c r="AY518" s="350">
        <f t="shared" si="206"/>
        <v>563050427.99572933</v>
      </c>
      <c r="AZ518" s="365"/>
      <c r="BA518" s="377">
        <f t="shared" si="207"/>
        <v>0</v>
      </c>
      <c r="BB518" s="377">
        <f t="shared" si="208"/>
        <v>0</v>
      </c>
      <c r="BC518" s="377">
        <f t="shared" si="209"/>
        <v>0</v>
      </c>
      <c r="BD518" s="377">
        <f t="shared" si="210"/>
        <v>0</v>
      </c>
      <c r="BE518" s="377">
        <f t="shared" si="211"/>
        <v>0</v>
      </c>
      <c r="BF518" s="377">
        <f t="shared" si="212"/>
        <v>0</v>
      </c>
      <c r="BG518" s="328"/>
    </row>
    <row r="519" spans="2:59">
      <c r="B519" s="332">
        <v>504</v>
      </c>
      <c r="C519" s="350">
        <v>159316175.88590896</v>
      </c>
      <c r="D519" s="350">
        <v>160622887.2358582</v>
      </c>
      <c r="E519" s="350">
        <v>161874845.47192609</v>
      </c>
      <c r="F519" s="350">
        <v>163129778.70468065</v>
      </c>
      <c r="G519" s="350">
        <v>164391585.13883272</v>
      </c>
      <c r="H519" s="348">
        <v>809335272.43720663</v>
      </c>
      <c r="I519" s="369"/>
      <c r="J519" s="350">
        <v>195358922.22346109</v>
      </c>
      <c r="K519" s="350">
        <v>233431052.67582232</v>
      </c>
      <c r="L519" s="350">
        <v>272004562.99649906</v>
      </c>
      <c r="M519" s="350">
        <v>311152267.8008157</v>
      </c>
      <c r="N519" s="350">
        <v>350884514.02516586</v>
      </c>
      <c r="O519" s="348">
        <v>1362831319.7217641</v>
      </c>
      <c r="P519" s="369"/>
      <c r="Q519" s="350">
        <f t="shared" si="213"/>
        <v>36042746.33755213</v>
      </c>
      <c r="R519" s="350">
        <f t="shared" si="214"/>
        <v>72808165.439964116</v>
      </c>
      <c r="S519" s="350">
        <f t="shared" si="215"/>
        <v>110129717.52457297</v>
      </c>
      <c r="T519" s="350">
        <f t="shared" si="216"/>
        <v>148022489.09613505</v>
      </c>
      <c r="U519" s="350">
        <f t="shared" si="217"/>
        <v>186492928.88633314</v>
      </c>
      <c r="V519" s="350">
        <f t="shared" si="218"/>
        <v>553496047.28455746</v>
      </c>
      <c r="W519" s="365"/>
      <c r="X519" s="377">
        <f t="shared" si="196"/>
        <v>0</v>
      </c>
      <c r="Y519" s="377">
        <f t="shared" si="197"/>
        <v>0</v>
      </c>
      <c r="Z519" s="377">
        <f t="shared" si="198"/>
        <v>0</v>
      </c>
      <c r="AA519" s="377">
        <f t="shared" si="199"/>
        <v>0</v>
      </c>
      <c r="AB519" s="377">
        <f t="shared" si="200"/>
        <v>0</v>
      </c>
      <c r="AC519" s="377">
        <f t="shared" si="201"/>
        <v>0</v>
      </c>
      <c r="AD519" s="376"/>
      <c r="AE519" s="332">
        <v>504</v>
      </c>
      <c r="AF519" s="350">
        <v>123421578.96840829</v>
      </c>
      <c r="AG519" s="350">
        <v>124433882.81746733</v>
      </c>
      <c r="AH519" s="350">
        <v>125403769.65688443</v>
      </c>
      <c r="AI519" s="350">
        <v>126375961.21386367</v>
      </c>
      <c r="AJ519" s="350">
        <v>127353477.41138445</v>
      </c>
      <c r="AK519" s="348">
        <v>626988670.06800818</v>
      </c>
      <c r="AL519" s="369"/>
      <c r="AM519" s="350">
        <v>157050586.24703154</v>
      </c>
      <c r="AN519" s="350">
        <v>192351282.04816464</v>
      </c>
      <c r="AO519" s="350">
        <v>228128218.12816438</v>
      </c>
      <c r="AP519" s="350">
        <v>264440191.566596</v>
      </c>
      <c r="AQ519" s="350">
        <v>301296236.88129258</v>
      </c>
      <c r="AR519" s="348">
        <v>1143266514.8712492</v>
      </c>
      <c r="AS519" s="369"/>
      <c r="AT519" s="350">
        <f t="shared" si="219"/>
        <v>33629007.278623253</v>
      </c>
      <c r="AU519" s="350">
        <f t="shared" si="202"/>
        <v>67917399.230697304</v>
      </c>
      <c r="AV519" s="350">
        <f t="shared" si="203"/>
        <v>102724448.47127995</v>
      </c>
      <c r="AW519" s="350">
        <f t="shared" si="204"/>
        <v>138064230.35273233</v>
      </c>
      <c r="AX519" s="350">
        <f t="shared" si="205"/>
        <v>173942759.46990812</v>
      </c>
      <c r="AY519" s="350">
        <f t="shared" si="206"/>
        <v>516277844.80324101</v>
      </c>
      <c r="AZ519" s="365"/>
      <c r="BA519" s="377">
        <f t="shared" si="207"/>
        <v>0</v>
      </c>
      <c r="BB519" s="377">
        <f t="shared" si="208"/>
        <v>0</v>
      </c>
      <c r="BC519" s="377">
        <f t="shared" si="209"/>
        <v>0</v>
      </c>
      <c r="BD519" s="377">
        <f t="shared" si="210"/>
        <v>0</v>
      </c>
      <c r="BE519" s="377">
        <f t="shared" si="211"/>
        <v>0</v>
      </c>
      <c r="BF519" s="377">
        <f t="shared" si="212"/>
        <v>0</v>
      </c>
      <c r="BG519" s="328"/>
    </row>
    <row r="520" spans="2:59">
      <c r="B520" s="332">
        <v>505</v>
      </c>
      <c r="C520" s="350">
        <v>157438695.83686942</v>
      </c>
      <c r="D520" s="350">
        <v>158730008.09456864</v>
      </c>
      <c r="E520" s="350">
        <v>159967212.4828406</v>
      </c>
      <c r="F520" s="350">
        <v>161207356.80860391</v>
      </c>
      <c r="G520" s="350">
        <v>162454293.33772159</v>
      </c>
      <c r="H520" s="348">
        <v>799797566.56060421</v>
      </c>
      <c r="I520" s="369"/>
      <c r="J520" s="350">
        <v>202428729.46752256</v>
      </c>
      <c r="K520" s="350">
        <v>249593869.27761447</v>
      </c>
      <c r="L520" s="350">
        <v>297398804.30815548</v>
      </c>
      <c r="M520" s="350">
        <v>345919412.94431025</v>
      </c>
      <c r="N520" s="350">
        <v>395167594.23354483</v>
      </c>
      <c r="O520" s="348">
        <v>1490508410.2311475</v>
      </c>
      <c r="P520" s="369"/>
      <c r="Q520" s="350">
        <f t="shared" si="213"/>
        <v>44990033.630653143</v>
      </c>
      <c r="R520" s="350">
        <f t="shared" si="214"/>
        <v>90863861.183045834</v>
      </c>
      <c r="S520" s="350">
        <f t="shared" si="215"/>
        <v>137431591.82531488</v>
      </c>
      <c r="T520" s="350">
        <f t="shared" si="216"/>
        <v>184712056.13570634</v>
      </c>
      <c r="U520" s="350">
        <f t="shared" si="217"/>
        <v>232713300.89582324</v>
      </c>
      <c r="V520" s="350">
        <f t="shared" si="218"/>
        <v>690710843.67054331</v>
      </c>
      <c r="W520" s="365"/>
      <c r="X520" s="377">
        <f t="shared" si="196"/>
        <v>0</v>
      </c>
      <c r="Y520" s="377">
        <f t="shared" si="197"/>
        <v>0</v>
      </c>
      <c r="Z520" s="377">
        <f t="shared" si="198"/>
        <v>0</v>
      </c>
      <c r="AA520" s="377">
        <f t="shared" si="199"/>
        <v>0</v>
      </c>
      <c r="AB520" s="377">
        <f t="shared" si="200"/>
        <v>0</v>
      </c>
      <c r="AC520" s="377">
        <f t="shared" si="201"/>
        <v>0</v>
      </c>
      <c r="AD520" s="376"/>
      <c r="AE520" s="332">
        <v>505</v>
      </c>
      <c r="AF520" s="350">
        <v>115325023.74312009</v>
      </c>
      <c r="AG520" s="350">
        <v>116270919.64239284</v>
      </c>
      <c r="AH520" s="350">
        <v>117177181.12210175</v>
      </c>
      <c r="AI520" s="350">
        <v>118085596.12803993</v>
      </c>
      <c r="AJ520" s="350">
        <v>118998986.4738013</v>
      </c>
      <c r="AK520" s="348">
        <v>585857707.10945594</v>
      </c>
      <c r="AL520" s="369"/>
      <c r="AM520" s="350">
        <v>145508218.52812445</v>
      </c>
      <c r="AN520" s="350">
        <v>177226780.11908016</v>
      </c>
      <c r="AO520" s="350">
        <v>209371183.48171413</v>
      </c>
      <c r="AP520" s="350">
        <v>241995849.54583874</v>
      </c>
      <c r="AQ520" s="350">
        <v>275108998.07288432</v>
      </c>
      <c r="AR520" s="348">
        <v>1049211029.7476418</v>
      </c>
      <c r="AS520" s="369"/>
      <c r="AT520" s="350">
        <f t="shared" si="219"/>
        <v>30183194.785004362</v>
      </c>
      <c r="AU520" s="350">
        <f t="shared" si="202"/>
        <v>60955860.476687312</v>
      </c>
      <c r="AV520" s="350">
        <f t="shared" si="203"/>
        <v>92194002.359612375</v>
      </c>
      <c r="AW520" s="350">
        <f t="shared" si="204"/>
        <v>123910253.41779882</v>
      </c>
      <c r="AX520" s="350">
        <f t="shared" si="205"/>
        <v>156110011.59908301</v>
      </c>
      <c r="AY520" s="350">
        <f t="shared" si="206"/>
        <v>463353322.63818586</v>
      </c>
      <c r="AZ520" s="365"/>
      <c r="BA520" s="377">
        <f t="shared" si="207"/>
        <v>0</v>
      </c>
      <c r="BB520" s="377">
        <f t="shared" si="208"/>
        <v>0</v>
      </c>
      <c r="BC520" s="377">
        <f t="shared" si="209"/>
        <v>0</v>
      </c>
      <c r="BD520" s="377">
        <f t="shared" si="210"/>
        <v>0</v>
      </c>
      <c r="BE520" s="377">
        <f t="shared" si="211"/>
        <v>0</v>
      </c>
      <c r="BF520" s="377">
        <f t="shared" si="212"/>
        <v>0</v>
      </c>
      <c r="BG520" s="328"/>
    </row>
    <row r="521" spans="2:59">
      <c r="B521" s="332">
        <v>506</v>
      </c>
      <c r="C521" s="350">
        <v>139012957.6705797</v>
      </c>
      <c r="D521" s="350">
        <v>140153142.01512635</v>
      </c>
      <c r="E521" s="350">
        <v>141245550.97051373</v>
      </c>
      <c r="F521" s="350">
        <v>142340555.78966811</v>
      </c>
      <c r="G521" s="350">
        <v>143441557.89095417</v>
      </c>
      <c r="H521" s="348">
        <v>706193764.33684194</v>
      </c>
      <c r="I521" s="369"/>
      <c r="J521" s="350">
        <v>176381335.38713762</v>
      </c>
      <c r="K521" s="350">
        <v>215602791.2159166</v>
      </c>
      <c r="L521" s="350">
        <v>255352492.10262361</v>
      </c>
      <c r="M521" s="350">
        <v>295696448.6576122</v>
      </c>
      <c r="N521" s="350">
        <v>336644742.66172022</v>
      </c>
      <c r="O521" s="348">
        <v>1279677810.0250103</v>
      </c>
      <c r="P521" s="369"/>
      <c r="Q521" s="350">
        <f t="shared" si="213"/>
        <v>37368377.71655792</v>
      </c>
      <c r="R521" s="350">
        <f t="shared" si="214"/>
        <v>75449649.200790256</v>
      </c>
      <c r="S521" s="350">
        <f t="shared" si="215"/>
        <v>114106941.13210988</v>
      </c>
      <c r="T521" s="350">
        <f t="shared" si="216"/>
        <v>153355892.86794409</v>
      </c>
      <c r="U521" s="350">
        <f t="shared" si="217"/>
        <v>193203184.77076605</v>
      </c>
      <c r="V521" s="350">
        <f t="shared" si="218"/>
        <v>573484045.68816841</v>
      </c>
      <c r="W521" s="365"/>
      <c r="X521" s="377">
        <f t="shared" si="196"/>
        <v>0</v>
      </c>
      <c r="Y521" s="377">
        <f t="shared" si="197"/>
        <v>0</v>
      </c>
      <c r="Z521" s="377">
        <f t="shared" si="198"/>
        <v>0</v>
      </c>
      <c r="AA521" s="377">
        <f t="shared" si="199"/>
        <v>0</v>
      </c>
      <c r="AB521" s="377">
        <f t="shared" si="200"/>
        <v>0</v>
      </c>
      <c r="AC521" s="377">
        <f t="shared" si="201"/>
        <v>0</v>
      </c>
      <c r="AD521" s="376"/>
      <c r="AE521" s="332">
        <v>506</v>
      </c>
      <c r="AF521" s="350">
        <v>123958302.43936229</v>
      </c>
      <c r="AG521" s="350">
        <v>124975008.49458393</v>
      </c>
      <c r="AH521" s="350">
        <v>125949113.08129635</v>
      </c>
      <c r="AI521" s="350">
        <v>126925532.40809715</v>
      </c>
      <c r="AJ521" s="350">
        <v>127907299.53070602</v>
      </c>
      <c r="AK521" s="348">
        <v>629715255.95404577</v>
      </c>
      <c r="AL521" s="369"/>
      <c r="AM521" s="350">
        <v>157941108.72298586</v>
      </c>
      <c r="AN521" s="350">
        <v>193606542.2036649</v>
      </c>
      <c r="AO521" s="350">
        <v>229753481.86976314</v>
      </c>
      <c r="AP521" s="350">
        <v>266441067.34182608</v>
      </c>
      <c r="AQ521" s="350">
        <v>303678409.48671126</v>
      </c>
      <c r="AR521" s="348">
        <v>1151420609.6249514</v>
      </c>
      <c r="AS521" s="369"/>
      <c r="AT521" s="350">
        <f t="shared" si="219"/>
        <v>33982806.283623576</v>
      </c>
      <c r="AU521" s="350">
        <f t="shared" si="202"/>
        <v>68631533.709080964</v>
      </c>
      <c r="AV521" s="350">
        <f t="shared" si="203"/>
        <v>103804368.78846678</v>
      </c>
      <c r="AW521" s="350">
        <f t="shared" si="204"/>
        <v>139515534.93372893</v>
      </c>
      <c r="AX521" s="350">
        <f t="shared" si="205"/>
        <v>175771109.95600525</v>
      </c>
      <c r="AY521" s="350">
        <f t="shared" si="206"/>
        <v>521705353.67090559</v>
      </c>
      <c r="AZ521" s="365"/>
      <c r="BA521" s="377">
        <f t="shared" si="207"/>
        <v>0</v>
      </c>
      <c r="BB521" s="377">
        <f t="shared" si="208"/>
        <v>0</v>
      </c>
      <c r="BC521" s="377">
        <f t="shared" si="209"/>
        <v>0</v>
      </c>
      <c r="BD521" s="377">
        <f t="shared" si="210"/>
        <v>0</v>
      </c>
      <c r="BE521" s="377">
        <f t="shared" si="211"/>
        <v>0</v>
      </c>
      <c r="BF521" s="377">
        <f t="shared" si="212"/>
        <v>0</v>
      </c>
      <c r="BG521" s="328"/>
    </row>
    <row r="522" spans="2:59">
      <c r="B522" s="332">
        <v>507</v>
      </c>
      <c r="C522" s="350">
        <v>149488789.14881256</v>
      </c>
      <c r="D522" s="350">
        <v>150714896.26809722</v>
      </c>
      <c r="E522" s="350">
        <v>151889627.70847967</v>
      </c>
      <c r="F522" s="350">
        <v>153067150.6334677</v>
      </c>
      <c r="G522" s="350">
        <v>154251122.78778714</v>
      </c>
      <c r="H522" s="348">
        <v>759411586.54664421</v>
      </c>
      <c r="I522" s="369"/>
      <c r="J522" s="350">
        <v>189287592.9130829</v>
      </c>
      <c r="K522" s="350">
        <v>231097524.79020256</v>
      </c>
      <c r="L522" s="350">
        <v>273469967.18207228</v>
      </c>
      <c r="M522" s="350">
        <v>316475745.21929306</v>
      </c>
      <c r="N522" s="350">
        <v>360125635.42966437</v>
      </c>
      <c r="O522" s="348">
        <v>1370456465.5343151</v>
      </c>
      <c r="P522" s="369"/>
      <c r="Q522" s="350">
        <f t="shared" si="213"/>
        <v>39798803.764270335</v>
      </c>
      <c r="R522" s="350">
        <f t="shared" si="214"/>
        <v>80382628.522105336</v>
      </c>
      <c r="S522" s="350">
        <f t="shared" si="215"/>
        <v>121580339.47359261</v>
      </c>
      <c r="T522" s="350">
        <f t="shared" si="216"/>
        <v>163408594.58582535</v>
      </c>
      <c r="U522" s="350">
        <f t="shared" si="217"/>
        <v>205874512.64187723</v>
      </c>
      <c r="V522" s="350">
        <f t="shared" si="218"/>
        <v>611044878.9876709</v>
      </c>
      <c r="W522" s="365"/>
      <c r="X522" s="377">
        <f t="shared" si="196"/>
        <v>0</v>
      </c>
      <c r="Y522" s="377">
        <f t="shared" si="197"/>
        <v>0</v>
      </c>
      <c r="Z522" s="377">
        <f t="shared" si="198"/>
        <v>0</v>
      </c>
      <c r="AA522" s="377">
        <f t="shared" si="199"/>
        <v>0</v>
      </c>
      <c r="AB522" s="377">
        <f t="shared" si="200"/>
        <v>0</v>
      </c>
      <c r="AC522" s="377">
        <f t="shared" si="201"/>
        <v>0</v>
      </c>
      <c r="AD522" s="376"/>
      <c r="AE522" s="332">
        <v>507</v>
      </c>
      <c r="AF522" s="350">
        <v>139002778.49712405</v>
      </c>
      <c r="AG522" s="350">
        <v>140142879.3520852</v>
      </c>
      <c r="AH522" s="350">
        <v>141235208.31622267</v>
      </c>
      <c r="AI522" s="350">
        <v>142330132.95404592</v>
      </c>
      <c r="AJ522" s="350">
        <v>143431054.43485203</v>
      </c>
      <c r="AK522" s="348">
        <v>706142053.55432987</v>
      </c>
      <c r="AL522" s="369"/>
      <c r="AM522" s="350">
        <v>176951918.2216953</v>
      </c>
      <c r="AN522" s="350">
        <v>216790620.83541113</v>
      </c>
      <c r="AO522" s="350">
        <v>257166921.58780453</v>
      </c>
      <c r="AP522" s="350">
        <v>298147071.87673944</v>
      </c>
      <c r="AQ522" s="350">
        <v>339741260.94774687</v>
      </c>
      <c r="AR522" s="348">
        <v>1288797793.4693971</v>
      </c>
      <c r="AS522" s="369"/>
      <c r="AT522" s="350">
        <f t="shared" si="219"/>
        <v>37949139.724571258</v>
      </c>
      <c r="AU522" s="350">
        <f t="shared" si="202"/>
        <v>76647741.483325928</v>
      </c>
      <c r="AV522" s="350">
        <f t="shared" si="203"/>
        <v>115931713.27158186</v>
      </c>
      <c r="AW522" s="350">
        <f t="shared" si="204"/>
        <v>155816938.92269352</v>
      </c>
      <c r="AX522" s="350">
        <f t="shared" si="205"/>
        <v>196310206.51289484</v>
      </c>
      <c r="AY522" s="350">
        <f t="shared" si="206"/>
        <v>582655739.9150672</v>
      </c>
      <c r="AZ522" s="365"/>
      <c r="BA522" s="377">
        <f t="shared" si="207"/>
        <v>0</v>
      </c>
      <c r="BB522" s="377">
        <f t="shared" si="208"/>
        <v>0</v>
      </c>
      <c r="BC522" s="377">
        <f t="shared" si="209"/>
        <v>0</v>
      </c>
      <c r="BD522" s="377">
        <f t="shared" si="210"/>
        <v>0</v>
      </c>
      <c r="BE522" s="377">
        <f t="shared" si="211"/>
        <v>0</v>
      </c>
      <c r="BF522" s="377">
        <f t="shared" si="212"/>
        <v>0</v>
      </c>
      <c r="BG522" s="328"/>
    </row>
    <row r="523" spans="2:59">
      <c r="B523" s="332">
        <v>508</v>
      </c>
      <c r="C523" s="350">
        <v>107613777.92394352</v>
      </c>
      <c r="D523" s="350">
        <v>108496426.18136108</v>
      </c>
      <c r="E523" s="350">
        <v>109342090.18777527</v>
      </c>
      <c r="F523" s="350">
        <v>110189763.72417586</v>
      </c>
      <c r="G523" s="350">
        <v>111042079.92265832</v>
      </c>
      <c r="H523" s="348">
        <v>546684137.93991399</v>
      </c>
      <c r="I523" s="369"/>
      <c r="J523" s="350">
        <v>143483659.1059458</v>
      </c>
      <c r="K523" s="350">
        <v>180918583.04921898</v>
      </c>
      <c r="L523" s="350">
        <v>218869414.58768851</v>
      </c>
      <c r="M523" s="350">
        <v>257390159.60502166</v>
      </c>
      <c r="N523" s="350">
        <v>296489863.4170422</v>
      </c>
      <c r="O523" s="348">
        <v>1097151679.7649171</v>
      </c>
      <c r="P523" s="369"/>
      <c r="Q523" s="350">
        <f t="shared" si="213"/>
        <v>35869881.182002276</v>
      </c>
      <c r="R523" s="350">
        <f t="shared" si="214"/>
        <v>72422156.867857903</v>
      </c>
      <c r="S523" s="350">
        <f t="shared" si="215"/>
        <v>109527324.39991324</v>
      </c>
      <c r="T523" s="350">
        <f t="shared" si="216"/>
        <v>147200395.88084579</v>
      </c>
      <c r="U523" s="350">
        <f t="shared" si="217"/>
        <v>185447783.49438387</v>
      </c>
      <c r="V523" s="350">
        <f t="shared" si="218"/>
        <v>550467541.82500315</v>
      </c>
      <c r="W523" s="365"/>
      <c r="X523" s="377">
        <f t="shared" si="196"/>
        <v>0</v>
      </c>
      <c r="Y523" s="377">
        <f t="shared" si="197"/>
        <v>0</v>
      </c>
      <c r="Z523" s="377">
        <f t="shared" si="198"/>
        <v>0</v>
      </c>
      <c r="AA523" s="377">
        <f t="shared" si="199"/>
        <v>0</v>
      </c>
      <c r="AB523" s="377">
        <f t="shared" si="200"/>
        <v>0</v>
      </c>
      <c r="AC523" s="377">
        <f t="shared" si="201"/>
        <v>0</v>
      </c>
      <c r="AD523" s="376"/>
      <c r="AE523" s="332">
        <v>508</v>
      </c>
      <c r="AF523" s="350">
        <v>127985449.52471152</v>
      </c>
      <c r="AG523" s="350">
        <v>129035186.2422314</v>
      </c>
      <c r="AH523" s="350">
        <v>130040937.45825395</v>
      </c>
      <c r="AI523" s="350">
        <v>131049078.6154495</v>
      </c>
      <c r="AJ523" s="350">
        <v>132062741.30720136</v>
      </c>
      <c r="AK523" s="348">
        <v>650173393.14784765</v>
      </c>
      <c r="AL523" s="369"/>
      <c r="AM523" s="350">
        <v>162940182.0376578</v>
      </c>
      <c r="AN523" s="350">
        <v>199622816.32147959</v>
      </c>
      <c r="AO523" s="350">
        <v>236800456.48217249</v>
      </c>
      <c r="AP523" s="350">
        <v>274534107.79351729</v>
      </c>
      <c r="AQ523" s="350">
        <v>312833152.45040935</v>
      </c>
      <c r="AR523" s="348">
        <v>1186730715.0852365</v>
      </c>
      <c r="AS523" s="369"/>
      <c r="AT523" s="350">
        <f t="shared" si="219"/>
        <v>34954732.512946278</v>
      </c>
      <c r="AU523" s="350">
        <f t="shared" si="202"/>
        <v>70587630.07924819</v>
      </c>
      <c r="AV523" s="350">
        <f t="shared" si="203"/>
        <v>106759519.02391854</v>
      </c>
      <c r="AW523" s="350">
        <f t="shared" si="204"/>
        <v>143485029.1780678</v>
      </c>
      <c r="AX523" s="350">
        <f t="shared" si="205"/>
        <v>180770411.143208</v>
      </c>
      <c r="AY523" s="350">
        <f t="shared" si="206"/>
        <v>536557321.9373889</v>
      </c>
      <c r="AZ523" s="365"/>
      <c r="BA523" s="377">
        <f t="shared" si="207"/>
        <v>0</v>
      </c>
      <c r="BB523" s="377">
        <f t="shared" si="208"/>
        <v>0</v>
      </c>
      <c r="BC523" s="377">
        <f t="shared" si="209"/>
        <v>0</v>
      </c>
      <c r="BD523" s="377">
        <f t="shared" si="210"/>
        <v>0</v>
      </c>
      <c r="BE523" s="377">
        <f t="shared" si="211"/>
        <v>0</v>
      </c>
      <c r="BF523" s="377">
        <f t="shared" si="212"/>
        <v>0</v>
      </c>
      <c r="BG523" s="328"/>
    </row>
    <row r="524" spans="2:59">
      <c r="B524" s="332">
        <v>509</v>
      </c>
      <c r="C524" s="350">
        <v>154048208.43203777</v>
      </c>
      <c r="D524" s="350">
        <v>155311711.9104394</v>
      </c>
      <c r="E524" s="350">
        <v>156522272.74787819</v>
      </c>
      <c r="F524" s="350">
        <v>157735710.21041247</v>
      </c>
      <c r="G524" s="350">
        <v>158955793.6042566</v>
      </c>
      <c r="H524" s="348">
        <v>782573696.90502453</v>
      </c>
      <c r="I524" s="369"/>
      <c r="J524" s="350">
        <v>189955315.97469553</v>
      </c>
      <c r="K524" s="350">
        <v>227819408.09257269</v>
      </c>
      <c r="L524" s="350">
        <v>266184185.00264502</v>
      </c>
      <c r="M524" s="350">
        <v>305120494.2301327</v>
      </c>
      <c r="N524" s="350">
        <v>344638525.50382859</v>
      </c>
      <c r="O524" s="348">
        <v>1333717928.8038745</v>
      </c>
      <c r="P524" s="369"/>
      <c r="Q524" s="350">
        <f t="shared" si="213"/>
        <v>35907107.542657763</v>
      </c>
      <c r="R524" s="350">
        <f t="shared" si="214"/>
        <v>72507696.182133287</v>
      </c>
      <c r="S524" s="350">
        <f t="shared" si="215"/>
        <v>109661912.25476682</v>
      </c>
      <c r="T524" s="350">
        <f t="shared" si="216"/>
        <v>147384784.01972023</v>
      </c>
      <c r="U524" s="350">
        <f t="shared" si="217"/>
        <v>185682731.89957199</v>
      </c>
      <c r="V524" s="350">
        <f t="shared" si="218"/>
        <v>551144231.89884996</v>
      </c>
      <c r="W524" s="365"/>
      <c r="X524" s="377">
        <f t="shared" si="196"/>
        <v>0</v>
      </c>
      <c r="Y524" s="377">
        <f t="shared" si="197"/>
        <v>0</v>
      </c>
      <c r="Z524" s="377">
        <f t="shared" si="198"/>
        <v>0</v>
      </c>
      <c r="AA524" s="377">
        <f t="shared" si="199"/>
        <v>0</v>
      </c>
      <c r="AB524" s="377">
        <f t="shared" si="200"/>
        <v>0</v>
      </c>
      <c r="AC524" s="377">
        <f t="shared" si="201"/>
        <v>0</v>
      </c>
      <c r="AD524" s="376"/>
      <c r="AE524" s="332">
        <v>509</v>
      </c>
      <c r="AF524" s="350">
        <v>142988504.2176562</v>
      </c>
      <c r="AG524" s="350">
        <v>144161295.99686185</v>
      </c>
      <c r="AH524" s="350">
        <v>145284946.08777618</v>
      </c>
      <c r="AI524" s="350">
        <v>146411266.27997753</v>
      </c>
      <c r="AJ524" s="350">
        <v>147543755.26691392</v>
      </c>
      <c r="AK524" s="348">
        <v>726389767.84918571</v>
      </c>
      <c r="AL524" s="369"/>
      <c r="AM524" s="350">
        <v>173851484.78939533</v>
      </c>
      <c r="AN524" s="350">
        <v>206530762.67842889</v>
      </c>
      <c r="AO524" s="350">
        <v>239637493.90003964</v>
      </c>
      <c r="AP524" s="350">
        <v>273236410.01258326</v>
      </c>
      <c r="AQ524" s="350">
        <v>307336535.45137495</v>
      </c>
      <c r="AR524" s="348">
        <v>1200592686.8318222</v>
      </c>
      <c r="AS524" s="369"/>
      <c r="AT524" s="350">
        <f t="shared" si="219"/>
        <v>30862980.571739137</v>
      </c>
      <c r="AU524" s="350">
        <f t="shared" si="202"/>
        <v>62369466.681567043</v>
      </c>
      <c r="AV524" s="350">
        <f t="shared" si="203"/>
        <v>94352547.812263459</v>
      </c>
      <c r="AW524" s="350">
        <f t="shared" si="204"/>
        <v>126825143.73260573</v>
      </c>
      <c r="AX524" s="350">
        <f t="shared" si="205"/>
        <v>159792780.18446103</v>
      </c>
      <c r="AY524" s="350">
        <f t="shared" si="206"/>
        <v>474202918.98263645</v>
      </c>
      <c r="AZ524" s="365"/>
      <c r="BA524" s="377">
        <f t="shared" si="207"/>
        <v>0</v>
      </c>
      <c r="BB524" s="377">
        <f t="shared" si="208"/>
        <v>0</v>
      </c>
      <c r="BC524" s="377">
        <f t="shared" si="209"/>
        <v>0</v>
      </c>
      <c r="BD524" s="377">
        <f t="shared" si="210"/>
        <v>0</v>
      </c>
      <c r="BE524" s="377">
        <f t="shared" si="211"/>
        <v>0</v>
      </c>
      <c r="BF524" s="377">
        <f t="shared" si="212"/>
        <v>0</v>
      </c>
      <c r="BG524" s="328"/>
    </row>
    <row r="525" spans="2:59">
      <c r="B525" s="332">
        <v>510</v>
      </c>
      <c r="C525" s="350">
        <v>118576610.33032952</v>
      </c>
      <c r="D525" s="350">
        <v>119549175.74432811</v>
      </c>
      <c r="E525" s="350">
        <v>120480989.24714772</v>
      </c>
      <c r="F525" s="350">
        <v>121415016.99482274</v>
      </c>
      <c r="G525" s="350">
        <v>122354160.36192121</v>
      </c>
      <c r="H525" s="348">
        <v>602375952.67854929</v>
      </c>
      <c r="I525" s="369"/>
      <c r="J525" s="350">
        <v>150153265.15611249</v>
      </c>
      <c r="K525" s="350">
        <v>183335971.49803329</v>
      </c>
      <c r="L525" s="350">
        <v>216965153.55446258</v>
      </c>
      <c r="M525" s="350">
        <v>251096994.6228416</v>
      </c>
      <c r="N525" s="350">
        <v>285740045.79586446</v>
      </c>
      <c r="O525" s="348">
        <v>1087291430.6273146</v>
      </c>
      <c r="P525" s="369"/>
      <c r="Q525" s="350">
        <f t="shared" si="213"/>
        <v>31576654.82578297</v>
      </c>
      <c r="R525" s="350">
        <f t="shared" si="214"/>
        <v>63786795.753705174</v>
      </c>
      <c r="S525" s="350">
        <f t="shared" si="215"/>
        <v>96484164.307314858</v>
      </c>
      <c r="T525" s="350">
        <f t="shared" si="216"/>
        <v>129681977.62801886</v>
      </c>
      <c r="U525" s="350">
        <f t="shared" si="217"/>
        <v>163385885.43394327</v>
      </c>
      <c r="V525" s="350">
        <f t="shared" si="218"/>
        <v>484915477.94876528</v>
      </c>
      <c r="W525" s="365"/>
      <c r="X525" s="377">
        <f t="shared" si="196"/>
        <v>0</v>
      </c>
      <c r="Y525" s="377">
        <f t="shared" si="197"/>
        <v>0</v>
      </c>
      <c r="Z525" s="377">
        <f t="shared" si="198"/>
        <v>0</v>
      </c>
      <c r="AA525" s="377">
        <f t="shared" si="199"/>
        <v>0</v>
      </c>
      <c r="AB525" s="377">
        <f t="shared" si="200"/>
        <v>0</v>
      </c>
      <c r="AC525" s="377">
        <f t="shared" si="201"/>
        <v>0</v>
      </c>
      <c r="AD525" s="376"/>
      <c r="AE525" s="332">
        <v>510</v>
      </c>
      <c r="AF525" s="350">
        <v>118477436.56723037</v>
      </c>
      <c r="AG525" s="350">
        <v>119449188.55797711</v>
      </c>
      <c r="AH525" s="350">
        <v>120380222.72116706</v>
      </c>
      <c r="AI525" s="350">
        <v>121313469.27728739</v>
      </c>
      <c r="AJ525" s="350">
        <v>122251827.17428736</v>
      </c>
      <c r="AK525" s="348">
        <v>601872144.29794919</v>
      </c>
      <c r="AL525" s="369"/>
      <c r="AM525" s="350">
        <v>153717299.59705973</v>
      </c>
      <c r="AN525" s="350">
        <v>190588930.78247625</v>
      </c>
      <c r="AO525" s="350">
        <v>227962862.99023005</v>
      </c>
      <c r="AP525" s="350">
        <v>265896774.29362574</v>
      </c>
      <c r="AQ525" s="350">
        <v>304399861.61445099</v>
      </c>
      <c r="AR525" s="348">
        <v>1142565729.2778428</v>
      </c>
      <c r="AS525" s="369"/>
      <c r="AT525" s="350">
        <f t="shared" si="219"/>
        <v>35239863.029829353</v>
      </c>
      <c r="AU525" s="350">
        <f t="shared" si="202"/>
        <v>71139742.224499136</v>
      </c>
      <c r="AV525" s="350">
        <f t="shared" si="203"/>
        <v>107582640.269063</v>
      </c>
      <c r="AW525" s="350">
        <f t="shared" si="204"/>
        <v>144583305.01633835</v>
      </c>
      <c r="AX525" s="350">
        <f t="shared" si="205"/>
        <v>182148034.44016361</v>
      </c>
      <c r="AY525" s="350">
        <f t="shared" si="206"/>
        <v>540693584.97989357</v>
      </c>
      <c r="AZ525" s="365"/>
      <c r="BA525" s="377">
        <f t="shared" si="207"/>
        <v>0</v>
      </c>
      <c r="BB525" s="377">
        <f t="shared" si="208"/>
        <v>0</v>
      </c>
      <c r="BC525" s="377">
        <f t="shared" si="209"/>
        <v>0</v>
      </c>
      <c r="BD525" s="377">
        <f t="shared" si="210"/>
        <v>0</v>
      </c>
      <c r="BE525" s="377">
        <f t="shared" si="211"/>
        <v>0</v>
      </c>
      <c r="BF525" s="377">
        <f t="shared" si="212"/>
        <v>0</v>
      </c>
      <c r="BG525" s="328"/>
    </row>
    <row r="526" spans="2:59">
      <c r="B526" s="332">
        <v>511</v>
      </c>
      <c r="C526" s="350">
        <v>114422258.66762881</v>
      </c>
      <c r="D526" s="350">
        <v>115360750.08732548</v>
      </c>
      <c r="E526" s="350">
        <v>116259917.34596606</v>
      </c>
      <c r="F526" s="350">
        <v>117161221.27301787</v>
      </c>
      <c r="G526" s="350">
        <v>118067461.59289861</v>
      </c>
      <c r="H526" s="348">
        <v>581271608.96683681</v>
      </c>
      <c r="I526" s="369"/>
      <c r="J526" s="350">
        <v>145648354.91239798</v>
      </c>
      <c r="K526" s="350">
        <v>178425255.4976123</v>
      </c>
      <c r="L526" s="350">
        <v>211644429.99970776</v>
      </c>
      <c r="M526" s="350">
        <v>245360408.86942637</v>
      </c>
      <c r="N526" s="350">
        <v>279581576.66870606</v>
      </c>
      <c r="O526" s="348">
        <v>1060660025.9478505</v>
      </c>
      <c r="P526" s="369"/>
      <c r="Q526" s="350">
        <f t="shared" si="213"/>
        <v>31226096.244769171</v>
      </c>
      <c r="R526" s="350">
        <f t="shared" si="214"/>
        <v>63064505.410286814</v>
      </c>
      <c r="S526" s="350">
        <f t="shared" si="215"/>
        <v>95384512.653741702</v>
      </c>
      <c r="T526" s="350">
        <f t="shared" si="216"/>
        <v>128199187.5964085</v>
      </c>
      <c r="U526" s="350">
        <f t="shared" si="217"/>
        <v>161514115.07580745</v>
      </c>
      <c r="V526" s="350">
        <f t="shared" si="218"/>
        <v>479388416.98101366</v>
      </c>
      <c r="W526" s="365"/>
      <c r="X526" s="377">
        <f t="shared" si="196"/>
        <v>0</v>
      </c>
      <c r="Y526" s="377">
        <f t="shared" si="197"/>
        <v>0</v>
      </c>
      <c r="Z526" s="377">
        <f t="shared" si="198"/>
        <v>0</v>
      </c>
      <c r="AA526" s="377">
        <f t="shared" si="199"/>
        <v>0</v>
      </c>
      <c r="AB526" s="377">
        <f t="shared" si="200"/>
        <v>0</v>
      </c>
      <c r="AC526" s="377">
        <f t="shared" si="201"/>
        <v>0</v>
      </c>
      <c r="AD526" s="376"/>
      <c r="AE526" s="332">
        <v>511</v>
      </c>
      <c r="AF526" s="350">
        <v>152266101.99307382</v>
      </c>
      <c r="AG526" s="350">
        <v>153514988.63362032</v>
      </c>
      <c r="AH526" s="350">
        <v>154711545.10005659</v>
      </c>
      <c r="AI526" s="350">
        <v>155910944.91335583</v>
      </c>
      <c r="AJ526" s="350">
        <v>157116913.77451968</v>
      </c>
      <c r="AK526" s="348">
        <v>773520494.41462624</v>
      </c>
      <c r="AL526" s="369"/>
      <c r="AM526" s="350">
        <v>194485793.16086784</v>
      </c>
      <c r="AN526" s="350">
        <v>238770414.01018074</v>
      </c>
      <c r="AO526" s="350">
        <v>283653671.64748526</v>
      </c>
      <c r="AP526" s="350">
        <v>329208409.90452147</v>
      </c>
      <c r="AQ526" s="350">
        <v>375445903.73413479</v>
      </c>
      <c r="AR526" s="348">
        <v>1421564192.45719</v>
      </c>
      <c r="AS526" s="369"/>
      <c r="AT526" s="350">
        <f t="shared" si="219"/>
        <v>42219691.167794019</v>
      </c>
      <c r="AU526" s="350">
        <f t="shared" si="202"/>
        <v>85255425.37656042</v>
      </c>
      <c r="AV526" s="350">
        <f t="shared" si="203"/>
        <v>128942126.54742867</v>
      </c>
      <c r="AW526" s="350">
        <f t="shared" si="204"/>
        <v>173297464.99116564</v>
      </c>
      <c r="AX526" s="350">
        <f t="shared" si="205"/>
        <v>218328989.95961511</v>
      </c>
      <c r="AY526" s="350">
        <f t="shared" si="206"/>
        <v>648043698.0425638</v>
      </c>
      <c r="AZ526" s="365"/>
      <c r="BA526" s="377">
        <f t="shared" si="207"/>
        <v>0</v>
      </c>
      <c r="BB526" s="377">
        <f t="shared" si="208"/>
        <v>0</v>
      </c>
      <c r="BC526" s="377">
        <f t="shared" si="209"/>
        <v>0</v>
      </c>
      <c r="BD526" s="377">
        <f t="shared" si="210"/>
        <v>0</v>
      </c>
      <c r="BE526" s="377">
        <f t="shared" si="211"/>
        <v>0</v>
      </c>
      <c r="BF526" s="377">
        <f t="shared" si="212"/>
        <v>0</v>
      </c>
      <c r="BG526" s="328"/>
    </row>
    <row r="527" spans="2:59">
      <c r="B527" s="332">
        <v>512</v>
      </c>
      <c r="C527" s="350">
        <v>143878230.99547836</v>
      </c>
      <c r="D527" s="350">
        <v>145058320.31413642</v>
      </c>
      <c r="E527" s="350">
        <v>146188962.16694278</v>
      </c>
      <c r="F527" s="350">
        <v>147322290.73538306</v>
      </c>
      <c r="G527" s="350">
        <v>148461826.48305583</v>
      </c>
      <c r="H527" s="348">
        <v>730909630.69499648</v>
      </c>
      <c r="I527" s="369"/>
      <c r="J527" s="350">
        <v>182516664.43344474</v>
      </c>
      <c r="K527" s="350">
        <v>223097818.61157706</v>
      </c>
      <c r="L527" s="350">
        <v>264225520.87702557</v>
      </c>
      <c r="M527" s="350">
        <v>305968077.72788084</v>
      </c>
      <c r="N527" s="350">
        <v>348335920.93230021</v>
      </c>
      <c r="O527" s="348">
        <v>1324144002.5822284</v>
      </c>
      <c r="P527" s="369"/>
      <c r="Q527" s="350">
        <f t="shared" si="213"/>
        <v>38638433.437966377</v>
      </c>
      <c r="R527" s="350">
        <f t="shared" si="214"/>
        <v>78039498.297440648</v>
      </c>
      <c r="S527" s="350">
        <f t="shared" si="215"/>
        <v>118036558.7100828</v>
      </c>
      <c r="T527" s="350">
        <f t="shared" si="216"/>
        <v>158645786.99249777</v>
      </c>
      <c r="U527" s="350">
        <f t="shared" si="217"/>
        <v>199874094.44924438</v>
      </c>
      <c r="V527" s="350">
        <f t="shared" si="218"/>
        <v>593234371.88723195</v>
      </c>
      <c r="W527" s="365"/>
      <c r="X527" s="377">
        <f t="shared" si="196"/>
        <v>0</v>
      </c>
      <c r="Y527" s="377">
        <f t="shared" si="197"/>
        <v>0</v>
      </c>
      <c r="Z527" s="377">
        <f t="shared" si="198"/>
        <v>0</v>
      </c>
      <c r="AA527" s="377">
        <f t="shared" si="199"/>
        <v>0</v>
      </c>
      <c r="AB527" s="377">
        <f t="shared" si="200"/>
        <v>0</v>
      </c>
      <c r="AC527" s="377">
        <f t="shared" si="201"/>
        <v>0</v>
      </c>
      <c r="AD527" s="376"/>
      <c r="AE527" s="332">
        <v>512</v>
      </c>
      <c r="AF527" s="350">
        <v>122514973.70594963</v>
      </c>
      <c r="AG527" s="350">
        <v>123519841.57821734</v>
      </c>
      <c r="AH527" s="350">
        <v>124482604.01913011</v>
      </c>
      <c r="AI527" s="350">
        <v>125447654.24807703</v>
      </c>
      <c r="AJ527" s="350">
        <v>126417990.00489841</v>
      </c>
      <c r="AK527" s="348">
        <v>622383063.55627251</v>
      </c>
      <c r="AL527" s="369"/>
      <c r="AM527" s="350">
        <v>152219053.5589073</v>
      </c>
      <c r="AN527" s="350">
        <v>183527371.55180955</v>
      </c>
      <c r="AO527" s="350">
        <v>215251971.72104591</v>
      </c>
      <c r="AP527" s="350">
        <v>247449680.80949759</v>
      </c>
      <c r="AQ527" s="350">
        <v>280128811.75949192</v>
      </c>
      <c r="AR527" s="348">
        <v>1078576889.4007523</v>
      </c>
      <c r="AS527" s="369"/>
      <c r="AT527" s="350">
        <f t="shared" si="219"/>
        <v>29704079.852957666</v>
      </c>
      <c r="AU527" s="350">
        <f t="shared" si="202"/>
        <v>60007529.973592207</v>
      </c>
      <c r="AV527" s="350">
        <f t="shared" si="203"/>
        <v>90769367.701915801</v>
      </c>
      <c r="AW527" s="350">
        <f t="shared" si="204"/>
        <v>122002026.56142056</v>
      </c>
      <c r="AX527" s="350">
        <f t="shared" si="205"/>
        <v>153710821.75459349</v>
      </c>
      <c r="AY527" s="350">
        <f t="shared" si="206"/>
        <v>456193825.8444798</v>
      </c>
      <c r="AZ527" s="365"/>
      <c r="BA527" s="377">
        <f t="shared" si="207"/>
        <v>0</v>
      </c>
      <c r="BB527" s="377">
        <f t="shared" si="208"/>
        <v>0</v>
      </c>
      <c r="BC527" s="377">
        <f t="shared" si="209"/>
        <v>0</v>
      </c>
      <c r="BD527" s="377">
        <f t="shared" si="210"/>
        <v>0</v>
      </c>
      <c r="BE527" s="377">
        <f t="shared" si="211"/>
        <v>0</v>
      </c>
      <c r="BF527" s="377">
        <f t="shared" si="212"/>
        <v>0</v>
      </c>
      <c r="BG527" s="328"/>
    </row>
    <row r="528" spans="2:59">
      <c r="B528" s="332">
        <v>513</v>
      </c>
      <c r="C528" s="350">
        <v>147924703.99918002</v>
      </c>
      <c r="D528" s="350">
        <v>149137982.49132782</v>
      </c>
      <c r="E528" s="350">
        <v>150300422.8427853</v>
      </c>
      <c r="F528" s="350">
        <v>151465625.4718447</v>
      </c>
      <c r="G528" s="350">
        <v>152637209.85264152</v>
      </c>
      <c r="H528" s="348">
        <v>751465944.65777946</v>
      </c>
      <c r="I528" s="369"/>
      <c r="J528" s="350">
        <v>183420518.84506151</v>
      </c>
      <c r="K528" s="350">
        <v>220825591.01075822</v>
      </c>
      <c r="L528" s="350">
        <v>258727273.7889376</v>
      </c>
      <c r="M528" s="350">
        <v>297194024.29822242</v>
      </c>
      <c r="N528" s="350">
        <v>336235810.48729014</v>
      </c>
      <c r="O528" s="348">
        <v>1296403218.4302697</v>
      </c>
      <c r="P528" s="369"/>
      <c r="Q528" s="350">
        <f t="shared" si="213"/>
        <v>35495814.845881492</v>
      </c>
      <c r="R528" s="350">
        <f t="shared" si="214"/>
        <v>71687608.519430399</v>
      </c>
      <c r="S528" s="350">
        <f t="shared" si="215"/>
        <v>108426850.9461523</v>
      </c>
      <c r="T528" s="350">
        <f t="shared" si="216"/>
        <v>145728398.82637772</v>
      </c>
      <c r="U528" s="350">
        <f t="shared" si="217"/>
        <v>183598600.63464862</v>
      </c>
      <c r="V528" s="350">
        <f t="shared" si="218"/>
        <v>544937273.77249026</v>
      </c>
      <c r="W528" s="365"/>
      <c r="X528" s="377">
        <f t="shared" ref="X528:X591" si="220">IF(Q528&lt;Q$8,1,0)</f>
        <v>0</v>
      </c>
      <c r="Y528" s="377">
        <f t="shared" ref="Y528:Y591" si="221">IF(R528&lt;R$8,1,0)</f>
        <v>0</v>
      </c>
      <c r="Z528" s="377">
        <f t="shared" ref="Z528:Z591" si="222">IF(S528&lt;S$8,1,0)</f>
        <v>0</v>
      </c>
      <c r="AA528" s="377">
        <f t="shared" ref="AA528:AA591" si="223">IF(T528&lt;T$8,1,0)</f>
        <v>0</v>
      </c>
      <c r="AB528" s="377">
        <f t="shared" ref="AB528:AB591" si="224">IF(U528&lt;U$8,1,0)</f>
        <v>0</v>
      </c>
      <c r="AC528" s="377">
        <f t="shared" ref="AC528:AC591" si="225">IF(V528&lt;V$8,1,0)</f>
        <v>0</v>
      </c>
      <c r="AD528" s="376"/>
      <c r="AE528" s="332">
        <v>513</v>
      </c>
      <c r="AF528" s="350">
        <v>114529446.94724153</v>
      </c>
      <c r="AG528" s="350">
        <v>115468817.52525835</v>
      </c>
      <c r="AH528" s="350">
        <v>116368827.10420141</v>
      </c>
      <c r="AI528" s="350">
        <v>117270975.35314016</v>
      </c>
      <c r="AJ528" s="350">
        <v>118178064.61921321</v>
      </c>
      <c r="AK528" s="348">
        <v>581816131.54905462</v>
      </c>
      <c r="AL528" s="369"/>
      <c r="AM528" s="350">
        <v>143330222.0129264</v>
      </c>
      <c r="AN528" s="350">
        <v>173645533.07639039</v>
      </c>
      <c r="AO528" s="350">
        <v>204365837.93534249</v>
      </c>
      <c r="AP528" s="350">
        <v>235544691.34517553</v>
      </c>
      <c r="AQ528" s="350">
        <v>267190048.30705985</v>
      </c>
      <c r="AR528" s="348">
        <v>1024076332.6768947</v>
      </c>
      <c r="AS528" s="369"/>
      <c r="AT528" s="350">
        <f t="shared" si="219"/>
        <v>28800775.06568487</v>
      </c>
      <c r="AU528" s="350">
        <f t="shared" ref="AU528:AU591" si="226">AN528-AG528</f>
        <v>58176715.551132038</v>
      </c>
      <c r="AV528" s="350">
        <f t="shared" ref="AV528:AV591" si="227">AO528-AH528</f>
        <v>87997010.831141084</v>
      </c>
      <c r="AW528" s="350">
        <f t="shared" ref="AW528:AW591" si="228">AP528-AI528</f>
        <v>118273715.99203537</v>
      </c>
      <c r="AX528" s="350">
        <f t="shared" ref="AX528:AX591" si="229">AQ528-AJ528</f>
        <v>149011983.68784666</v>
      </c>
      <c r="AY528" s="350">
        <f t="shared" ref="AY528:AY591" si="230">AR528-AK528</f>
        <v>442260201.12784004</v>
      </c>
      <c r="AZ528" s="365"/>
      <c r="BA528" s="377">
        <f t="shared" ref="BA528:BA591" si="231">IF(AT528&lt;AT$8,1,0)</f>
        <v>0</v>
      </c>
      <c r="BB528" s="377">
        <f t="shared" ref="BB528:BB591" si="232">IF(AU528&lt;AU$8,1,0)</f>
        <v>0</v>
      </c>
      <c r="BC528" s="377">
        <f t="shared" ref="BC528:BC591" si="233">IF(AV528&lt;AV$8,1,0)</f>
        <v>0</v>
      </c>
      <c r="BD528" s="377">
        <f t="shared" ref="BD528:BD591" si="234">IF(AW528&lt;AW$8,1,0)</f>
        <v>0</v>
      </c>
      <c r="BE528" s="377">
        <f t="shared" ref="BE528:BE591" si="235">IF(AX528&lt;AX$8,1,0)</f>
        <v>0</v>
      </c>
      <c r="BF528" s="377">
        <f t="shared" ref="BF528:BF591" si="236">IF(AY528&lt;AY$8,1,0)</f>
        <v>0</v>
      </c>
      <c r="BG528" s="328"/>
    </row>
    <row r="529" spans="2:59">
      <c r="B529" s="332">
        <v>514</v>
      </c>
      <c r="C529" s="350">
        <v>101189062.5327926</v>
      </c>
      <c r="D529" s="350">
        <v>102019015.27153403</v>
      </c>
      <c r="E529" s="350">
        <v>102814191.77846101</v>
      </c>
      <c r="F529" s="350">
        <v>103611257.8432065</v>
      </c>
      <c r="G529" s="350">
        <v>104412689.39565055</v>
      </c>
      <c r="H529" s="348">
        <v>514046216.82164472</v>
      </c>
      <c r="I529" s="369"/>
      <c r="J529" s="350">
        <v>129485382.66671549</v>
      </c>
      <c r="K529" s="350">
        <v>159176523.00936759</v>
      </c>
      <c r="L529" s="350">
        <v>189269455.40833789</v>
      </c>
      <c r="M529" s="350">
        <v>219812689.57839769</v>
      </c>
      <c r="N529" s="350">
        <v>250813763.81889677</v>
      </c>
      <c r="O529" s="348">
        <v>948557814.48171544</v>
      </c>
      <c r="P529" s="369"/>
      <c r="Q529" s="350">
        <f t="shared" ref="Q529:Q592" si="237">J529-C529</f>
        <v>28296320.13392289</v>
      </c>
      <c r="R529" s="350">
        <f t="shared" ref="R529:R592" si="238">K529-D529</f>
        <v>57157507.73783356</v>
      </c>
      <c r="S529" s="350">
        <f t="shared" ref="S529:S592" si="239">L529-E529</f>
        <v>86455263.629876882</v>
      </c>
      <c r="T529" s="350">
        <f t="shared" ref="T529:T592" si="240">M529-F529</f>
        <v>116201431.7351912</v>
      </c>
      <c r="U529" s="350">
        <f t="shared" ref="U529:U592" si="241">N529-G529</f>
        <v>146401074.4232462</v>
      </c>
      <c r="V529" s="350">
        <f t="shared" ref="V529:V592" si="242">O529-H529</f>
        <v>434511597.66007072</v>
      </c>
      <c r="W529" s="365"/>
      <c r="X529" s="377">
        <f t="shared" si="220"/>
        <v>0</v>
      </c>
      <c r="Y529" s="377">
        <f t="shared" si="221"/>
        <v>0</v>
      </c>
      <c r="Z529" s="377">
        <f t="shared" si="222"/>
        <v>0</v>
      </c>
      <c r="AA529" s="377">
        <f t="shared" si="223"/>
        <v>0</v>
      </c>
      <c r="AB529" s="377">
        <f t="shared" si="224"/>
        <v>0</v>
      </c>
      <c r="AC529" s="377">
        <f t="shared" si="225"/>
        <v>0</v>
      </c>
      <c r="AD529" s="376"/>
      <c r="AE529" s="332">
        <v>514</v>
      </c>
      <c r="AF529" s="350">
        <v>142962062.45452133</v>
      </c>
      <c r="AG529" s="350">
        <v>144134637.35837325</v>
      </c>
      <c r="AH529" s="350">
        <v>145258079.66132787</v>
      </c>
      <c r="AI529" s="350">
        <v>146384191.57180828</v>
      </c>
      <c r="AJ529" s="350">
        <v>147516471.13627601</v>
      </c>
      <c r="AK529" s="348">
        <v>726255442.18230677</v>
      </c>
      <c r="AL529" s="369"/>
      <c r="AM529" s="350">
        <v>175008543.16017535</v>
      </c>
      <c r="AN529" s="350">
        <v>208885090.94342083</v>
      </c>
      <c r="AO529" s="350">
        <v>243207210.45471063</v>
      </c>
      <c r="AP529" s="350">
        <v>278040118.51055908</v>
      </c>
      <c r="AQ529" s="350">
        <v>313393049.16274017</v>
      </c>
      <c r="AR529" s="348">
        <v>1218534012.231606</v>
      </c>
      <c r="AS529" s="369"/>
      <c r="AT529" s="350">
        <f t="shared" ref="AT529:AT592" si="243">AM529-AF529</f>
        <v>32046480.705654025</v>
      </c>
      <c r="AU529" s="350">
        <f t="shared" si="226"/>
        <v>64750453.585047573</v>
      </c>
      <c r="AV529" s="350">
        <f t="shared" si="227"/>
        <v>97949130.793382764</v>
      </c>
      <c r="AW529" s="350">
        <f t="shared" si="228"/>
        <v>131655926.9387508</v>
      </c>
      <c r="AX529" s="350">
        <f t="shared" si="229"/>
        <v>165876578.02646416</v>
      </c>
      <c r="AY529" s="350">
        <f t="shared" si="230"/>
        <v>492278570.04929924</v>
      </c>
      <c r="AZ529" s="365"/>
      <c r="BA529" s="377">
        <f t="shared" si="231"/>
        <v>0</v>
      </c>
      <c r="BB529" s="377">
        <f t="shared" si="232"/>
        <v>0</v>
      </c>
      <c r="BC529" s="377">
        <f t="shared" si="233"/>
        <v>0</v>
      </c>
      <c r="BD529" s="377">
        <f t="shared" si="234"/>
        <v>0</v>
      </c>
      <c r="BE529" s="377">
        <f t="shared" si="235"/>
        <v>0</v>
      </c>
      <c r="BF529" s="377">
        <f t="shared" si="236"/>
        <v>0</v>
      </c>
      <c r="BG529" s="328"/>
    </row>
    <row r="530" spans="2:59">
      <c r="B530" s="332">
        <v>515</v>
      </c>
      <c r="C530" s="350">
        <v>126842069.63734347</v>
      </c>
      <c r="D530" s="350">
        <v>127882428.35248651</v>
      </c>
      <c r="E530" s="350">
        <v>128879194.51812738</v>
      </c>
      <c r="F530" s="350">
        <v>129878329.27399337</v>
      </c>
      <c r="G530" s="350">
        <v>130882936.23684303</v>
      </c>
      <c r="H530" s="348">
        <v>644364958.0187937</v>
      </c>
      <c r="I530" s="369"/>
      <c r="J530" s="350">
        <v>155224050.38013244</v>
      </c>
      <c r="K530" s="350">
        <v>185212675.52109152</v>
      </c>
      <c r="L530" s="350">
        <v>215595593.4621762</v>
      </c>
      <c r="M530" s="350">
        <v>246430645.10680121</v>
      </c>
      <c r="N530" s="350">
        <v>277726011.72181547</v>
      </c>
      <c r="O530" s="348">
        <v>1080188976.1920171</v>
      </c>
      <c r="P530" s="369"/>
      <c r="Q530" s="350">
        <f t="shared" si="237"/>
        <v>28381980.74278897</v>
      </c>
      <c r="R530" s="350">
        <f t="shared" si="238"/>
        <v>57330247.168605015</v>
      </c>
      <c r="S530" s="350">
        <f t="shared" si="239"/>
        <v>86716398.944048822</v>
      </c>
      <c r="T530" s="350">
        <f t="shared" si="240"/>
        <v>116552315.83280784</v>
      </c>
      <c r="U530" s="350">
        <f t="shared" si="241"/>
        <v>146843075.48497242</v>
      </c>
      <c r="V530" s="350">
        <f t="shared" si="242"/>
        <v>435824018.17322338</v>
      </c>
      <c r="W530" s="365"/>
      <c r="X530" s="377">
        <f t="shared" si="220"/>
        <v>0</v>
      </c>
      <c r="Y530" s="377">
        <f t="shared" si="221"/>
        <v>0</v>
      </c>
      <c r="Z530" s="377">
        <f t="shared" si="222"/>
        <v>0</v>
      </c>
      <c r="AA530" s="377">
        <f t="shared" si="223"/>
        <v>0</v>
      </c>
      <c r="AB530" s="377">
        <f t="shared" si="224"/>
        <v>0</v>
      </c>
      <c r="AC530" s="377">
        <f t="shared" si="225"/>
        <v>0</v>
      </c>
      <c r="AD530" s="376"/>
      <c r="AE530" s="332">
        <v>515</v>
      </c>
      <c r="AF530" s="350">
        <v>124555761.46337502</v>
      </c>
      <c r="AG530" s="350">
        <v>125577367.87779407</v>
      </c>
      <c r="AH530" s="350">
        <v>126556167.49149713</v>
      </c>
      <c r="AI530" s="350">
        <v>127537293.00196244</v>
      </c>
      <c r="AJ530" s="350">
        <v>128523792.083749</v>
      </c>
      <c r="AK530" s="348">
        <v>632750381.91837764</v>
      </c>
      <c r="AL530" s="369"/>
      <c r="AM530" s="350">
        <v>163553065.35794964</v>
      </c>
      <c r="AN530" s="350">
        <v>204337001.67929482</v>
      </c>
      <c r="AO530" s="350">
        <v>245679589.21807939</v>
      </c>
      <c r="AP530" s="350">
        <v>287642282.93495101</v>
      </c>
      <c r="AQ530" s="350">
        <v>330235105.28494442</v>
      </c>
      <c r="AR530" s="348">
        <v>1231447044.4752192</v>
      </c>
      <c r="AS530" s="369"/>
      <c r="AT530" s="350">
        <f t="shared" si="243"/>
        <v>38997303.894574627</v>
      </c>
      <c r="AU530" s="350">
        <f t="shared" si="226"/>
        <v>78759633.801500753</v>
      </c>
      <c r="AV530" s="350">
        <f t="shared" si="227"/>
        <v>119123421.72658226</v>
      </c>
      <c r="AW530" s="350">
        <f t="shared" si="228"/>
        <v>160104989.93298858</v>
      </c>
      <c r="AX530" s="350">
        <f t="shared" si="229"/>
        <v>201711313.20119542</v>
      </c>
      <c r="AY530" s="350">
        <f t="shared" si="230"/>
        <v>598696662.55684161</v>
      </c>
      <c r="AZ530" s="365"/>
      <c r="BA530" s="377">
        <f t="shared" si="231"/>
        <v>0</v>
      </c>
      <c r="BB530" s="377">
        <f t="shared" si="232"/>
        <v>0</v>
      </c>
      <c r="BC530" s="377">
        <f t="shared" si="233"/>
        <v>0</v>
      </c>
      <c r="BD530" s="377">
        <f t="shared" si="234"/>
        <v>0</v>
      </c>
      <c r="BE530" s="377">
        <f t="shared" si="235"/>
        <v>0</v>
      </c>
      <c r="BF530" s="377">
        <f t="shared" si="236"/>
        <v>0</v>
      </c>
      <c r="BG530" s="328"/>
    </row>
    <row r="531" spans="2:59">
      <c r="B531" s="332">
        <v>516</v>
      </c>
      <c r="C531" s="350">
        <v>137202644.42058724</v>
      </c>
      <c r="D531" s="350">
        <v>138327980.57500145</v>
      </c>
      <c r="E531" s="350">
        <v>139406163.50110722</v>
      </c>
      <c r="F531" s="350">
        <v>140486908.48602641</v>
      </c>
      <c r="G531" s="350">
        <v>141573572.65273696</v>
      </c>
      <c r="H531" s="348">
        <v>696997269.63545918</v>
      </c>
      <c r="I531" s="369"/>
      <c r="J531" s="350">
        <v>176188944.22472197</v>
      </c>
      <c r="K531" s="350">
        <v>217058093.27716476</v>
      </c>
      <c r="L531" s="350">
        <v>258481263.65050399</v>
      </c>
      <c r="M531" s="350">
        <v>300524487.88382638</v>
      </c>
      <c r="N531" s="350">
        <v>343198094.7986356</v>
      </c>
      <c r="O531" s="348">
        <v>1295450883.8348527</v>
      </c>
      <c r="P531" s="369"/>
      <c r="Q531" s="350">
        <f t="shared" si="237"/>
        <v>38986299.804134727</v>
      </c>
      <c r="R531" s="350">
        <f t="shared" si="238"/>
        <v>78730112.702163309</v>
      </c>
      <c r="S531" s="350">
        <f t="shared" si="239"/>
        <v>119075100.14939678</v>
      </c>
      <c r="T531" s="350">
        <f t="shared" si="240"/>
        <v>160037579.39779997</v>
      </c>
      <c r="U531" s="350">
        <f t="shared" si="241"/>
        <v>201624522.14589864</v>
      </c>
      <c r="V531" s="350">
        <f t="shared" si="242"/>
        <v>598453614.19939351</v>
      </c>
      <c r="W531" s="365"/>
      <c r="X531" s="377">
        <f t="shared" si="220"/>
        <v>0</v>
      </c>
      <c r="Y531" s="377">
        <f t="shared" si="221"/>
        <v>0</v>
      </c>
      <c r="Z531" s="377">
        <f t="shared" si="222"/>
        <v>0</v>
      </c>
      <c r="AA531" s="377">
        <f t="shared" si="223"/>
        <v>0</v>
      </c>
      <c r="AB531" s="377">
        <f t="shared" si="224"/>
        <v>0</v>
      </c>
      <c r="AC531" s="377">
        <f t="shared" si="225"/>
        <v>0</v>
      </c>
      <c r="AD531" s="376"/>
      <c r="AE531" s="332">
        <v>516</v>
      </c>
      <c r="AF531" s="350">
        <v>108224862.01207884</v>
      </c>
      <c r="AG531" s="350">
        <v>109112522.38147633</v>
      </c>
      <c r="AH531" s="350">
        <v>109962988.4850587</v>
      </c>
      <c r="AI531" s="350">
        <v>110815475.52972949</v>
      </c>
      <c r="AJ531" s="350">
        <v>111672631.59980647</v>
      </c>
      <c r="AK531" s="348">
        <v>549788480.00814974</v>
      </c>
      <c r="AL531" s="369"/>
      <c r="AM531" s="350">
        <v>134907965.10330865</v>
      </c>
      <c r="AN531" s="350">
        <v>162992819.6729477</v>
      </c>
      <c r="AO531" s="350">
        <v>191451869.30942765</v>
      </c>
      <c r="AP531" s="350">
        <v>220335496.87229905</v>
      </c>
      <c r="AQ531" s="350">
        <v>249651121.36689591</v>
      </c>
      <c r="AR531" s="348">
        <v>959339272.32487893</v>
      </c>
      <c r="AS531" s="369"/>
      <c r="AT531" s="350">
        <f t="shared" si="243"/>
        <v>26683103.091229811</v>
      </c>
      <c r="AU531" s="350">
        <f t="shared" si="226"/>
        <v>53880297.291471377</v>
      </c>
      <c r="AV531" s="350">
        <f t="shared" si="227"/>
        <v>81488880.824368954</v>
      </c>
      <c r="AW531" s="350">
        <f t="shared" si="228"/>
        <v>109520021.34256956</v>
      </c>
      <c r="AX531" s="350">
        <f t="shared" si="229"/>
        <v>137978489.76708943</v>
      </c>
      <c r="AY531" s="350">
        <f t="shared" si="230"/>
        <v>409550792.31672919</v>
      </c>
      <c r="AZ531" s="365"/>
      <c r="BA531" s="377">
        <f t="shared" si="231"/>
        <v>0</v>
      </c>
      <c r="BB531" s="377">
        <f t="shared" si="232"/>
        <v>0</v>
      </c>
      <c r="BC531" s="377">
        <f t="shared" si="233"/>
        <v>0</v>
      </c>
      <c r="BD531" s="377">
        <f t="shared" si="234"/>
        <v>0</v>
      </c>
      <c r="BE531" s="377">
        <f t="shared" si="235"/>
        <v>0</v>
      </c>
      <c r="BF531" s="377">
        <f t="shared" si="236"/>
        <v>0</v>
      </c>
      <c r="BG531" s="328"/>
    </row>
    <row r="532" spans="2:59">
      <c r="B532" s="332">
        <v>517</v>
      </c>
      <c r="C532" s="350">
        <v>120121036.67992331</v>
      </c>
      <c r="D532" s="350">
        <v>121106269.47957154</v>
      </c>
      <c r="E532" s="350">
        <v>122050219.58608265</v>
      </c>
      <c r="F532" s="350">
        <v>122996412.77735355</v>
      </c>
      <c r="G532" s="350">
        <v>123947788.21752408</v>
      </c>
      <c r="H532" s="348">
        <v>610221726.74045515</v>
      </c>
      <c r="I532" s="369"/>
      <c r="J532" s="350">
        <v>155488654.12990007</v>
      </c>
      <c r="K532" s="350">
        <v>192537411.91983762</v>
      </c>
      <c r="L532" s="350">
        <v>230090396.66580003</v>
      </c>
      <c r="M532" s="350">
        <v>268205937.32496566</v>
      </c>
      <c r="N532" s="350">
        <v>306893298.98053998</v>
      </c>
      <c r="O532" s="348">
        <v>1153215699.0210435</v>
      </c>
      <c r="P532" s="369"/>
      <c r="Q532" s="350">
        <f t="shared" si="237"/>
        <v>35367617.449976757</v>
      </c>
      <c r="R532" s="350">
        <f t="shared" si="238"/>
        <v>71431142.440266088</v>
      </c>
      <c r="S532" s="350">
        <f t="shared" si="239"/>
        <v>108040177.07971738</v>
      </c>
      <c r="T532" s="350">
        <f t="shared" si="240"/>
        <v>145209524.5476121</v>
      </c>
      <c r="U532" s="350">
        <f t="shared" si="241"/>
        <v>182945510.7630159</v>
      </c>
      <c r="V532" s="350">
        <f t="shared" si="242"/>
        <v>542993972.28058839</v>
      </c>
      <c r="W532" s="365"/>
      <c r="X532" s="377">
        <f t="shared" si="220"/>
        <v>0</v>
      </c>
      <c r="Y532" s="377">
        <f t="shared" si="221"/>
        <v>0</v>
      </c>
      <c r="Z532" s="377">
        <f t="shared" si="222"/>
        <v>0</v>
      </c>
      <c r="AA532" s="377">
        <f t="shared" si="223"/>
        <v>0</v>
      </c>
      <c r="AB532" s="377">
        <f t="shared" si="224"/>
        <v>0</v>
      </c>
      <c r="AC532" s="377">
        <f t="shared" si="225"/>
        <v>0</v>
      </c>
      <c r="AD532" s="376"/>
      <c r="AE532" s="332">
        <v>517</v>
      </c>
      <c r="AF532" s="350">
        <v>132677432.09078243</v>
      </c>
      <c r="AG532" s="350">
        <v>133765652.45152783</v>
      </c>
      <c r="AH532" s="350">
        <v>134808274.78992334</v>
      </c>
      <c r="AI532" s="350">
        <v>135853374.68540725</v>
      </c>
      <c r="AJ532" s="350">
        <v>136904198.53645685</v>
      </c>
      <c r="AK532" s="348">
        <v>674008932.55409765</v>
      </c>
      <c r="AL532" s="369"/>
      <c r="AM532" s="350">
        <v>162411769.28123742</v>
      </c>
      <c r="AN532" s="350">
        <v>193831011.96774724</v>
      </c>
      <c r="AO532" s="350">
        <v>225663459.78951865</v>
      </c>
      <c r="AP532" s="350">
        <v>257969634.33146477</v>
      </c>
      <c r="AQ532" s="350">
        <v>290758102.10569394</v>
      </c>
      <c r="AR532" s="348">
        <v>1130633977.4756622</v>
      </c>
      <c r="AS532" s="369"/>
      <c r="AT532" s="350">
        <f t="shared" si="243"/>
        <v>29734337.19045499</v>
      </c>
      <c r="AU532" s="350">
        <f t="shared" si="226"/>
        <v>60065359.516219407</v>
      </c>
      <c r="AV532" s="350">
        <f t="shared" si="227"/>
        <v>90855184.999595314</v>
      </c>
      <c r="AW532" s="350">
        <f t="shared" si="228"/>
        <v>122116259.64605752</v>
      </c>
      <c r="AX532" s="350">
        <f t="shared" si="229"/>
        <v>153853903.56923708</v>
      </c>
      <c r="AY532" s="350">
        <f t="shared" si="230"/>
        <v>456625044.92156458</v>
      </c>
      <c r="AZ532" s="365"/>
      <c r="BA532" s="377">
        <f t="shared" si="231"/>
        <v>0</v>
      </c>
      <c r="BB532" s="377">
        <f t="shared" si="232"/>
        <v>0</v>
      </c>
      <c r="BC532" s="377">
        <f t="shared" si="233"/>
        <v>0</v>
      </c>
      <c r="BD532" s="377">
        <f t="shared" si="234"/>
        <v>0</v>
      </c>
      <c r="BE532" s="377">
        <f t="shared" si="235"/>
        <v>0</v>
      </c>
      <c r="BF532" s="377">
        <f t="shared" si="236"/>
        <v>0</v>
      </c>
      <c r="BG532" s="328"/>
    </row>
    <row r="533" spans="2:59">
      <c r="B533" s="332">
        <v>518</v>
      </c>
      <c r="C533" s="350">
        <v>117145673.94026135</v>
      </c>
      <c r="D533" s="350">
        <v>118106502.81331199</v>
      </c>
      <c r="E533" s="350">
        <v>119027071.55338931</v>
      </c>
      <c r="F533" s="350">
        <v>119949827.8176769</v>
      </c>
      <c r="G533" s="350">
        <v>120877637.96808346</v>
      </c>
      <c r="H533" s="348">
        <v>595106714.09272301</v>
      </c>
      <c r="I533" s="369"/>
      <c r="J533" s="350">
        <v>149809081.38128921</v>
      </c>
      <c r="K533" s="350">
        <v>184054247.43778026</v>
      </c>
      <c r="L533" s="350">
        <v>218762613.96496266</v>
      </c>
      <c r="M533" s="350">
        <v>253990298.73781198</v>
      </c>
      <c r="N533" s="350">
        <v>289746007.03436238</v>
      </c>
      <c r="O533" s="348">
        <v>1096362248.5562065</v>
      </c>
      <c r="P533" s="369"/>
      <c r="Q533" s="350">
        <f t="shared" si="237"/>
        <v>32663407.441027865</v>
      </c>
      <c r="R533" s="350">
        <f t="shared" si="238"/>
        <v>65947744.624468267</v>
      </c>
      <c r="S533" s="350">
        <f t="shared" si="239"/>
        <v>99735542.41157335</v>
      </c>
      <c r="T533" s="350">
        <f t="shared" si="240"/>
        <v>134040470.92013508</v>
      </c>
      <c r="U533" s="350">
        <f t="shared" si="241"/>
        <v>168868369.06627893</v>
      </c>
      <c r="V533" s="350">
        <f t="shared" si="242"/>
        <v>501255534.46348345</v>
      </c>
      <c r="W533" s="365"/>
      <c r="X533" s="377">
        <f t="shared" si="220"/>
        <v>0</v>
      </c>
      <c r="Y533" s="377">
        <f t="shared" si="221"/>
        <v>0</v>
      </c>
      <c r="Z533" s="377">
        <f t="shared" si="222"/>
        <v>0</v>
      </c>
      <c r="AA533" s="377">
        <f t="shared" si="223"/>
        <v>0</v>
      </c>
      <c r="AB533" s="377">
        <f t="shared" si="224"/>
        <v>0</v>
      </c>
      <c r="AC533" s="377">
        <f t="shared" si="225"/>
        <v>0</v>
      </c>
      <c r="AD533" s="376"/>
      <c r="AE533" s="332">
        <v>518</v>
      </c>
      <c r="AF533" s="350">
        <v>126880349.64316195</v>
      </c>
      <c r="AG533" s="350">
        <v>127921022.33093083</v>
      </c>
      <c r="AH533" s="350">
        <v>128918089.31328599</v>
      </c>
      <c r="AI533" s="350">
        <v>129917525.60068941</v>
      </c>
      <c r="AJ533" s="350">
        <v>130922435.74654838</v>
      </c>
      <c r="AK533" s="348">
        <v>644559422.63461661</v>
      </c>
      <c r="AL533" s="369"/>
      <c r="AM533" s="350">
        <v>158482270.0855819</v>
      </c>
      <c r="AN533" s="350">
        <v>191766852.98413849</v>
      </c>
      <c r="AO533" s="350">
        <v>225495572.31160676</v>
      </c>
      <c r="AP533" s="350">
        <v>259727631.2397061</v>
      </c>
      <c r="AQ533" s="350">
        <v>294471789.7811591</v>
      </c>
      <c r="AR533" s="348">
        <v>1129944116.4021924</v>
      </c>
      <c r="AS533" s="369"/>
      <c r="AT533" s="350">
        <f t="shared" si="243"/>
        <v>31601920.442419946</v>
      </c>
      <c r="AU533" s="350">
        <f t="shared" si="226"/>
        <v>63845830.65320766</v>
      </c>
      <c r="AV533" s="350">
        <f t="shared" si="227"/>
        <v>96577482.998320773</v>
      </c>
      <c r="AW533" s="350">
        <f t="shared" si="228"/>
        <v>129810105.63901669</v>
      </c>
      <c r="AX533" s="350">
        <f t="shared" si="229"/>
        <v>163549354.03461072</v>
      </c>
      <c r="AY533" s="350">
        <f t="shared" si="230"/>
        <v>485384693.76757574</v>
      </c>
      <c r="AZ533" s="365"/>
      <c r="BA533" s="377">
        <f t="shared" si="231"/>
        <v>0</v>
      </c>
      <c r="BB533" s="377">
        <f t="shared" si="232"/>
        <v>0</v>
      </c>
      <c r="BC533" s="377">
        <f t="shared" si="233"/>
        <v>0</v>
      </c>
      <c r="BD533" s="377">
        <f t="shared" si="234"/>
        <v>0</v>
      </c>
      <c r="BE533" s="377">
        <f t="shared" si="235"/>
        <v>0</v>
      </c>
      <c r="BF533" s="377">
        <f t="shared" si="236"/>
        <v>0</v>
      </c>
      <c r="BG533" s="328"/>
    </row>
    <row r="534" spans="2:59">
      <c r="B534" s="332">
        <v>519</v>
      </c>
      <c r="C534" s="350">
        <v>124602383.47755453</v>
      </c>
      <c r="D534" s="350">
        <v>125624372.28575592</v>
      </c>
      <c r="E534" s="350">
        <v>126603538.2703834</v>
      </c>
      <c r="F534" s="350">
        <v>127585031.02237104</v>
      </c>
      <c r="G534" s="350">
        <v>128571899.35704194</v>
      </c>
      <c r="H534" s="348">
        <v>632987224.4131068</v>
      </c>
      <c r="I534" s="369"/>
      <c r="J534" s="350">
        <v>152967899.00401416</v>
      </c>
      <c r="K534" s="350">
        <v>182928884.47379711</v>
      </c>
      <c r="L534" s="350">
        <v>213284795.72915184</v>
      </c>
      <c r="M534" s="350">
        <v>244092655.65097034</v>
      </c>
      <c r="N534" s="350">
        <v>275360588.90744746</v>
      </c>
      <c r="O534" s="348">
        <v>1068634823.7653809</v>
      </c>
      <c r="P534" s="369"/>
      <c r="Q534" s="350">
        <f t="shared" si="237"/>
        <v>28365515.526459634</v>
      </c>
      <c r="R534" s="350">
        <f t="shared" si="238"/>
        <v>57304512.188041195</v>
      </c>
      <c r="S534" s="350">
        <f t="shared" si="239"/>
        <v>86681257.458768442</v>
      </c>
      <c r="T534" s="350">
        <f t="shared" si="240"/>
        <v>116507624.6285993</v>
      </c>
      <c r="U534" s="350">
        <f t="shared" si="241"/>
        <v>146788689.5504055</v>
      </c>
      <c r="V534" s="350">
        <f t="shared" si="242"/>
        <v>435647599.35227406</v>
      </c>
      <c r="W534" s="365"/>
      <c r="X534" s="377">
        <f t="shared" si="220"/>
        <v>0</v>
      </c>
      <c r="Y534" s="377">
        <f t="shared" si="221"/>
        <v>0</v>
      </c>
      <c r="Z534" s="377">
        <f t="shared" si="222"/>
        <v>0</v>
      </c>
      <c r="AA534" s="377">
        <f t="shared" si="223"/>
        <v>0</v>
      </c>
      <c r="AB534" s="377">
        <f t="shared" si="224"/>
        <v>0</v>
      </c>
      <c r="AC534" s="377">
        <f t="shared" si="225"/>
        <v>0</v>
      </c>
      <c r="AD534" s="376"/>
      <c r="AE534" s="332">
        <v>519</v>
      </c>
      <c r="AF534" s="350">
        <v>139089383.08699471</v>
      </c>
      <c r="AG534" s="350">
        <v>140230194.27284297</v>
      </c>
      <c r="AH534" s="350">
        <v>141323203.80396596</v>
      </c>
      <c r="AI534" s="350">
        <v>142418810.62598881</v>
      </c>
      <c r="AJ534" s="350">
        <v>143520418.02728057</v>
      </c>
      <c r="AK534" s="348">
        <v>706582009.81707299</v>
      </c>
      <c r="AL534" s="369"/>
      <c r="AM534" s="350">
        <v>180149265.3319937</v>
      </c>
      <c r="AN534" s="350">
        <v>223151184.43685979</v>
      </c>
      <c r="AO534" s="350">
        <v>266738504.73701379</v>
      </c>
      <c r="AP534" s="350">
        <v>310978810.49347103</v>
      </c>
      <c r="AQ534" s="350">
        <v>355882848.02249408</v>
      </c>
      <c r="AR534" s="348">
        <v>1336900613.0218325</v>
      </c>
      <c r="AS534" s="369"/>
      <c r="AT534" s="350">
        <f t="shared" si="243"/>
        <v>41059882.244998991</v>
      </c>
      <c r="AU534" s="350">
        <f t="shared" si="226"/>
        <v>82920990.164016813</v>
      </c>
      <c r="AV534" s="350">
        <f t="shared" si="227"/>
        <v>125415300.93304783</v>
      </c>
      <c r="AW534" s="350">
        <f t="shared" si="228"/>
        <v>168559999.86748222</v>
      </c>
      <c r="AX534" s="350">
        <f t="shared" si="229"/>
        <v>212362429.99521351</v>
      </c>
      <c r="AY534" s="350">
        <f t="shared" si="230"/>
        <v>630318603.20475948</v>
      </c>
      <c r="AZ534" s="365"/>
      <c r="BA534" s="377">
        <f t="shared" si="231"/>
        <v>0</v>
      </c>
      <c r="BB534" s="377">
        <f t="shared" si="232"/>
        <v>0</v>
      </c>
      <c r="BC534" s="377">
        <f t="shared" si="233"/>
        <v>0</v>
      </c>
      <c r="BD534" s="377">
        <f t="shared" si="234"/>
        <v>0</v>
      </c>
      <c r="BE534" s="377">
        <f t="shared" si="235"/>
        <v>0</v>
      </c>
      <c r="BF534" s="377">
        <f t="shared" si="236"/>
        <v>0</v>
      </c>
      <c r="BG534" s="328"/>
    </row>
    <row r="535" spans="2:59">
      <c r="B535" s="332">
        <v>520</v>
      </c>
      <c r="C535" s="350">
        <v>133021042.86214322</v>
      </c>
      <c r="D535" s="350">
        <v>134112081.5185978</v>
      </c>
      <c r="E535" s="350">
        <v>135157404.06199643</v>
      </c>
      <c r="F535" s="350">
        <v>136205210.57891229</v>
      </c>
      <c r="G535" s="350">
        <v>137258755.87541297</v>
      </c>
      <c r="H535" s="348">
        <v>675754494.89706266</v>
      </c>
      <c r="I535" s="369"/>
      <c r="J535" s="350">
        <v>170564347.92366791</v>
      </c>
      <c r="K535" s="350">
        <v>209928539.34587228</v>
      </c>
      <c r="L535" s="350">
        <v>249825943.81475061</v>
      </c>
      <c r="M535" s="350">
        <v>290320474.74124748</v>
      </c>
      <c r="N535" s="350">
        <v>331422100.64423895</v>
      </c>
      <c r="O535" s="348">
        <v>1252061406.4697771</v>
      </c>
      <c r="P535" s="369"/>
      <c r="Q535" s="350">
        <f t="shared" si="237"/>
        <v>37543305.061524689</v>
      </c>
      <c r="R535" s="350">
        <f t="shared" si="238"/>
        <v>75816457.827274486</v>
      </c>
      <c r="S535" s="350">
        <f t="shared" si="239"/>
        <v>114668539.75275418</v>
      </c>
      <c r="T535" s="350">
        <f t="shared" si="240"/>
        <v>154115264.16233519</v>
      </c>
      <c r="U535" s="350">
        <f t="shared" si="241"/>
        <v>194163344.76882598</v>
      </c>
      <c r="V535" s="350">
        <f t="shared" si="242"/>
        <v>576306911.57271445</v>
      </c>
      <c r="W535" s="365"/>
      <c r="X535" s="377">
        <f t="shared" si="220"/>
        <v>0</v>
      </c>
      <c r="Y535" s="377">
        <f t="shared" si="221"/>
        <v>0</v>
      </c>
      <c r="Z535" s="377">
        <f t="shared" si="222"/>
        <v>0</v>
      </c>
      <c r="AA535" s="377">
        <f t="shared" si="223"/>
        <v>0</v>
      </c>
      <c r="AB535" s="377">
        <f t="shared" si="224"/>
        <v>0</v>
      </c>
      <c r="AC535" s="377">
        <f t="shared" si="225"/>
        <v>0</v>
      </c>
      <c r="AD535" s="376"/>
      <c r="AE535" s="332">
        <v>520</v>
      </c>
      <c r="AF535" s="350">
        <v>134733160.18336889</v>
      </c>
      <c r="AG535" s="350">
        <v>135838241.62690175</v>
      </c>
      <c r="AH535" s="350">
        <v>136897018.54409197</v>
      </c>
      <c r="AI535" s="350">
        <v>137958311.40608758</v>
      </c>
      <c r="AJ535" s="350">
        <v>139025416.91165012</v>
      </c>
      <c r="AK535" s="348">
        <v>684452148.67210031</v>
      </c>
      <c r="AL535" s="369"/>
      <c r="AM535" s="350">
        <v>170444795.7046867</v>
      </c>
      <c r="AN535" s="350">
        <v>207974235.90072224</v>
      </c>
      <c r="AO535" s="350">
        <v>246008343.96476972</v>
      </c>
      <c r="AP535" s="350">
        <v>284610888.09487617</v>
      </c>
      <c r="AQ535" s="350">
        <v>323791553.97413433</v>
      </c>
      <c r="AR535" s="348">
        <v>1232829817.6391892</v>
      </c>
      <c r="AS535" s="369"/>
      <c r="AT535" s="350">
        <f t="shared" si="243"/>
        <v>35711635.52131781</v>
      </c>
      <c r="AU535" s="350">
        <f t="shared" si="226"/>
        <v>72135994.27382049</v>
      </c>
      <c r="AV535" s="350">
        <f t="shared" si="227"/>
        <v>109111325.42067775</v>
      </c>
      <c r="AW535" s="350">
        <f t="shared" si="228"/>
        <v>146652576.68878859</v>
      </c>
      <c r="AX535" s="350">
        <f t="shared" si="229"/>
        <v>184766137.0624842</v>
      </c>
      <c r="AY535" s="350">
        <f t="shared" si="230"/>
        <v>548377668.96708894</v>
      </c>
      <c r="AZ535" s="365"/>
      <c r="BA535" s="377">
        <f t="shared" si="231"/>
        <v>0</v>
      </c>
      <c r="BB535" s="377">
        <f t="shared" si="232"/>
        <v>0</v>
      </c>
      <c r="BC535" s="377">
        <f t="shared" si="233"/>
        <v>0</v>
      </c>
      <c r="BD535" s="377">
        <f t="shared" si="234"/>
        <v>0</v>
      </c>
      <c r="BE535" s="377">
        <f t="shared" si="235"/>
        <v>0</v>
      </c>
      <c r="BF535" s="377">
        <f t="shared" si="236"/>
        <v>0</v>
      </c>
      <c r="BG535" s="328"/>
    </row>
    <row r="536" spans="2:59">
      <c r="B536" s="332">
        <v>521</v>
      </c>
      <c r="C536" s="350">
        <v>121487131.4370937</v>
      </c>
      <c r="D536" s="350">
        <v>122483568.94658622</v>
      </c>
      <c r="E536" s="350">
        <v>123438254.26923579</v>
      </c>
      <c r="F536" s="350">
        <v>124395208.18646771</v>
      </c>
      <c r="G536" s="350">
        <v>125357403.28851295</v>
      </c>
      <c r="H536" s="348">
        <v>617161566.12789631</v>
      </c>
      <c r="I536" s="369"/>
      <c r="J536" s="350">
        <v>152557284.5601474</v>
      </c>
      <c r="K536" s="350">
        <v>185235316.57142538</v>
      </c>
      <c r="L536" s="350">
        <v>218350823.45557177</v>
      </c>
      <c r="M536" s="350">
        <v>251960830.46708342</v>
      </c>
      <c r="N536" s="350">
        <v>286073867.47676218</v>
      </c>
      <c r="O536" s="348">
        <v>1094178122.5309901</v>
      </c>
      <c r="P536" s="369"/>
      <c r="Q536" s="350">
        <f t="shared" si="237"/>
        <v>31070153.1230537</v>
      </c>
      <c r="R536" s="350">
        <f t="shared" si="238"/>
        <v>62751747.624839157</v>
      </c>
      <c r="S536" s="350">
        <f t="shared" si="239"/>
        <v>94912569.186335981</v>
      </c>
      <c r="T536" s="350">
        <f t="shared" si="240"/>
        <v>127565622.28061572</v>
      </c>
      <c r="U536" s="350">
        <f t="shared" si="241"/>
        <v>160716464.18824923</v>
      </c>
      <c r="V536" s="350">
        <f t="shared" si="242"/>
        <v>477016556.40309381</v>
      </c>
      <c r="W536" s="365"/>
      <c r="X536" s="377">
        <f t="shared" si="220"/>
        <v>0</v>
      </c>
      <c r="Y536" s="377">
        <f t="shared" si="221"/>
        <v>0</v>
      </c>
      <c r="Z536" s="377">
        <f t="shared" si="222"/>
        <v>0</v>
      </c>
      <c r="AA536" s="377">
        <f t="shared" si="223"/>
        <v>0</v>
      </c>
      <c r="AB536" s="377">
        <f t="shared" si="224"/>
        <v>0</v>
      </c>
      <c r="AC536" s="377">
        <f t="shared" si="225"/>
        <v>0</v>
      </c>
      <c r="AD536" s="376"/>
      <c r="AE536" s="332">
        <v>521</v>
      </c>
      <c r="AF536" s="350">
        <v>128046276.32852958</v>
      </c>
      <c r="AG536" s="350">
        <v>129096511.94752312</v>
      </c>
      <c r="AH536" s="350">
        <v>130102741.160319</v>
      </c>
      <c r="AI536" s="350">
        <v>131111361.45013952</v>
      </c>
      <c r="AJ536" s="350">
        <v>132125505.89869982</v>
      </c>
      <c r="AK536" s="348">
        <v>650482396.78521109</v>
      </c>
      <c r="AL536" s="369"/>
      <c r="AM536" s="350">
        <v>167221709.16046846</v>
      </c>
      <c r="AN536" s="350">
        <v>208213722.55432767</v>
      </c>
      <c r="AO536" s="350">
        <v>249765900.94124958</v>
      </c>
      <c r="AP536" s="350">
        <v>291941038.50234532</v>
      </c>
      <c r="AQ536" s="350">
        <v>334749274.62660801</v>
      </c>
      <c r="AR536" s="348">
        <v>1251891645.7849989</v>
      </c>
      <c r="AS536" s="369"/>
      <c r="AT536" s="350">
        <f t="shared" si="243"/>
        <v>39175432.831938878</v>
      </c>
      <c r="AU536" s="350">
        <f t="shared" si="226"/>
        <v>79117210.60680455</v>
      </c>
      <c r="AV536" s="350">
        <f t="shared" si="227"/>
        <v>119663159.78093058</v>
      </c>
      <c r="AW536" s="350">
        <f t="shared" si="228"/>
        <v>160829677.0522058</v>
      </c>
      <c r="AX536" s="350">
        <f t="shared" si="229"/>
        <v>202623768.72790819</v>
      </c>
      <c r="AY536" s="350">
        <f t="shared" si="230"/>
        <v>601409248.99978781</v>
      </c>
      <c r="AZ536" s="365"/>
      <c r="BA536" s="377">
        <f t="shared" si="231"/>
        <v>0</v>
      </c>
      <c r="BB536" s="377">
        <f t="shared" si="232"/>
        <v>0</v>
      </c>
      <c r="BC536" s="377">
        <f t="shared" si="233"/>
        <v>0</v>
      </c>
      <c r="BD536" s="377">
        <f t="shared" si="234"/>
        <v>0</v>
      </c>
      <c r="BE536" s="377">
        <f t="shared" si="235"/>
        <v>0</v>
      </c>
      <c r="BF536" s="377">
        <f t="shared" si="236"/>
        <v>0</v>
      </c>
      <c r="BG536" s="328"/>
    </row>
    <row r="537" spans="2:59">
      <c r="B537" s="332">
        <v>522</v>
      </c>
      <c r="C537" s="350">
        <v>142206114.75207826</v>
      </c>
      <c r="D537" s="350">
        <v>143372489.37251729</v>
      </c>
      <c r="E537" s="350">
        <v>144489991.19298893</v>
      </c>
      <c r="F537" s="350">
        <v>145610148.50476807</v>
      </c>
      <c r="G537" s="350">
        <v>146736440.85751972</v>
      </c>
      <c r="H537" s="348">
        <v>722415184.67987227</v>
      </c>
      <c r="I537" s="369"/>
      <c r="J537" s="350">
        <v>179965808.33305836</v>
      </c>
      <c r="K537" s="350">
        <v>219639656.63475004</v>
      </c>
      <c r="L537" s="350">
        <v>259847112.040995</v>
      </c>
      <c r="M537" s="350">
        <v>300655507.49706984</v>
      </c>
      <c r="N537" s="350">
        <v>342075077.05643481</v>
      </c>
      <c r="O537" s="348">
        <v>1302183161.5623081</v>
      </c>
      <c r="P537" s="369"/>
      <c r="Q537" s="350">
        <f t="shared" si="237"/>
        <v>37759693.580980092</v>
      </c>
      <c r="R537" s="350">
        <f t="shared" si="238"/>
        <v>76267167.262232751</v>
      </c>
      <c r="S537" s="350">
        <f t="shared" si="239"/>
        <v>115357120.84800607</v>
      </c>
      <c r="T537" s="350">
        <f t="shared" si="240"/>
        <v>155045358.99230176</v>
      </c>
      <c r="U537" s="350">
        <f t="shared" si="241"/>
        <v>195338636.19891509</v>
      </c>
      <c r="V537" s="350">
        <f t="shared" si="242"/>
        <v>579767976.8824358</v>
      </c>
      <c r="W537" s="365"/>
      <c r="X537" s="377">
        <f t="shared" si="220"/>
        <v>0</v>
      </c>
      <c r="Y537" s="377">
        <f t="shared" si="221"/>
        <v>0</v>
      </c>
      <c r="Z537" s="377">
        <f t="shared" si="222"/>
        <v>0</v>
      </c>
      <c r="AA537" s="377">
        <f t="shared" si="223"/>
        <v>0</v>
      </c>
      <c r="AB537" s="377">
        <f t="shared" si="224"/>
        <v>0</v>
      </c>
      <c r="AC537" s="377">
        <f t="shared" si="225"/>
        <v>0</v>
      </c>
      <c r="AD537" s="376"/>
      <c r="AE537" s="332">
        <v>522</v>
      </c>
      <c r="AF537" s="350">
        <v>136586721.10329175</v>
      </c>
      <c r="AG537" s="350">
        <v>137707005.45436627</v>
      </c>
      <c r="AH537" s="350">
        <v>138780348.25506991</v>
      </c>
      <c r="AI537" s="350">
        <v>139856241.61311942</v>
      </c>
      <c r="AJ537" s="350">
        <v>140938027.58086252</v>
      </c>
      <c r="AK537" s="348">
        <v>693868344.00670981</v>
      </c>
      <c r="AL537" s="369"/>
      <c r="AM537" s="350">
        <v>170911699.83151025</v>
      </c>
      <c r="AN537" s="350">
        <v>207056586.90071398</v>
      </c>
      <c r="AO537" s="350">
        <v>243684338.16820651</v>
      </c>
      <c r="AP537" s="350">
        <v>280858813.86913002</v>
      </c>
      <c r="AQ537" s="350">
        <v>318589499.18535757</v>
      </c>
      <c r="AR537" s="348">
        <v>1221100937.9549184</v>
      </c>
      <c r="AS537" s="369"/>
      <c r="AT537" s="350">
        <f t="shared" si="243"/>
        <v>34324978.728218496</v>
      </c>
      <c r="AU537" s="350">
        <f t="shared" si="226"/>
        <v>69349581.446347713</v>
      </c>
      <c r="AV537" s="350">
        <f t="shared" si="227"/>
        <v>104903989.9131366</v>
      </c>
      <c r="AW537" s="350">
        <f t="shared" si="228"/>
        <v>141002572.25601059</v>
      </c>
      <c r="AX537" s="350">
        <f t="shared" si="229"/>
        <v>177651471.60449505</v>
      </c>
      <c r="AY537" s="350">
        <f t="shared" si="230"/>
        <v>527232593.94820857</v>
      </c>
      <c r="AZ537" s="365"/>
      <c r="BA537" s="377">
        <f t="shared" si="231"/>
        <v>0</v>
      </c>
      <c r="BB537" s="377">
        <f t="shared" si="232"/>
        <v>0</v>
      </c>
      <c r="BC537" s="377">
        <f t="shared" si="233"/>
        <v>0</v>
      </c>
      <c r="BD537" s="377">
        <f t="shared" si="234"/>
        <v>0</v>
      </c>
      <c r="BE537" s="377">
        <f t="shared" si="235"/>
        <v>0</v>
      </c>
      <c r="BF537" s="377">
        <f t="shared" si="236"/>
        <v>0</v>
      </c>
      <c r="BG537" s="328"/>
    </row>
    <row r="538" spans="2:59">
      <c r="B538" s="332">
        <v>523</v>
      </c>
      <c r="C538" s="350">
        <v>140613383.64265895</v>
      </c>
      <c r="D538" s="350">
        <v>141766694.6817854</v>
      </c>
      <c r="E538" s="350">
        <v>142871680.30407944</v>
      </c>
      <c r="F538" s="350">
        <v>143979291.67575595</v>
      </c>
      <c r="G538" s="350">
        <v>145092969.37496996</v>
      </c>
      <c r="H538" s="348">
        <v>714324019.67924976</v>
      </c>
      <c r="I538" s="369"/>
      <c r="J538" s="350">
        <v>175164459.1830166</v>
      </c>
      <c r="K538" s="350">
        <v>211559892.55936098</v>
      </c>
      <c r="L538" s="350">
        <v>248440090.52263975</v>
      </c>
      <c r="M538" s="350">
        <v>285870466.27593094</v>
      </c>
      <c r="N538" s="350">
        <v>323860641.97870868</v>
      </c>
      <c r="O538" s="348">
        <v>1244895550.5196569</v>
      </c>
      <c r="P538" s="369"/>
      <c r="Q538" s="350">
        <f t="shared" si="237"/>
        <v>34551075.540357649</v>
      </c>
      <c r="R538" s="350">
        <f t="shared" si="238"/>
        <v>69793197.877575576</v>
      </c>
      <c r="S538" s="350">
        <f t="shared" si="239"/>
        <v>105568410.21856031</v>
      </c>
      <c r="T538" s="350">
        <f t="shared" si="240"/>
        <v>141891174.60017499</v>
      </c>
      <c r="U538" s="350">
        <f t="shared" si="241"/>
        <v>178767672.60373873</v>
      </c>
      <c r="V538" s="350">
        <f t="shared" si="242"/>
        <v>530571530.84040713</v>
      </c>
      <c r="W538" s="365"/>
      <c r="X538" s="377">
        <f t="shared" si="220"/>
        <v>0</v>
      </c>
      <c r="Y538" s="377">
        <f t="shared" si="221"/>
        <v>0</v>
      </c>
      <c r="Z538" s="377">
        <f t="shared" si="222"/>
        <v>0</v>
      </c>
      <c r="AA538" s="377">
        <f t="shared" si="223"/>
        <v>0</v>
      </c>
      <c r="AB538" s="377">
        <f t="shared" si="224"/>
        <v>0</v>
      </c>
      <c r="AC538" s="377">
        <f t="shared" si="225"/>
        <v>0</v>
      </c>
      <c r="AD538" s="376"/>
      <c r="AE538" s="332">
        <v>523</v>
      </c>
      <c r="AF538" s="350">
        <v>126736239.47958305</v>
      </c>
      <c r="AG538" s="350">
        <v>127775730.17572208</v>
      </c>
      <c r="AH538" s="350">
        <v>128771664.69362292</v>
      </c>
      <c r="AI538" s="350">
        <v>129769965.82552531</v>
      </c>
      <c r="AJ538" s="350">
        <v>130773734.59869808</v>
      </c>
      <c r="AK538" s="348">
        <v>643827334.7731514</v>
      </c>
      <c r="AL538" s="369"/>
      <c r="AM538" s="350">
        <v>158106365.11692822</v>
      </c>
      <c r="AN538" s="350">
        <v>191126852.87261236</v>
      </c>
      <c r="AO538" s="350">
        <v>224587537.38583574</v>
      </c>
      <c r="AP538" s="350">
        <v>258547471.1163052</v>
      </c>
      <c r="AQ538" s="350">
        <v>293015365.03756207</v>
      </c>
      <c r="AR538" s="348">
        <v>1125383591.5292437</v>
      </c>
      <c r="AS538" s="369"/>
      <c r="AT538" s="350">
        <f t="shared" si="243"/>
        <v>31370125.637345165</v>
      </c>
      <c r="AU538" s="350">
        <f t="shared" si="226"/>
        <v>63351122.69689028</v>
      </c>
      <c r="AV538" s="350">
        <f t="shared" si="227"/>
        <v>95815872.69221282</v>
      </c>
      <c r="AW538" s="350">
        <f t="shared" si="228"/>
        <v>128777505.29077989</v>
      </c>
      <c r="AX538" s="350">
        <f t="shared" si="229"/>
        <v>162241630.43886399</v>
      </c>
      <c r="AY538" s="350">
        <f t="shared" si="230"/>
        <v>481556256.75609231</v>
      </c>
      <c r="AZ538" s="365"/>
      <c r="BA538" s="377">
        <f t="shared" si="231"/>
        <v>0</v>
      </c>
      <c r="BB538" s="377">
        <f t="shared" si="232"/>
        <v>0</v>
      </c>
      <c r="BC538" s="377">
        <f t="shared" si="233"/>
        <v>0</v>
      </c>
      <c r="BD538" s="377">
        <f t="shared" si="234"/>
        <v>0</v>
      </c>
      <c r="BE538" s="377">
        <f t="shared" si="235"/>
        <v>0</v>
      </c>
      <c r="BF538" s="377">
        <f t="shared" si="236"/>
        <v>0</v>
      </c>
      <c r="BG538" s="328"/>
    </row>
    <row r="539" spans="2:59">
      <c r="B539" s="332">
        <v>524</v>
      </c>
      <c r="C539" s="350">
        <v>118003983.22698611</v>
      </c>
      <c r="D539" s="350">
        <v>118971851.95321234</v>
      </c>
      <c r="E539" s="350">
        <v>119899165.56633617</v>
      </c>
      <c r="F539" s="350">
        <v>120828682.73134151</v>
      </c>
      <c r="G539" s="350">
        <v>121763290.81155312</v>
      </c>
      <c r="H539" s="348">
        <v>599466974.28942919</v>
      </c>
      <c r="I539" s="369"/>
      <c r="J539" s="350">
        <v>152408672.50802234</v>
      </c>
      <c r="K539" s="350">
        <v>188450899.84552079</v>
      </c>
      <c r="L539" s="350">
        <v>224983115.86642975</v>
      </c>
      <c r="M539" s="350">
        <v>262062478.97457695</v>
      </c>
      <c r="N539" s="350">
        <v>299698029.10824531</v>
      </c>
      <c r="O539" s="348">
        <v>1127603196.3027952</v>
      </c>
      <c r="P539" s="369"/>
      <c r="Q539" s="350">
        <f t="shared" si="237"/>
        <v>34404689.281036228</v>
      </c>
      <c r="R539" s="350">
        <f t="shared" si="238"/>
        <v>69479047.892308459</v>
      </c>
      <c r="S539" s="350">
        <f t="shared" si="239"/>
        <v>105083950.30009358</v>
      </c>
      <c r="T539" s="350">
        <f t="shared" si="240"/>
        <v>141233796.24323544</v>
      </c>
      <c r="U539" s="350">
        <f t="shared" si="241"/>
        <v>177934738.29669219</v>
      </c>
      <c r="V539" s="350">
        <f t="shared" si="242"/>
        <v>528136222.01336598</v>
      </c>
      <c r="W539" s="365"/>
      <c r="X539" s="377">
        <f t="shared" si="220"/>
        <v>0</v>
      </c>
      <c r="Y539" s="377">
        <f t="shared" si="221"/>
        <v>0</v>
      </c>
      <c r="Z539" s="377">
        <f t="shared" si="222"/>
        <v>0</v>
      </c>
      <c r="AA539" s="377">
        <f t="shared" si="223"/>
        <v>0</v>
      </c>
      <c r="AB539" s="377">
        <f t="shared" si="224"/>
        <v>0</v>
      </c>
      <c r="AC539" s="377">
        <f t="shared" si="225"/>
        <v>0</v>
      </c>
      <c r="AD539" s="376"/>
      <c r="AE539" s="332">
        <v>524</v>
      </c>
      <c r="AF539" s="350">
        <v>142975972.50084513</v>
      </c>
      <c r="AG539" s="350">
        <v>144148661.49490362</v>
      </c>
      <c r="AH539" s="350">
        <v>145272213.10751846</v>
      </c>
      <c r="AI539" s="350">
        <v>146398434.5874089</v>
      </c>
      <c r="AJ539" s="350">
        <v>147530824.32139242</v>
      </c>
      <c r="AK539" s="348">
        <v>726326106.01206851</v>
      </c>
      <c r="AL539" s="369"/>
      <c r="AM539" s="350">
        <v>170856111.01862475</v>
      </c>
      <c r="AN539" s="350">
        <v>200484996.38273075</v>
      </c>
      <c r="AO539" s="350">
        <v>230495195.57441846</v>
      </c>
      <c r="AP539" s="350">
        <v>260950186.6507991</v>
      </c>
      <c r="AQ539" s="350">
        <v>291858458.88723004</v>
      </c>
      <c r="AR539" s="348">
        <v>1154644948.513803</v>
      </c>
      <c r="AS539" s="369"/>
      <c r="AT539" s="350">
        <f t="shared" si="243"/>
        <v>27880138.517779619</v>
      </c>
      <c r="AU539" s="350">
        <f t="shared" si="226"/>
        <v>56336334.887827128</v>
      </c>
      <c r="AV539" s="350">
        <f t="shared" si="227"/>
        <v>85222982.466899991</v>
      </c>
      <c r="AW539" s="350">
        <f t="shared" si="228"/>
        <v>114551752.0633902</v>
      </c>
      <c r="AX539" s="350">
        <f t="shared" si="229"/>
        <v>144327634.56583762</v>
      </c>
      <c r="AY539" s="350">
        <f t="shared" si="230"/>
        <v>428318842.5017345</v>
      </c>
      <c r="AZ539" s="365"/>
      <c r="BA539" s="377">
        <f t="shared" si="231"/>
        <v>0</v>
      </c>
      <c r="BB539" s="377">
        <f t="shared" si="232"/>
        <v>0</v>
      </c>
      <c r="BC539" s="377">
        <f t="shared" si="233"/>
        <v>0</v>
      </c>
      <c r="BD539" s="377">
        <f t="shared" si="234"/>
        <v>0</v>
      </c>
      <c r="BE539" s="377">
        <f t="shared" si="235"/>
        <v>0</v>
      </c>
      <c r="BF539" s="377">
        <f t="shared" si="236"/>
        <v>0</v>
      </c>
      <c r="BG539" s="328"/>
    </row>
    <row r="540" spans="2:59">
      <c r="B540" s="332">
        <v>525</v>
      </c>
      <c r="C540" s="350">
        <v>97456869.967716753</v>
      </c>
      <c r="D540" s="350">
        <v>98256211.261274695</v>
      </c>
      <c r="E540" s="350">
        <v>99022058.987276196</v>
      </c>
      <c r="F540" s="350">
        <v>99789726.577856004</v>
      </c>
      <c r="G540" s="350">
        <v>100561598.64228249</v>
      </c>
      <c r="H540" s="348">
        <v>495086465.43640614</v>
      </c>
      <c r="I540" s="369"/>
      <c r="J540" s="350">
        <v>126908257.18244606</v>
      </c>
      <c r="K540" s="350">
        <v>157725208.76210952</v>
      </c>
      <c r="L540" s="350">
        <v>188962717.63816562</v>
      </c>
      <c r="M540" s="350">
        <v>220668423.43574086</v>
      </c>
      <c r="N540" s="350">
        <v>252849976.468799</v>
      </c>
      <c r="O540" s="348">
        <v>947114583.48726106</v>
      </c>
      <c r="P540" s="369"/>
      <c r="Q540" s="350">
        <f t="shared" si="237"/>
        <v>29451387.214729309</v>
      </c>
      <c r="R540" s="350">
        <f t="shared" si="238"/>
        <v>59468997.500834823</v>
      </c>
      <c r="S540" s="350">
        <f t="shared" si="239"/>
        <v>89940658.650889426</v>
      </c>
      <c r="T540" s="350">
        <f t="shared" si="240"/>
        <v>120878696.85788485</v>
      </c>
      <c r="U540" s="350">
        <f t="shared" si="241"/>
        <v>152288377.82651651</v>
      </c>
      <c r="V540" s="350">
        <f t="shared" si="242"/>
        <v>452028118.05085492</v>
      </c>
      <c r="W540" s="365"/>
      <c r="X540" s="377">
        <f t="shared" si="220"/>
        <v>0</v>
      </c>
      <c r="Y540" s="377">
        <f t="shared" si="221"/>
        <v>0</v>
      </c>
      <c r="Z540" s="377">
        <f t="shared" si="222"/>
        <v>0</v>
      </c>
      <c r="AA540" s="377">
        <f t="shared" si="223"/>
        <v>0</v>
      </c>
      <c r="AB540" s="377">
        <f t="shared" si="224"/>
        <v>0</v>
      </c>
      <c r="AC540" s="377">
        <f t="shared" si="225"/>
        <v>0</v>
      </c>
      <c r="AD540" s="376"/>
      <c r="AE540" s="332">
        <v>525</v>
      </c>
      <c r="AF540" s="350">
        <v>130700683.32652102</v>
      </c>
      <c r="AG540" s="350">
        <v>131772690.39296728</v>
      </c>
      <c r="AH540" s="350">
        <v>132799778.79777256</v>
      </c>
      <c r="AI540" s="350">
        <v>133829307.84677285</v>
      </c>
      <c r="AJ540" s="350">
        <v>134864475.57065532</v>
      </c>
      <c r="AK540" s="348">
        <v>663966935.93468904</v>
      </c>
      <c r="AL540" s="369"/>
      <c r="AM540" s="350">
        <v>161879215.98795786</v>
      </c>
      <c r="AN540" s="350">
        <v>194764563.67927656</v>
      </c>
      <c r="AO540" s="350">
        <v>228086222.42657074</v>
      </c>
      <c r="AP540" s="350">
        <v>261904602.55106497</v>
      </c>
      <c r="AQ540" s="350">
        <v>296228481.99019831</v>
      </c>
      <c r="AR540" s="348">
        <v>1142863086.6350684</v>
      </c>
      <c r="AS540" s="369"/>
      <c r="AT540" s="350">
        <f t="shared" si="243"/>
        <v>31178532.661436841</v>
      </c>
      <c r="AU540" s="350">
        <f t="shared" si="226"/>
        <v>62991873.286309272</v>
      </c>
      <c r="AV540" s="350">
        <f t="shared" si="227"/>
        <v>95286443.628798187</v>
      </c>
      <c r="AW540" s="350">
        <f t="shared" si="228"/>
        <v>128075294.70429212</v>
      </c>
      <c r="AX540" s="350">
        <f t="shared" si="229"/>
        <v>161364006.419543</v>
      </c>
      <c r="AY540" s="350">
        <f t="shared" si="230"/>
        <v>478896150.70037937</v>
      </c>
      <c r="AZ540" s="365"/>
      <c r="BA540" s="377">
        <f t="shared" si="231"/>
        <v>0</v>
      </c>
      <c r="BB540" s="377">
        <f t="shared" si="232"/>
        <v>0</v>
      </c>
      <c r="BC540" s="377">
        <f t="shared" si="233"/>
        <v>0</v>
      </c>
      <c r="BD540" s="377">
        <f t="shared" si="234"/>
        <v>0</v>
      </c>
      <c r="BE540" s="377">
        <f t="shared" si="235"/>
        <v>0</v>
      </c>
      <c r="BF540" s="377">
        <f t="shared" si="236"/>
        <v>0</v>
      </c>
      <c r="BG540" s="328"/>
    </row>
    <row r="541" spans="2:59">
      <c r="B541" s="332">
        <v>526</v>
      </c>
      <c r="C541" s="350">
        <v>108079139.95430475</v>
      </c>
      <c r="D541" s="350">
        <v>108965605.11131541</v>
      </c>
      <c r="E541" s="350">
        <v>109814926.08365554</v>
      </c>
      <c r="F541" s="350">
        <v>110666265.27593765</v>
      </c>
      <c r="G541" s="350">
        <v>111522267.20690058</v>
      </c>
      <c r="H541" s="348">
        <v>549048203.63211393</v>
      </c>
      <c r="I541" s="369"/>
      <c r="J541" s="350">
        <v>137575348.09825724</v>
      </c>
      <c r="K541" s="350">
        <v>168538922.56309047</v>
      </c>
      <c r="L541" s="350">
        <v>199920310.09032241</v>
      </c>
      <c r="M541" s="350">
        <v>231771018.80401999</v>
      </c>
      <c r="N541" s="350">
        <v>264098969.05025092</v>
      </c>
      <c r="O541" s="348">
        <v>1001904568.6059409</v>
      </c>
      <c r="P541" s="369"/>
      <c r="Q541" s="350">
        <f t="shared" si="237"/>
        <v>29496208.143952489</v>
      </c>
      <c r="R541" s="350">
        <f t="shared" si="238"/>
        <v>59573317.451775059</v>
      </c>
      <c r="S541" s="350">
        <f t="shared" si="239"/>
        <v>90105384.006666869</v>
      </c>
      <c r="T541" s="350">
        <f t="shared" si="240"/>
        <v>121104753.52808234</v>
      </c>
      <c r="U541" s="350">
        <f t="shared" si="241"/>
        <v>152576701.84335035</v>
      </c>
      <c r="V541" s="350">
        <f t="shared" si="242"/>
        <v>452856364.973827</v>
      </c>
      <c r="W541" s="365"/>
      <c r="X541" s="377">
        <f t="shared" si="220"/>
        <v>0</v>
      </c>
      <c r="Y541" s="377">
        <f t="shared" si="221"/>
        <v>0</v>
      </c>
      <c r="Z541" s="377">
        <f t="shared" si="222"/>
        <v>0</v>
      </c>
      <c r="AA541" s="377">
        <f t="shared" si="223"/>
        <v>0</v>
      </c>
      <c r="AB541" s="377">
        <f t="shared" si="224"/>
        <v>0</v>
      </c>
      <c r="AC541" s="377">
        <f t="shared" si="225"/>
        <v>0</v>
      </c>
      <c r="AD541" s="376"/>
      <c r="AE541" s="332">
        <v>526</v>
      </c>
      <c r="AF541" s="350">
        <v>124884225.73033148</v>
      </c>
      <c r="AG541" s="350">
        <v>125908526.20882341</v>
      </c>
      <c r="AH541" s="350">
        <v>126889907.00138035</v>
      </c>
      <c r="AI541" s="350">
        <v>127873619.8242895</v>
      </c>
      <c r="AJ541" s="350">
        <v>128862720.38909012</v>
      </c>
      <c r="AK541" s="348">
        <v>634418999.15391493</v>
      </c>
      <c r="AL541" s="369"/>
      <c r="AM541" s="350">
        <v>155033718.51024923</v>
      </c>
      <c r="AN541" s="350">
        <v>186825820.55724227</v>
      </c>
      <c r="AO541" s="350">
        <v>219040419.17542425</v>
      </c>
      <c r="AP541" s="350">
        <v>251735386.59828764</v>
      </c>
      <c r="AQ541" s="350">
        <v>284919174.96029937</v>
      </c>
      <c r="AR541" s="348">
        <v>1097554519.8015027</v>
      </c>
      <c r="AS541" s="369"/>
      <c r="AT541" s="350">
        <f t="shared" si="243"/>
        <v>30149492.779917747</v>
      </c>
      <c r="AU541" s="350">
        <f t="shared" si="226"/>
        <v>60917294.348418862</v>
      </c>
      <c r="AV541" s="350">
        <f t="shared" si="227"/>
        <v>92150512.174043894</v>
      </c>
      <c r="AW541" s="350">
        <f t="shared" si="228"/>
        <v>123861766.77399814</v>
      </c>
      <c r="AX541" s="350">
        <f t="shared" si="229"/>
        <v>156056454.57120925</v>
      </c>
      <c r="AY541" s="350">
        <f t="shared" si="230"/>
        <v>463135520.64758778</v>
      </c>
      <c r="AZ541" s="365"/>
      <c r="BA541" s="377">
        <f t="shared" si="231"/>
        <v>0</v>
      </c>
      <c r="BB541" s="377">
        <f t="shared" si="232"/>
        <v>0</v>
      </c>
      <c r="BC541" s="377">
        <f t="shared" si="233"/>
        <v>0</v>
      </c>
      <c r="BD541" s="377">
        <f t="shared" si="234"/>
        <v>0</v>
      </c>
      <c r="BE541" s="377">
        <f t="shared" si="235"/>
        <v>0</v>
      </c>
      <c r="BF541" s="377">
        <f t="shared" si="236"/>
        <v>0</v>
      </c>
      <c r="BG541" s="328"/>
    </row>
    <row r="542" spans="2:59">
      <c r="B542" s="332">
        <v>527</v>
      </c>
      <c r="C542" s="350">
        <v>140368891.37791872</v>
      </c>
      <c r="D542" s="350">
        <v>141520197.09137416</v>
      </c>
      <c r="E542" s="350">
        <v>142623261.41407144</v>
      </c>
      <c r="F542" s="350">
        <v>143728946.92061543</v>
      </c>
      <c r="G542" s="350">
        <v>144840688.20683795</v>
      </c>
      <c r="H542" s="348">
        <v>713081985.01081777</v>
      </c>
      <c r="I542" s="369"/>
      <c r="J542" s="350">
        <v>175356088.25435421</v>
      </c>
      <c r="K542" s="350">
        <v>212184543.42790931</v>
      </c>
      <c r="L542" s="350">
        <v>249504423.11447218</v>
      </c>
      <c r="M542" s="350">
        <v>287381233.92725456</v>
      </c>
      <c r="N542" s="350">
        <v>325824668.57200527</v>
      </c>
      <c r="O542" s="348">
        <v>1250250957.2959955</v>
      </c>
      <c r="P542" s="369"/>
      <c r="Q542" s="350">
        <f t="shared" si="237"/>
        <v>34987196.876435488</v>
      </c>
      <c r="R542" s="350">
        <f t="shared" si="238"/>
        <v>70664346.336535156</v>
      </c>
      <c r="S542" s="350">
        <f t="shared" si="239"/>
        <v>106881161.70040074</v>
      </c>
      <c r="T542" s="350">
        <f t="shared" si="240"/>
        <v>143652287.00663912</v>
      </c>
      <c r="U542" s="350">
        <f t="shared" si="241"/>
        <v>180983980.36516732</v>
      </c>
      <c r="V542" s="350">
        <f t="shared" si="242"/>
        <v>537168972.28517771</v>
      </c>
      <c r="W542" s="365"/>
      <c r="X542" s="377">
        <f t="shared" si="220"/>
        <v>0</v>
      </c>
      <c r="Y542" s="377">
        <f t="shared" si="221"/>
        <v>0</v>
      </c>
      <c r="Z542" s="377">
        <f t="shared" si="222"/>
        <v>0</v>
      </c>
      <c r="AA542" s="377">
        <f t="shared" si="223"/>
        <v>0</v>
      </c>
      <c r="AB542" s="377">
        <f t="shared" si="224"/>
        <v>0</v>
      </c>
      <c r="AC542" s="377">
        <f t="shared" si="225"/>
        <v>0</v>
      </c>
      <c r="AD542" s="376"/>
      <c r="AE542" s="332">
        <v>527</v>
      </c>
      <c r="AF542" s="350">
        <v>175419758.30365777</v>
      </c>
      <c r="AG542" s="350">
        <v>176858551.244212</v>
      </c>
      <c r="AH542" s="350">
        <v>178237056.65934691</v>
      </c>
      <c r="AI542" s="350">
        <v>179618837.78202891</v>
      </c>
      <c r="AJ542" s="350">
        <v>181008186.8451364</v>
      </c>
      <c r="AK542" s="348">
        <v>891142390.83438206</v>
      </c>
      <c r="AL542" s="369"/>
      <c r="AM542" s="350">
        <v>218595252.92156926</v>
      </c>
      <c r="AN542" s="350">
        <v>264043192.86518103</v>
      </c>
      <c r="AO542" s="350">
        <v>310096535.87835377</v>
      </c>
      <c r="AP542" s="350">
        <v>356836915.49152255</v>
      </c>
      <c r="AQ542" s="350">
        <v>404276343.96344662</v>
      </c>
      <c r="AR542" s="348">
        <v>1553848241.1200733</v>
      </c>
      <c r="AS542" s="369"/>
      <c r="AT542" s="350">
        <f t="shared" si="243"/>
        <v>43175494.617911488</v>
      </c>
      <c r="AU542" s="350">
        <f t="shared" si="226"/>
        <v>87184641.620969027</v>
      </c>
      <c r="AV542" s="350">
        <f t="shared" si="227"/>
        <v>131859479.21900687</v>
      </c>
      <c r="AW542" s="350">
        <f t="shared" si="228"/>
        <v>177218077.70949364</v>
      </c>
      <c r="AX542" s="350">
        <f t="shared" si="229"/>
        <v>223268157.11831021</v>
      </c>
      <c r="AY542" s="350">
        <f t="shared" si="230"/>
        <v>662705850.28569126</v>
      </c>
      <c r="AZ542" s="365"/>
      <c r="BA542" s="377">
        <f t="shared" si="231"/>
        <v>0</v>
      </c>
      <c r="BB542" s="377">
        <f t="shared" si="232"/>
        <v>0</v>
      </c>
      <c r="BC542" s="377">
        <f t="shared" si="233"/>
        <v>0</v>
      </c>
      <c r="BD542" s="377">
        <f t="shared" si="234"/>
        <v>0</v>
      </c>
      <c r="BE542" s="377">
        <f t="shared" si="235"/>
        <v>0</v>
      </c>
      <c r="BF542" s="377">
        <f t="shared" si="236"/>
        <v>0</v>
      </c>
      <c r="BG542" s="328"/>
    </row>
    <row r="543" spans="2:59">
      <c r="B543" s="332">
        <v>528</v>
      </c>
      <c r="C543" s="350">
        <v>115543833.98424584</v>
      </c>
      <c r="D543" s="350">
        <v>116491524.5652198</v>
      </c>
      <c r="E543" s="350">
        <v>117399505.5268456</v>
      </c>
      <c r="F543" s="350">
        <v>118309644.10066217</v>
      </c>
      <c r="G543" s="350">
        <v>119224767.45418987</v>
      </c>
      <c r="H543" s="348">
        <v>586969275.63116324</v>
      </c>
      <c r="I543" s="369"/>
      <c r="J543" s="350">
        <v>151130366.41373226</v>
      </c>
      <c r="K543" s="350">
        <v>188384597.19529593</v>
      </c>
      <c r="L543" s="350">
        <v>226148313.09368619</v>
      </c>
      <c r="M543" s="350">
        <v>264478277.24676079</v>
      </c>
      <c r="N543" s="350">
        <v>303383684.91786307</v>
      </c>
      <c r="O543" s="348">
        <v>1133525238.8673384</v>
      </c>
      <c r="P543" s="369"/>
      <c r="Q543" s="350">
        <f t="shared" si="237"/>
        <v>35586532.429486424</v>
      </c>
      <c r="R543" s="350">
        <f t="shared" si="238"/>
        <v>71893072.630076125</v>
      </c>
      <c r="S543" s="350">
        <f t="shared" si="239"/>
        <v>108748807.56684059</v>
      </c>
      <c r="T543" s="350">
        <f t="shared" si="240"/>
        <v>146168633.14609861</v>
      </c>
      <c r="U543" s="350">
        <f t="shared" si="241"/>
        <v>184158917.4636732</v>
      </c>
      <c r="V543" s="350">
        <f t="shared" si="242"/>
        <v>546555963.23617518</v>
      </c>
      <c r="W543" s="365"/>
      <c r="X543" s="377">
        <f t="shared" si="220"/>
        <v>0</v>
      </c>
      <c r="Y543" s="377">
        <f t="shared" si="221"/>
        <v>0</v>
      </c>
      <c r="Z543" s="377">
        <f t="shared" si="222"/>
        <v>0</v>
      </c>
      <c r="AA543" s="377">
        <f t="shared" si="223"/>
        <v>0</v>
      </c>
      <c r="AB543" s="377">
        <f t="shared" si="224"/>
        <v>0</v>
      </c>
      <c r="AC543" s="377">
        <f t="shared" si="225"/>
        <v>0</v>
      </c>
      <c r="AD543" s="376"/>
      <c r="AE543" s="332">
        <v>528</v>
      </c>
      <c r="AF543" s="350">
        <v>120019575.25626591</v>
      </c>
      <c r="AG543" s="350">
        <v>121003975.86926927</v>
      </c>
      <c r="AH543" s="350">
        <v>121947128.65897131</v>
      </c>
      <c r="AI543" s="350">
        <v>122892522.63878936</v>
      </c>
      <c r="AJ543" s="350">
        <v>123843094.4902692</v>
      </c>
      <c r="AK543" s="348">
        <v>609706296.91356504</v>
      </c>
      <c r="AL543" s="369"/>
      <c r="AM543" s="350">
        <v>147628659.66152251</v>
      </c>
      <c r="AN543" s="350">
        <v>176777036.57137898</v>
      </c>
      <c r="AO543" s="350">
        <v>206310189.32109699</v>
      </c>
      <c r="AP543" s="350">
        <v>236283163.40256876</v>
      </c>
      <c r="AQ543" s="350">
        <v>266703835.48790824</v>
      </c>
      <c r="AR543" s="348">
        <v>1033702884.4444755</v>
      </c>
      <c r="AS543" s="369"/>
      <c r="AT543" s="350">
        <f t="shared" si="243"/>
        <v>27609084.405256599</v>
      </c>
      <c r="AU543" s="350">
        <f t="shared" si="226"/>
        <v>55773060.702109709</v>
      </c>
      <c r="AV543" s="350">
        <f t="shared" si="227"/>
        <v>84363060.662125677</v>
      </c>
      <c r="AW543" s="350">
        <f t="shared" si="228"/>
        <v>113390640.7637794</v>
      </c>
      <c r="AX543" s="350">
        <f t="shared" si="229"/>
        <v>142860740.99763906</v>
      </c>
      <c r="AY543" s="350">
        <f t="shared" si="230"/>
        <v>423996587.53091049</v>
      </c>
      <c r="AZ543" s="365"/>
      <c r="BA543" s="377">
        <f t="shared" si="231"/>
        <v>0</v>
      </c>
      <c r="BB543" s="377">
        <f t="shared" si="232"/>
        <v>0</v>
      </c>
      <c r="BC543" s="377">
        <f t="shared" si="233"/>
        <v>0</v>
      </c>
      <c r="BD543" s="377">
        <f t="shared" si="234"/>
        <v>0</v>
      </c>
      <c r="BE543" s="377">
        <f t="shared" si="235"/>
        <v>0</v>
      </c>
      <c r="BF543" s="377">
        <f t="shared" si="236"/>
        <v>0</v>
      </c>
      <c r="BG543" s="328"/>
    </row>
    <row r="544" spans="2:59">
      <c r="B544" s="332">
        <v>529</v>
      </c>
      <c r="C544" s="350">
        <v>156631160.32494569</v>
      </c>
      <c r="D544" s="350">
        <v>157915849.17599431</v>
      </c>
      <c r="E544" s="350">
        <v>159146707.68802714</v>
      </c>
      <c r="F544" s="350">
        <v>160380491.05800611</v>
      </c>
      <c r="G544" s="350">
        <v>161621031.79272884</v>
      </c>
      <c r="H544" s="348">
        <v>795695240.03970218</v>
      </c>
      <c r="I544" s="369"/>
      <c r="J544" s="350">
        <v>187998960.63754261</v>
      </c>
      <c r="K544" s="350">
        <v>221282975.80989176</v>
      </c>
      <c r="L544" s="350">
        <v>254997200.40648872</v>
      </c>
      <c r="M544" s="350">
        <v>289211519.46870548</v>
      </c>
      <c r="N544" s="350">
        <v>323935378.19344252</v>
      </c>
      <c r="O544" s="348">
        <v>1277426034.5160711</v>
      </c>
      <c r="P544" s="369"/>
      <c r="Q544" s="350">
        <f t="shared" si="237"/>
        <v>31367800.312596917</v>
      </c>
      <c r="R544" s="350">
        <f t="shared" si="238"/>
        <v>63367126.633897454</v>
      </c>
      <c r="S544" s="350">
        <f t="shared" si="239"/>
        <v>95850492.718461573</v>
      </c>
      <c r="T544" s="350">
        <f t="shared" si="240"/>
        <v>128831028.41069937</v>
      </c>
      <c r="U544" s="350">
        <f t="shared" si="241"/>
        <v>162314346.40071368</v>
      </c>
      <c r="V544" s="350">
        <f t="shared" si="242"/>
        <v>481730794.4763689</v>
      </c>
      <c r="W544" s="365"/>
      <c r="X544" s="377">
        <f t="shared" si="220"/>
        <v>0</v>
      </c>
      <c r="Y544" s="377">
        <f t="shared" si="221"/>
        <v>0</v>
      </c>
      <c r="Z544" s="377">
        <f t="shared" si="222"/>
        <v>0</v>
      </c>
      <c r="AA544" s="377">
        <f t="shared" si="223"/>
        <v>0</v>
      </c>
      <c r="AB544" s="377">
        <f t="shared" si="224"/>
        <v>0</v>
      </c>
      <c r="AC544" s="377">
        <f t="shared" si="225"/>
        <v>0</v>
      </c>
      <c r="AD544" s="376"/>
      <c r="AE544" s="332">
        <v>529</v>
      </c>
      <c r="AF544" s="350">
        <v>143319441.93589309</v>
      </c>
      <c r="AG544" s="350">
        <v>144494948.06642017</v>
      </c>
      <c r="AH544" s="350">
        <v>145621198.77337158</v>
      </c>
      <c r="AI544" s="350">
        <v>146750125.76138812</v>
      </c>
      <c r="AJ544" s="350">
        <v>147885235.8214193</v>
      </c>
      <c r="AK544" s="348">
        <v>728070950.35849214</v>
      </c>
      <c r="AL544" s="369"/>
      <c r="AM544" s="350">
        <v>174535409.82399422</v>
      </c>
      <c r="AN544" s="350">
        <v>207552878.02680963</v>
      </c>
      <c r="AO544" s="350">
        <v>241002749.04537958</v>
      </c>
      <c r="AP544" s="350">
        <v>274950020.7376492</v>
      </c>
      <c r="AQ544" s="350">
        <v>309403785.03926724</v>
      </c>
      <c r="AR544" s="348">
        <v>1207444842.6731</v>
      </c>
      <c r="AS544" s="369"/>
      <c r="AT544" s="350">
        <f t="shared" si="243"/>
        <v>31215967.888101131</v>
      </c>
      <c r="AU544" s="350">
        <f t="shared" si="226"/>
        <v>63057929.960389465</v>
      </c>
      <c r="AV544" s="350">
        <f t="shared" si="227"/>
        <v>95381550.272008002</v>
      </c>
      <c r="AW544" s="350">
        <f t="shared" si="228"/>
        <v>128199894.97626108</v>
      </c>
      <c r="AX544" s="350">
        <f t="shared" si="229"/>
        <v>161518549.21784794</v>
      </c>
      <c r="AY544" s="350">
        <f t="shared" si="230"/>
        <v>479373892.31460786</v>
      </c>
      <c r="AZ544" s="365"/>
      <c r="BA544" s="377">
        <f t="shared" si="231"/>
        <v>0</v>
      </c>
      <c r="BB544" s="377">
        <f t="shared" si="232"/>
        <v>0</v>
      </c>
      <c r="BC544" s="377">
        <f t="shared" si="233"/>
        <v>0</v>
      </c>
      <c r="BD544" s="377">
        <f t="shared" si="234"/>
        <v>0</v>
      </c>
      <c r="BE544" s="377">
        <f t="shared" si="235"/>
        <v>0</v>
      </c>
      <c r="BF544" s="377">
        <f t="shared" si="236"/>
        <v>0</v>
      </c>
      <c r="BG544" s="328"/>
    </row>
    <row r="545" spans="2:59">
      <c r="B545" s="332">
        <v>530</v>
      </c>
      <c r="C545" s="350">
        <v>141109240.35539082</v>
      </c>
      <c r="D545" s="350">
        <v>142266618.41150951</v>
      </c>
      <c r="E545" s="350">
        <v>143375500.63684446</v>
      </c>
      <c r="F545" s="350">
        <v>144487017.87096101</v>
      </c>
      <c r="G545" s="350">
        <v>145604622.82481235</v>
      </c>
      <c r="H545" s="348">
        <v>716843000.09951806</v>
      </c>
      <c r="I545" s="369"/>
      <c r="J545" s="350">
        <v>173491692.99645448</v>
      </c>
      <c r="K545" s="350">
        <v>207651715.75154305</v>
      </c>
      <c r="L545" s="350">
        <v>242262444.51454213</v>
      </c>
      <c r="M545" s="350">
        <v>277388562.91486061</v>
      </c>
      <c r="N545" s="350">
        <v>313039313.0587002</v>
      </c>
      <c r="O545" s="348">
        <v>1213833729.2361004</v>
      </c>
      <c r="P545" s="369"/>
      <c r="Q545" s="350">
        <f t="shared" si="237"/>
        <v>32382452.64106366</v>
      </c>
      <c r="R545" s="350">
        <f t="shared" si="238"/>
        <v>65385097.340033531</v>
      </c>
      <c r="S545" s="350">
        <f t="shared" si="239"/>
        <v>98886943.877697676</v>
      </c>
      <c r="T545" s="350">
        <f t="shared" si="240"/>
        <v>132901545.0438996</v>
      </c>
      <c r="U545" s="350">
        <f t="shared" si="241"/>
        <v>167434690.23388785</v>
      </c>
      <c r="V545" s="350">
        <f t="shared" si="242"/>
        <v>496990729.13658237</v>
      </c>
      <c r="W545" s="365"/>
      <c r="X545" s="377">
        <f t="shared" si="220"/>
        <v>0</v>
      </c>
      <c r="Y545" s="377">
        <f t="shared" si="221"/>
        <v>0</v>
      </c>
      <c r="Z545" s="377">
        <f t="shared" si="222"/>
        <v>0</v>
      </c>
      <c r="AA545" s="377">
        <f t="shared" si="223"/>
        <v>0</v>
      </c>
      <c r="AB545" s="377">
        <f t="shared" si="224"/>
        <v>0</v>
      </c>
      <c r="AC545" s="377">
        <f t="shared" si="225"/>
        <v>0</v>
      </c>
      <c r="AD545" s="376"/>
      <c r="AE545" s="332">
        <v>530</v>
      </c>
      <c r="AF545" s="350">
        <v>124639715.89017208</v>
      </c>
      <c r="AG545" s="350">
        <v>125662010.89883944</v>
      </c>
      <c r="AH545" s="350">
        <v>126641470.25368619</v>
      </c>
      <c r="AI545" s="350">
        <v>127623257.07302132</v>
      </c>
      <c r="AJ545" s="350">
        <v>128610421.08563064</v>
      </c>
      <c r="AK545" s="348">
        <v>633176875.20134974</v>
      </c>
      <c r="AL545" s="369"/>
      <c r="AM545" s="350">
        <v>148917792.99500632</v>
      </c>
      <c r="AN545" s="350">
        <v>174722692.89897183</v>
      </c>
      <c r="AO545" s="350">
        <v>200859640.01003069</v>
      </c>
      <c r="AP545" s="350">
        <v>227383960.56929925</v>
      </c>
      <c r="AQ545" s="350">
        <v>254303050.82267854</v>
      </c>
      <c r="AR545" s="348">
        <v>1006187137.2959867</v>
      </c>
      <c r="AS545" s="369"/>
      <c r="AT545" s="350">
        <f t="shared" si="243"/>
        <v>24278077.104834244</v>
      </c>
      <c r="AU545" s="350">
        <f t="shared" si="226"/>
        <v>49060682.000132382</v>
      </c>
      <c r="AV545" s="350">
        <f t="shared" si="227"/>
        <v>74218169.756344497</v>
      </c>
      <c r="AW545" s="350">
        <f t="shared" si="228"/>
        <v>99760703.496277928</v>
      </c>
      <c r="AX545" s="350">
        <f t="shared" si="229"/>
        <v>125692629.7370479</v>
      </c>
      <c r="AY545" s="350">
        <f t="shared" si="230"/>
        <v>373010262.09463692</v>
      </c>
      <c r="AZ545" s="365"/>
      <c r="BA545" s="377">
        <f t="shared" si="231"/>
        <v>0</v>
      </c>
      <c r="BB545" s="377">
        <f t="shared" si="232"/>
        <v>0</v>
      </c>
      <c r="BC545" s="377">
        <f t="shared" si="233"/>
        <v>0</v>
      </c>
      <c r="BD545" s="377">
        <f t="shared" si="234"/>
        <v>0</v>
      </c>
      <c r="BE545" s="377">
        <f t="shared" si="235"/>
        <v>0</v>
      </c>
      <c r="BF545" s="377">
        <f t="shared" si="236"/>
        <v>0</v>
      </c>
      <c r="BG545" s="328"/>
    </row>
    <row r="546" spans="2:59">
      <c r="B546" s="332">
        <v>531</v>
      </c>
      <c r="C546" s="350">
        <v>130340915.03285748</v>
      </c>
      <c r="D546" s="350">
        <v>131409971.27958894</v>
      </c>
      <c r="E546" s="350">
        <v>132434232.50833492</v>
      </c>
      <c r="F546" s="350">
        <v>133460927.66312894</v>
      </c>
      <c r="G546" s="350">
        <v>134493245.97171992</v>
      </c>
      <c r="H546" s="348">
        <v>662139292.4556303</v>
      </c>
      <c r="I546" s="369"/>
      <c r="J546" s="350">
        <v>163661597.30895361</v>
      </c>
      <c r="K546" s="350">
        <v>198701822.52644819</v>
      </c>
      <c r="L546" s="350">
        <v>234211110.27804899</v>
      </c>
      <c r="M546" s="350">
        <v>270250635.65285307</v>
      </c>
      <c r="N546" s="350">
        <v>306829546.89370149</v>
      </c>
      <c r="O546" s="348">
        <v>1173654712.6600053</v>
      </c>
      <c r="P546" s="369"/>
      <c r="Q546" s="350">
        <f t="shared" si="237"/>
        <v>33320682.276096135</v>
      </c>
      <c r="R546" s="350">
        <f t="shared" si="238"/>
        <v>67291851.246859252</v>
      </c>
      <c r="S546" s="350">
        <f t="shared" si="239"/>
        <v>101776877.76971407</v>
      </c>
      <c r="T546" s="350">
        <f t="shared" si="240"/>
        <v>136789707.98972413</v>
      </c>
      <c r="U546" s="350">
        <f t="shared" si="241"/>
        <v>172336300.92198157</v>
      </c>
      <c r="V546" s="350">
        <f t="shared" si="242"/>
        <v>511515420.20437503</v>
      </c>
      <c r="W546" s="365"/>
      <c r="X546" s="377">
        <f t="shared" si="220"/>
        <v>0</v>
      </c>
      <c r="Y546" s="377">
        <f t="shared" si="221"/>
        <v>0</v>
      </c>
      <c r="Z546" s="377">
        <f t="shared" si="222"/>
        <v>0</v>
      </c>
      <c r="AA546" s="377">
        <f t="shared" si="223"/>
        <v>0</v>
      </c>
      <c r="AB546" s="377">
        <f t="shared" si="224"/>
        <v>0</v>
      </c>
      <c r="AC546" s="377">
        <f t="shared" si="225"/>
        <v>0</v>
      </c>
      <c r="AD546" s="376"/>
      <c r="AE546" s="332">
        <v>531</v>
      </c>
      <c r="AF546" s="350">
        <v>118504728.45855536</v>
      </c>
      <c r="AG546" s="350">
        <v>119476704.29740763</v>
      </c>
      <c r="AH546" s="350">
        <v>120407952.92914057</v>
      </c>
      <c r="AI546" s="350">
        <v>121341414.46344011</v>
      </c>
      <c r="AJ546" s="350">
        <v>122279988.5160431</v>
      </c>
      <c r="AK546" s="348">
        <v>602010788.66458678</v>
      </c>
      <c r="AL546" s="369"/>
      <c r="AM546" s="350">
        <v>148326593.81411076</v>
      </c>
      <c r="AN546" s="350">
        <v>179726846.49549404</v>
      </c>
      <c r="AO546" s="350">
        <v>211546649.93501753</v>
      </c>
      <c r="AP546" s="350">
        <v>243841427.3276588</v>
      </c>
      <c r="AQ546" s="350">
        <v>276619415.28000367</v>
      </c>
      <c r="AR546" s="348">
        <v>1060060932.8522847</v>
      </c>
      <c r="AS546" s="369"/>
      <c r="AT546" s="350">
        <f t="shared" si="243"/>
        <v>29821865.3555554</v>
      </c>
      <c r="AU546" s="350">
        <f t="shared" si="226"/>
        <v>60250142.198086411</v>
      </c>
      <c r="AV546" s="350">
        <f t="shared" si="227"/>
        <v>91138697.005876958</v>
      </c>
      <c r="AW546" s="350">
        <f t="shared" si="228"/>
        <v>122500012.8642187</v>
      </c>
      <c r="AX546" s="350">
        <f t="shared" si="229"/>
        <v>154339426.76396057</v>
      </c>
      <c r="AY546" s="350">
        <f t="shared" si="230"/>
        <v>458050144.18769789</v>
      </c>
      <c r="AZ546" s="365"/>
      <c r="BA546" s="377">
        <f t="shared" si="231"/>
        <v>0</v>
      </c>
      <c r="BB546" s="377">
        <f t="shared" si="232"/>
        <v>0</v>
      </c>
      <c r="BC546" s="377">
        <f t="shared" si="233"/>
        <v>0</v>
      </c>
      <c r="BD546" s="377">
        <f t="shared" si="234"/>
        <v>0</v>
      </c>
      <c r="BE546" s="377">
        <f t="shared" si="235"/>
        <v>0</v>
      </c>
      <c r="BF546" s="377">
        <f t="shared" si="236"/>
        <v>0</v>
      </c>
      <c r="BG546" s="328"/>
    </row>
    <row r="547" spans="2:59">
      <c r="B547" s="332">
        <v>532</v>
      </c>
      <c r="C547" s="350">
        <v>131388011.07174698</v>
      </c>
      <c r="D547" s="350">
        <v>132465655.60068454</v>
      </c>
      <c r="E547" s="350">
        <v>133498145.25006986</v>
      </c>
      <c r="F547" s="350">
        <v>134533088.37849101</v>
      </c>
      <c r="G547" s="350">
        <v>135573699.83441436</v>
      </c>
      <c r="H547" s="348">
        <v>667458600.13540673</v>
      </c>
      <c r="I547" s="369"/>
      <c r="J547" s="350">
        <v>167027943.53586692</v>
      </c>
      <c r="K547" s="350">
        <v>204441076.34713805</v>
      </c>
      <c r="L547" s="350">
        <v>242358675.10061273</v>
      </c>
      <c r="M547" s="350">
        <v>280843264.99482465</v>
      </c>
      <c r="N547" s="350">
        <v>319904434.632514</v>
      </c>
      <c r="O547" s="348">
        <v>1214575394.6109562</v>
      </c>
      <c r="P547" s="369"/>
      <c r="Q547" s="350">
        <f t="shared" si="237"/>
        <v>35639932.464119941</v>
      </c>
      <c r="R547" s="350">
        <f t="shared" si="238"/>
        <v>71975420.746453509</v>
      </c>
      <c r="S547" s="350">
        <f t="shared" si="239"/>
        <v>108860529.85054287</v>
      </c>
      <c r="T547" s="350">
        <f t="shared" si="240"/>
        <v>146310176.61633363</v>
      </c>
      <c r="U547" s="350">
        <f t="shared" si="241"/>
        <v>184330734.79809964</v>
      </c>
      <c r="V547" s="350">
        <f t="shared" si="242"/>
        <v>547116794.47554946</v>
      </c>
      <c r="W547" s="365"/>
      <c r="X547" s="377">
        <f t="shared" si="220"/>
        <v>0</v>
      </c>
      <c r="Y547" s="377">
        <f t="shared" si="221"/>
        <v>0</v>
      </c>
      <c r="Z547" s="377">
        <f t="shared" si="222"/>
        <v>0</v>
      </c>
      <c r="AA547" s="377">
        <f t="shared" si="223"/>
        <v>0</v>
      </c>
      <c r="AB547" s="377">
        <f t="shared" si="224"/>
        <v>0</v>
      </c>
      <c r="AC547" s="377">
        <f t="shared" si="225"/>
        <v>0</v>
      </c>
      <c r="AD547" s="376"/>
      <c r="AE547" s="332">
        <v>532</v>
      </c>
      <c r="AF547" s="350">
        <v>102616424.4713189</v>
      </c>
      <c r="AG547" s="350">
        <v>103458084.43335506</v>
      </c>
      <c r="AH547" s="350">
        <v>104264477.6138235</v>
      </c>
      <c r="AI547" s="350">
        <v>105072787.00600803</v>
      </c>
      <c r="AJ547" s="350">
        <v>105885523.46498701</v>
      </c>
      <c r="AK547" s="348">
        <v>521297296.98949254</v>
      </c>
      <c r="AL547" s="369"/>
      <c r="AM547" s="350">
        <v>134142595.88719068</v>
      </c>
      <c r="AN547" s="350">
        <v>167124551.74480966</v>
      </c>
      <c r="AO547" s="350">
        <v>200557403.45169869</v>
      </c>
      <c r="AP547" s="350">
        <v>234491528.9919953</v>
      </c>
      <c r="AQ547" s="350">
        <v>268935077.10557187</v>
      </c>
      <c r="AR547" s="348">
        <v>1005251157.1812662</v>
      </c>
      <c r="AS547" s="369"/>
      <c r="AT547" s="350">
        <f t="shared" si="243"/>
        <v>31526171.415871784</v>
      </c>
      <c r="AU547" s="350">
        <f t="shared" si="226"/>
        <v>63666467.311454594</v>
      </c>
      <c r="AV547" s="350">
        <f t="shared" si="227"/>
        <v>96292925.837875187</v>
      </c>
      <c r="AW547" s="350">
        <f t="shared" si="228"/>
        <v>129418741.98598728</v>
      </c>
      <c r="AX547" s="350">
        <f t="shared" si="229"/>
        <v>163049553.64058486</v>
      </c>
      <c r="AY547" s="350">
        <f t="shared" si="230"/>
        <v>483953860.19177365</v>
      </c>
      <c r="AZ547" s="365"/>
      <c r="BA547" s="377">
        <f t="shared" si="231"/>
        <v>0</v>
      </c>
      <c r="BB547" s="377">
        <f t="shared" si="232"/>
        <v>0</v>
      </c>
      <c r="BC547" s="377">
        <f t="shared" si="233"/>
        <v>0</v>
      </c>
      <c r="BD547" s="377">
        <f t="shared" si="234"/>
        <v>0</v>
      </c>
      <c r="BE547" s="377">
        <f t="shared" si="235"/>
        <v>0</v>
      </c>
      <c r="BF547" s="377">
        <f t="shared" si="236"/>
        <v>0</v>
      </c>
      <c r="BG547" s="328"/>
    </row>
    <row r="548" spans="2:59">
      <c r="B548" s="332">
        <v>533</v>
      </c>
      <c r="C548" s="350">
        <v>111792555.03613821</v>
      </c>
      <c r="D548" s="350">
        <v>112709477.625406</v>
      </c>
      <c r="E548" s="350">
        <v>113587979.81911165</v>
      </c>
      <c r="F548" s="350">
        <v>114468569.57535747</v>
      </c>
      <c r="G548" s="350">
        <v>115353982.27403988</v>
      </c>
      <c r="H548" s="348">
        <v>567912564.33005321</v>
      </c>
      <c r="I548" s="369"/>
      <c r="J548" s="350">
        <v>142875384.9165248</v>
      </c>
      <c r="K548" s="350">
        <v>175516129.30732837</v>
      </c>
      <c r="L548" s="350">
        <v>208598332.65725729</v>
      </c>
      <c r="M548" s="350">
        <v>242175514.33147711</v>
      </c>
      <c r="N548" s="350">
        <v>276255973.73042589</v>
      </c>
      <c r="O548" s="348">
        <v>1045421334.9430134</v>
      </c>
      <c r="P548" s="369"/>
      <c r="Q548" s="350">
        <f t="shared" si="237"/>
        <v>31082829.880386591</v>
      </c>
      <c r="R548" s="350">
        <f t="shared" si="238"/>
        <v>62806651.681922376</v>
      </c>
      <c r="S548" s="350">
        <f t="shared" si="239"/>
        <v>95010352.838145643</v>
      </c>
      <c r="T548" s="350">
        <f t="shared" si="240"/>
        <v>127706944.75611964</v>
      </c>
      <c r="U548" s="350">
        <f t="shared" si="241"/>
        <v>160901991.45638603</v>
      </c>
      <c r="V548" s="350">
        <f t="shared" si="242"/>
        <v>477508770.61296022</v>
      </c>
      <c r="W548" s="365"/>
      <c r="X548" s="377">
        <f t="shared" si="220"/>
        <v>0</v>
      </c>
      <c r="Y548" s="377">
        <f t="shared" si="221"/>
        <v>0</v>
      </c>
      <c r="Z548" s="377">
        <f t="shared" si="222"/>
        <v>0</v>
      </c>
      <c r="AA548" s="377">
        <f t="shared" si="223"/>
        <v>0</v>
      </c>
      <c r="AB548" s="377">
        <f t="shared" si="224"/>
        <v>0</v>
      </c>
      <c r="AC548" s="377">
        <f t="shared" si="225"/>
        <v>0</v>
      </c>
      <c r="AD548" s="376"/>
      <c r="AE548" s="332">
        <v>533</v>
      </c>
      <c r="AF548" s="350">
        <v>132148785.6321905</v>
      </c>
      <c r="AG548" s="350">
        <v>133232670.03443253</v>
      </c>
      <c r="AH548" s="350">
        <v>134271138.09731823</v>
      </c>
      <c r="AI548" s="350">
        <v>135312073.84559247</v>
      </c>
      <c r="AJ548" s="350">
        <v>136358710.74262354</v>
      </c>
      <c r="AK548" s="348">
        <v>671323378.35215735</v>
      </c>
      <c r="AL548" s="369"/>
      <c r="AM548" s="350">
        <v>167571271.93529385</v>
      </c>
      <c r="AN548" s="350">
        <v>204751401.32161674</v>
      </c>
      <c r="AO548" s="350">
        <v>242432108.21027213</v>
      </c>
      <c r="AP548" s="350">
        <v>280676101.48005486</v>
      </c>
      <c r="AQ548" s="350">
        <v>319492946.78170264</v>
      </c>
      <c r="AR548" s="348">
        <v>1214923829.72894</v>
      </c>
      <c r="AS548" s="369"/>
      <c r="AT548" s="350">
        <f t="shared" si="243"/>
        <v>35422486.303103358</v>
      </c>
      <c r="AU548" s="350">
        <f t="shared" si="226"/>
        <v>71518731.287184209</v>
      </c>
      <c r="AV548" s="350">
        <f t="shared" si="227"/>
        <v>108160970.1129539</v>
      </c>
      <c r="AW548" s="350">
        <f t="shared" si="228"/>
        <v>145364027.63446239</v>
      </c>
      <c r="AX548" s="350">
        <f t="shared" si="229"/>
        <v>183134236.0390791</v>
      </c>
      <c r="AY548" s="350">
        <f t="shared" si="230"/>
        <v>543600451.37678266</v>
      </c>
      <c r="AZ548" s="365"/>
      <c r="BA548" s="377">
        <f t="shared" si="231"/>
        <v>0</v>
      </c>
      <c r="BB548" s="377">
        <f t="shared" si="232"/>
        <v>0</v>
      </c>
      <c r="BC548" s="377">
        <f t="shared" si="233"/>
        <v>0</v>
      </c>
      <c r="BD548" s="377">
        <f t="shared" si="234"/>
        <v>0</v>
      </c>
      <c r="BE548" s="377">
        <f t="shared" si="235"/>
        <v>0</v>
      </c>
      <c r="BF548" s="377">
        <f t="shared" si="236"/>
        <v>0</v>
      </c>
      <c r="BG548" s="328"/>
    </row>
    <row r="549" spans="2:59">
      <c r="B549" s="332">
        <v>534</v>
      </c>
      <c r="C549" s="350">
        <v>139686199.82651794</v>
      </c>
      <c r="D549" s="350">
        <v>140831906.10354596</v>
      </c>
      <c r="E549" s="350">
        <v>141929605.61437955</v>
      </c>
      <c r="F549" s="350">
        <v>143029913.56079313</v>
      </c>
      <c r="G549" s="350">
        <v>144136247.83427942</v>
      </c>
      <c r="H549" s="348">
        <v>709613872.93951607</v>
      </c>
      <c r="I549" s="369"/>
      <c r="J549" s="350">
        <v>177312458.99459273</v>
      </c>
      <c r="K549" s="350">
        <v>216824622.71214908</v>
      </c>
      <c r="L549" s="350">
        <v>256869124.21446028</v>
      </c>
      <c r="M549" s="350">
        <v>297512327.23269421</v>
      </c>
      <c r="N549" s="350">
        <v>338764379.53926456</v>
      </c>
      <c r="O549" s="348">
        <v>1287282912.693161</v>
      </c>
      <c r="P549" s="369"/>
      <c r="Q549" s="350">
        <f t="shared" si="237"/>
        <v>37626259.168074787</v>
      </c>
      <c r="R549" s="350">
        <f t="shared" si="238"/>
        <v>75992716.60860312</v>
      </c>
      <c r="S549" s="350">
        <f t="shared" si="239"/>
        <v>114939518.60008073</v>
      </c>
      <c r="T549" s="350">
        <f t="shared" si="240"/>
        <v>154482413.67190108</v>
      </c>
      <c r="U549" s="350">
        <f t="shared" si="241"/>
        <v>194628131.70498514</v>
      </c>
      <c r="V549" s="350">
        <f t="shared" si="242"/>
        <v>577669039.75364494</v>
      </c>
      <c r="W549" s="365"/>
      <c r="X549" s="377">
        <f t="shared" si="220"/>
        <v>0</v>
      </c>
      <c r="Y549" s="377">
        <f t="shared" si="221"/>
        <v>0</v>
      </c>
      <c r="Z549" s="377">
        <f t="shared" si="222"/>
        <v>0</v>
      </c>
      <c r="AA549" s="377">
        <f t="shared" si="223"/>
        <v>0</v>
      </c>
      <c r="AB549" s="377">
        <f t="shared" si="224"/>
        <v>0</v>
      </c>
      <c r="AC549" s="377">
        <f t="shared" si="225"/>
        <v>0</v>
      </c>
      <c r="AD549" s="376"/>
      <c r="AE549" s="332">
        <v>534</v>
      </c>
      <c r="AF549" s="350">
        <v>110729468.02131854</v>
      </c>
      <c r="AG549" s="350">
        <v>111637671.17038801</v>
      </c>
      <c r="AH549" s="350">
        <v>112507819.28117362</v>
      </c>
      <c r="AI549" s="350">
        <v>113380035.10290343</v>
      </c>
      <c r="AJ549" s="350">
        <v>114257028.00348373</v>
      </c>
      <c r="AK549" s="348">
        <v>562512021.57926726</v>
      </c>
      <c r="AL549" s="369"/>
      <c r="AM549" s="350">
        <v>145237503.09395516</v>
      </c>
      <c r="AN549" s="350">
        <v>181328078.23452488</v>
      </c>
      <c r="AO549" s="350">
        <v>217912777.20007011</v>
      </c>
      <c r="AP549" s="350">
        <v>255046165.88059247</v>
      </c>
      <c r="AQ549" s="350">
        <v>292737125.1056571</v>
      </c>
      <c r="AR549" s="348">
        <v>1092261649.5147996</v>
      </c>
      <c r="AS549" s="369"/>
      <c r="AT549" s="350">
        <f t="shared" si="243"/>
        <v>34508035.072636619</v>
      </c>
      <c r="AU549" s="350">
        <f t="shared" si="226"/>
        <v>69690407.064136863</v>
      </c>
      <c r="AV549" s="350">
        <f t="shared" si="227"/>
        <v>105404957.9188965</v>
      </c>
      <c r="AW549" s="350">
        <f t="shared" si="228"/>
        <v>141666130.77768904</v>
      </c>
      <c r="AX549" s="350">
        <f t="shared" si="229"/>
        <v>178480097.10217339</v>
      </c>
      <c r="AY549" s="350">
        <f t="shared" si="230"/>
        <v>529749627.93553233</v>
      </c>
      <c r="AZ549" s="365"/>
      <c r="BA549" s="377">
        <f t="shared" si="231"/>
        <v>0</v>
      </c>
      <c r="BB549" s="377">
        <f t="shared" si="232"/>
        <v>0</v>
      </c>
      <c r="BC549" s="377">
        <f t="shared" si="233"/>
        <v>0</v>
      </c>
      <c r="BD549" s="377">
        <f t="shared" si="234"/>
        <v>0</v>
      </c>
      <c r="BE549" s="377">
        <f t="shared" si="235"/>
        <v>0</v>
      </c>
      <c r="BF549" s="377">
        <f t="shared" si="236"/>
        <v>0</v>
      </c>
      <c r="BG549" s="328"/>
    </row>
    <row r="550" spans="2:59">
      <c r="B550" s="332">
        <v>535</v>
      </c>
      <c r="C550" s="350">
        <v>146850786.35689765</v>
      </c>
      <c r="D550" s="350">
        <v>148055256.57603568</v>
      </c>
      <c r="E550" s="350">
        <v>149209257.73398602</v>
      </c>
      <c r="F550" s="350">
        <v>150366001.11569628</v>
      </c>
      <c r="G550" s="350">
        <v>151529079.91830397</v>
      </c>
      <c r="H550" s="348">
        <v>746010381.70091963</v>
      </c>
      <c r="I550" s="369"/>
      <c r="J550" s="350">
        <v>186294077.3102307</v>
      </c>
      <c r="K550" s="350">
        <v>227718013.74315408</v>
      </c>
      <c r="L550" s="350">
        <v>269699855.03643829</v>
      </c>
      <c r="M550" s="350">
        <v>312309321.53877956</v>
      </c>
      <c r="N550" s="350">
        <v>355557061.36022705</v>
      </c>
      <c r="O550" s="348">
        <v>1351578328.9888296</v>
      </c>
      <c r="P550" s="369"/>
      <c r="Q550" s="350">
        <f t="shared" si="237"/>
        <v>39443290.95333305</v>
      </c>
      <c r="R550" s="350">
        <f t="shared" si="238"/>
        <v>79662757.1671184</v>
      </c>
      <c r="S550" s="350">
        <f t="shared" si="239"/>
        <v>120490597.30245227</v>
      </c>
      <c r="T550" s="350">
        <f t="shared" si="240"/>
        <v>161943320.42308328</v>
      </c>
      <c r="U550" s="350">
        <f t="shared" si="241"/>
        <v>204027981.44192308</v>
      </c>
      <c r="V550" s="350">
        <f t="shared" si="242"/>
        <v>605567947.28790998</v>
      </c>
      <c r="W550" s="365"/>
      <c r="X550" s="377">
        <f t="shared" si="220"/>
        <v>0</v>
      </c>
      <c r="Y550" s="377">
        <f t="shared" si="221"/>
        <v>0</v>
      </c>
      <c r="Z550" s="377">
        <f t="shared" si="222"/>
        <v>0</v>
      </c>
      <c r="AA550" s="377">
        <f t="shared" si="223"/>
        <v>0</v>
      </c>
      <c r="AB550" s="377">
        <f t="shared" si="224"/>
        <v>0</v>
      </c>
      <c r="AC550" s="377">
        <f t="shared" si="225"/>
        <v>0</v>
      </c>
      <c r="AD550" s="376"/>
      <c r="AE550" s="332">
        <v>535</v>
      </c>
      <c r="AF550" s="350">
        <v>122453244.89405584</v>
      </c>
      <c r="AG550" s="350">
        <v>123457606.46657917</v>
      </c>
      <c r="AH550" s="350">
        <v>124419883.82244632</v>
      </c>
      <c r="AI550" s="350">
        <v>125384447.81365222</v>
      </c>
      <c r="AJ550" s="350">
        <v>126354294.66963485</v>
      </c>
      <c r="AK550" s="348">
        <v>622069477.66636837</v>
      </c>
      <c r="AL550" s="369"/>
      <c r="AM550" s="350">
        <v>154415168.32880938</v>
      </c>
      <c r="AN550" s="350">
        <v>188023083.17883992</v>
      </c>
      <c r="AO550" s="350">
        <v>222082092.5927794</v>
      </c>
      <c r="AP550" s="350">
        <v>256649945.85017732</v>
      </c>
      <c r="AQ550" s="350">
        <v>291735357.89441484</v>
      </c>
      <c r="AR550" s="348">
        <v>1112905647.8450208</v>
      </c>
      <c r="AS550" s="369"/>
      <c r="AT550" s="350">
        <f t="shared" si="243"/>
        <v>31961923.434753537</v>
      </c>
      <c r="AU550" s="350">
        <f t="shared" si="226"/>
        <v>64565476.712260753</v>
      </c>
      <c r="AV550" s="350">
        <f t="shared" si="227"/>
        <v>97662208.770333081</v>
      </c>
      <c r="AW550" s="350">
        <f t="shared" si="228"/>
        <v>131265498.0365251</v>
      </c>
      <c r="AX550" s="350">
        <f t="shared" si="229"/>
        <v>165381063.22477999</v>
      </c>
      <c r="AY550" s="350">
        <f t="shared" si="230"/>
        <v>490836170.17865241</v>
      </c>
      <c r="AZ550" s="365"/>
      <c r="BA550" s="377">
        <f t="shared" si="231"/>
        <v>0</v>
      </c>
      <c r="BB550" s="377">
        <f t="shared" si="232"/>
        <v>0</v>
      </c>
      <c r="BC550" s="377">
        <f t="shared" si="233"/>
        <v>0</v>
      </c>
      <c r="BD550" s="377">
        <f t="shared" si="234"/>
        <v>0</v>
      </c>
      <c r="BE550" s="377">
        <f t="shared" si="235"/>
        <v>0</v>
      </c>
      <c r="BF550" s="377">
        <f t="shared" si="236"/>
        <v>0</v>
      </c>
      <c r="BG550" s="328"/>
    </row>
    <row r="551" spans="2:59">
      <c r="B551" s="332">
        <v>536</v>
      </c>
      <c r="C551" s="350">
        <v>107074312.05255544</v>
      </c>
      <c r="D551" s="350">
        <v>107952535.61064079</v>
      </c>
      <c r="E551" s="350">
        <v>108793960.31908661</v>
      </c>
      <c r="F551" s="350">
        <v>109637384.48378229</v>
      </c>
      <c r="G551" s="350">
        <v>110485428.03698103</v>
      </c>
      <c r="H551" s="348">
        <v>543943620.50304615</v>
      </c>
      <c r="I551" s="369"/>
      <c r="J551" s="350">
        <v>140099048.18097067</v>
      </c>
      <c r="K551" s="350">
        <v>174644706.74882412</v>
      </c>
      <c r="L551" s="350">
        <v>209662828.72315475</v>
      </c>
      <c r="M551" s="350">
        <v>245206034.57696244</v>
      </c>
      <c r="N551" s="350">
        <v>281282850.02421421</v>
      </c>
      <c r="O551" s="348">
        <v>1050895468.2541263</v>
      </c>
      <c r="P551" s="369"/>
      <c r="Q551" s="350">
        <f t="shared" si="237"/>
        <v>33024736.128415227</v>
      </c>
      <c r="R551" s="350">
        <f t="shared" si="238"/>
        <v>66692171.138183326</v>
      </c>
      <c r="S551" s="350">
        <f t="shared" si="239"/>
        <v>100868868.40406814</v>
      </c>
      <c r="T551" s="350">
        <f t="shared" si="240"/>
        <v>135568650.09318015</v>
      </c>
      <c r="U551" s="350">
        <f t="shared" si="241"/>
        <v>170797421.98723316</v>
      </c>
      <c r="V551" s="350">
        <f t="shared" si="242"/>
        <v>506951847.75108016</v>
      </c>
      <c r="W551" s="365"/>
      <c r="X551" s="377">
        <f t="shared" si="220"/>
        <v>0</v>
      </c>
      <c r="Y551" s="377">
        <f t="shared" si="221"/>
        <v>0</v>
      </c>
      <c r="Z551" s="377">
        <f t="shared" si="222"/>
        <v>0</v>
      </c>
      <c r="AA551" s="377">
        <f t="shared" si="223"/>
        <v>0</v>
      </c>
      <c r="AB551" s="377">
        <f t="shared" si="224"/>
        <v>0</v>
      </c>
      <c r="AC551" s="377">
        <f t="shared" si="225"/>
        <v>0</v>
      </c>
      <c r="AD551" s="376"/>
      <c r="AE551" s="332">
        <v>536</v>
      </c>
      <c r="AF551" s="350">
        <v>111685966.72882719</v>
      </c>
      <c r="AG551" s="350">
        <v>112602015.08074799</v>
      </c>
      <c r="AH551" s="350">
        <v>113479679.66892827</v>
      </c>
      <c r="AI551" s="350">
        <v>114359429.82926787</v>
      </c>
      <c r="AJ551" s="350">
        <v>115243998.33362269</v>
      </c>
      <c r="AK551" s="348">
        <v>567371089.64139402</v>
      </c>
      <c r="AL551" s="369"/>
      <c r="AM551" s="350">
        <v>140820978.2210499</v>
      </c>
      <c r="AN551" s="350">
        <v>171437883.46029013</v>
      </c>
      <c r="AO551" s="350">
        <v>202465667.17974201</v>
      </c>
      <c r="AP551" s="350">
        <v>233956992.81358823</v>
      </c>
      <c r="AQ551" s="350">
        <v>265919803.14338759</v>
      </c>
      <c r="AR551" s="348">
        <v>1014601324.8180579</v>
      </c>
      <c r="AS551" s="369"/>
      <c r="AT551" s="350">
        <f t="shared" si="243"/>
        <v>29135011.492222711</v>
      </c>
      <c r="AU551" s="350">
        <f t="shared" si="226"/>
        <v>58835868.379542142</v>
      </c>
      <c r="AV551" s="350">
        <f t="shared" si="227"/>
        <v>88985987.510813743</v>
      </c>
      <c r="AW551" s="350">
        <f t="shared" si="228"/>
        <v>119597562.98432036</v>
      </c>
      <c r="AX551" s="350">
        <f t="shared" si="229"/>
        <v>150675804.80976489</v>
      </c>
      <c r="AY551" s="350">
        <f t="shared" si="230"/>
        <v>447230235.17666388</v>
      </c>
      <c r="AZ551" s="365"/>
      <c r="BA551" s="377">
        <f t="shared" si="231"/>
        <v>0</v>
      </c>
      <c r="BB551" s="377">
        <f t="shared" si="232"/>
        <v>0</v>
      </c>
      <c r="BC551" s="377">
        <f t="shared" si="233"/>
        <v>0</v>
      </c>
      <c r="BD551" s="377">
        <f t="shared" si="234"/>
        <v>0</v>
      </c>
      <c r="BE551" s="377">
        <f t="shared" si="235"/>
        <v>0</v>
      </c>
      <c r="BF551" s="377">
        <f t="shared" si="236"/>
        <v>0</v>
      </c>
      <c r="BG551" s="328"/>
    </row>
    <row r="552" spans="2:59">
      <c r="B552" s="332">
        <v>537</v>
      </c>
      <c r="C552" s="350">
        <v>110049883.18116681</v>
      </c>
      <c r="D552" s="350">
        <v>110952512.37505606</v>
      </c>
      <c r="E552" s="350">
        <v>111817320.08752361</v>
      </c>
      <c r="F552" s="350">
        <v>112684182.820682</v>
      </c>
      <c r="G552" s="350">
        <v>113555793.31411442</v>
      </c>
      <c r="H552" s="348">
        <v>559059691.77854288</v>
      </c>
      <c r="I552" s="369"/>
      <c r="J552" s="350">
        <v>138442608.58598691</v>
      </c>
      <c r="K552" s="350">
        <v>168315209.39142624</v>
      </c>
      <c r="L552" s="350">
        <v>198588207.35617101</v>
      </c>
      <c r="M552" s="350">
        <v>229313363.84049129</v>
      </c>
      <c r="N552" s="350">
        <v>260498452.79663727</v>
      </c>
      <c r="O552" s="348">
        <v>995157841.97071278</v>
      </c>
      <c r="P552" s="369"/>
      <c r="Q552" s="350">
        <f t="shared" si="237"/>
        <v>28392725.404820099</v>
      </c>
      <c r="R552" s="350">
        <f t="shared" si="238"/>
        <v>57362697.016370177</v>
      </c>
      <c r="S552" s="350">
        <f t="shared" si="239"/>
        <v>86770887.268647403</v>
      </c>
      <c r="T552" s="350">
        <f t="shared" si="240"/>
        <v>116629181.01980929</v>
      </c>
      <c r="U552" s="350">
        <f t="shared" si="241"/>
        <v>146942659.48252285</v>
      </c>
      <c r="V552" s="350">
        <f t="shared" si="242"/>
        <v>436098150.1921699</v>
      </c>
      <c r="W552" s="365"/>
      <c r="X552" s="377">
        <f t="shared" si="220"/>
        <v>0</v>
      </c>
      <c r="Y552" s="377">
        <f t="shared" si="221"/>
        <v>0</v>
      </c>
      <c r="Z552" s="377">
        <f t="shared" si="222"/>
        <v>0</v>
      </c>
      <c r="AA552" s="377">
        <f t="shared" si="223"/>
        <v>0</v>
      </c>
      <c r="AB552" s="377">
        <f t="shared" si="224"/>
        <v>0</v>
      </c>
      <c r="AC552" s="377">
        <f t="shared" si="225"/>
        <v>0</v>
      </c>
      <c r="AD552" s="376"/>
      <c r="AE552" s="332">
        <v>537</v>
      </c>
      <c r="AF552" s="350">
        <v>101196883.0622196</v>
      </c>
      <c r="AG552" s="350">
        <v>102026899.94494711</v>
      </c>
      <c r="AH552" s="350">
        <v>102822137.90813345</v>
      </c>
      <c r="AI552" s="350">
        <v>103619265.57517523</v>
      </c>
      <c r="AJ552" s="350">
        <v>104420759.06730805</v>
      </c>
      <c r="AK552" s="348">
        <v>514085945.55778342</v>
      </c>
      <c r="AL552" s="369"/>
      <c r="AM552" s="350">
        <v>124923537.35987195</v>
      </c>
      <c r="AN552" s="350">
        <v>149963749.51126716</v>
      </c>
      <c r="AO552" s="350">
        <v>175335402.44570974</v>
      </c>
      <c r="AP552" s="350">
        <v>201085096.54715553</v>
      </c>
      <c r="AQ552" s="350">
        <v>227219554.27812496</v>
      </c>
      <c r="AR552" s="348">
        <v>878527340.1421293</v>
      </c>
      <c r="AS552" s="369"/>
      <c r="AT552" s="350">
        <f t="shared" si="243"/>
        <v>23726654.297652349</v>
      </c>
      <c r="AU552" s="350">
        <f t="shared" si="226"/>
        <v>47936849.566320047</v>
      </c>
      <c r="AV552" s="350">
        <f t="shared" si="227"/>
        <v>72513264.537576288</v>
      </c>
      <c r="AW552" s="350">
        <f t="shared" si="228"/>
        <v>97465830.971980304</v>
      </c>
      <c r="AX552" s="350">
        <f t="shared" si="229"/>
        <v>122798795.2108169</v>
      </c>
      <c r="AY552" s="350">
        <f t="shared" si="230"/>
        <v>364441394.58434588</v>
      </c>
      <c r="AZ552" s="365"/>
      <c r="BA552" s="377">
        <f t="shared" si="231"/>
        <v>0</v>
      </c>
      <c r="BB552" s="377">
        <f t="shared" si="232"/>
        <v>0</v>
      </c>
      <c r="BC552" s="377">
        <f t="shared" si="233"/>
        <v>0</v>
      </c>
      <c r="BD552" s="377">
        <f t="shared" si="234"/>
        <v>0</v>
      </c>
      <c r="BE552" s="377">
        <f t="shared" si="235"/>
        <v>0</v>
      </c>
      <c r="BF552" s="377">
        <f t="shared" si="236"/>
        <v>0</v>
      </c>
      <c r="BG552" s="328"/>
    </row>
    <row r="553" spans="2:59">
      <c r="B553" s="332">
        <v>538</v>
      </c>
      <c r="C553" s="350">
        <v>141326332.86927062</v>
      </c>
      <c r="D553" s="350">
        <v>142485491.51829082</v>
      </c>
      <c r="E553" s="350">
        <v>143596079.72708428</v>
      </c>
      <c r="F553" s="350">
        <v>144709306.99854472</v>
      </c>
      <c r="G553" s="350">
        <v>145828631.35552192</v>
      </c>
      <c r="H553" s="348">
        <v>717945842.46871233</v>
      </c>
      <c r="I553" s="369"/>
      <c r="J553" s="350">
        <v>179272540.98632094</v>
      </c>
      <c r="K553" s="350">
        <v>219117954.08338496</v>
      </c>
      <c r="L553" s="350">
        <v>259499975.67244452</v>
      </c>
      <c r="M553" s="350">
        <v>300485697.34274101</v>
      </c>
      <c r="N553" s="350">
        <v>342085363.24057782</v>
      </c>
      <c r="O553" s="348">
        <v>1300461531.3254693</v>
      </c>
      <c r="P553" s="369"/>
      <c r="Q553" s="350">
        <f t="shared" si="237"/>
        <v>37946208.11705032</v>
      </c>
      <c r="R553" s="350">
        <f t="shared" si="238"/>
        <v>76632462.565094143</v>
      </c>
      <c r="S553" s="350">
        <f t="shared" si="239"/>
        <v>115903895.94536024</v>
      </c>
      <c r="T553" s="350">
        <f t="shared" si="240"/>
        <v>155776390.34419629</v>
      </c>
      <c r="U553" s="350">
        <f t="shared" si="241"/>
        <v>196256731.8850559</v>
      </c>
      <c r="V553" s="350">
        <f t="shared" si="242"/>
        <v>582515688.85675693</v>
      </c>
      <c r="W553" s="365"/>
      <c r="X553" s="377">
        <f t="shared" si="220"/>
        <v>0</v>
      </c>
      <c r="Y553" s="377">
        <f t="shared" si="221"/>
        <v>0</v>
      </c>
      <c r="Z553" s="377">
        <f t="shared" si="222"/>
        <v>0</v>
      </c>
      <c r="AA553" s="377">
        <f t="shared" si="223"/>
        <v>0</v>
      </c>
      <c r="AB553" s="377">
        <f t="shared" si="224"/>
        <v>0</v>
      </c>
      <c r="AC553" s="377">
        <f t="shared" si="225"/>
        <v>0</v>
      </c>
      <c r="AD553" s="376"/>
      <c r="AE553" s="332">
        <v>538</v>
      </c>
      <c r="AF553" s="350">
        <v>135142419.07755399</v>
      </c>
      <c r="AG553" s="350">
        <v>136250857.26273048</v>
      </c>
      <c r="AH553" s="350">
        <v>137312850.26918733</v>
      </c>
      <c r="AI553" s="350">
        <v>138377366.86276108</v>
      </c>
      <c r="AJ553" s="350">
        <v>139447713.7561051</v>
      </c>
      <c r="AK553" s="348">
        <v>686531207.22833788</v>
      </c>
      <c r="AL553" s="369"/>
      <c r="AM553" s="350">
        <v>168563254.38224649</v>
      </c>
      <c r="AN553" s="350">
        <v>203747472.59322146</v>
      </c>
      <c r="AO553" s="350">
        <v>239400686.71168169</v>
      </c>
      <c r="AP553" s="350">
        <v>275585853.70596635</v>
      </c>
      <c r="AQ553" s="350">
        <v>312312257.59705943</v>
      </c>
      <c r="AR553" s="348">
        <v>1199609524.9901755</v>
      </c>
      <c r="AS553" s="369"/>
      <c r="AT553" s="350">
        <f t="shared" si="243"/>
        <v>33420835.304692507</v>
      </c>
      <c r="AU553" s="350">
        <f t="shared" si="226"/>
        <v>67496615.330490977</v>
      </c>
      <c r="AV553" s="350">
        <f t="shared" si="227"/>
        <v>102087836.44249436</v>
      </c>
      <c r="AW553" s="350">
        <f t="shared" si="228"/>
        <v>137208486.84320527</v>
      </c>
      <c r="AX553" s="350">
        <f t="shared" si="229"/>
        <v>172864543.84095433</v>
      </c>
      <c r="AY553" s="350">
        <f t="shared" si="230"/>
        <v>513078317.7618376</v>
      </c>
      <c r="AZ553" s="365"/>
      <c r="BA553" s="377">
        <f t="shared" si="231"/>
        <v>0</v>
      </c>
      <c r="BB553" s="377">
        <f t="shared" si="232"/>
        <v>0</v>
      </c>
      <c r="BC553" s="377">
        <f t="shared" si="233"/>
        <v>0</v>
      </c>
      <c r="BD553" s="377">
        <f t="shared" si="234"/>
        <v>0</v>
      </c>
      <c r="BE553" s="377">
        <f t="shared" si="235"/>
        <v>0</v>
      </c>
      <c r="BF553" s="377">
        <f t="shared" si="236"/>
        <v>0</v>
      </c>
      <c r="BG553" s="328"/>
    </row>
    <row r="554" spans="2:59">
      <c r="B554" s="332">
        <v>539</v>
      </c>
      <c r="C554" s="350">
        <v>144426236.56464192</v>
      </c>
      <c r="D554" s="350">
        <v>145610820.62523741</v>
      </c>
      <c r="E554" s="350">
        <v>146745768.88372985</v>
      </c>
      <c r="F554" s="350">
        <v>147883414.09105918</v>
      </c>
      <c r="G554" s="350">
        <v>149027290.11961851</v>
      </c>
      <c r="H554" s="348">
        <v>733693530.28428686</v>
      </c>
      <c r="I554" s="369"/>
      <c r="J554" s="350">
        <v>180847773.01515883</v>
      </c>
      <c r="K554" s="350">
        <v>219175807.867376</v>
      </c>
      <c r="L554" s="350">
        <v>258016054.34351683</v>
      </c>
      <c r="M554" s="350">
        <v>297436089.78627455</v>
      </c>
      <c r="N554" s="350">
        <v>337445963.29739904</v>
      </c>
      <c r="O554" s="348">
        <v>1292921688.3097253</v>
      </c>
      <c r="P554" s="369"/>
      <c r="Q554" s="350">
        <f t="shared" si="237"/>
        <v>36421536.450516909</v>
      </c>
      <c r="R554" s="350">
        <f t="shared" si="238"/>
        <v>73564987.242138594</v>
      </c>
      <c r="S554" s="350">
        <f t="shared" si="239"/>
        <v>111270285.45978698</v>
      </c>
      <c r="T554" s="350">
        <f t="shared" si="240"/>
        <v>149552675.69521537</v>
      </c>
      <c r="U554" s="350">
        <f t="shared" si="241"/>
        <v>188418673.17778054</v>
      </c>
      <c r="V554" s="350">
        <f t="shared" si="242"/>
        <v>559228158.02543843</v>
      </c>
      <c r="W554" s="365"/>
      <c r="X554" s="377">
        <f t="shared" si="220"/>
        <v>0</v>
      </c>
      <c r="Y554" s="377">
        <f t="shared" si="221"/>
        <v>0</v>
      </c>
      <c r="Z554" s="377">
        <f t="shared" si="222"/>
        <v>0</v>
      </c>
      <c r="AA554" s="377">
        <f t="shared" si="223"/>
        <v>0</v>
      </c>
      <c r="AB554" s="377">
        <f t="shared" si="224"/>
        <v>0</v>
      </c>
      <c r="AC554" s="377">
        <f t="shared" si="225"/>
        <v>0</v>
      </c>
      <c r="AD554" s="376"/>
      <c r="AE554" s="332">
        <v>539</v>
      </c>
      <c r="AF554" s="350">
        <v>119213702.0625401</v>
      </c>
      <c r="AG554" s="350">
        <v>120191492.90322751</v>
      </c>
      <c r="AH554" s="350">
        <v>121128312.87972647</v>
      </c>
      <c r="AI554" s="350">
        <v>122067358.99783763</v>
      </c>
      <c r="AJ554" s="350">
        <v>123011548.2207156</v>
      </c>
      <c r="AK554" s="348">
        <v>605612415.06404734</v>
      </c>
      <c r="AL554" s="369"/>
      <c r="AM554" s="350">
        <v>146435952.93309626</v>
      </c>
      <c r="AN554" s="350">
        <v>175196151.04943833</v>
      </c>
      <c r="AO554" s="350">
        <v>204335636.17095485</v>
      </c>
      <c r="AP554" s="350">
        <v>233909000.5875096</v>
      </c>
      <c r="AQ554" s="350">
        <v>263924034.02846709</v>
      </c>
      <c r="AR554" s="348">
        <v>1023800774.7694662</v>
      </c>
      <c r="AS554" s="369"/>
      <c r="AT554" s="350">
        <f t="shared" si="243"/>
        <v>27222250.870556161</v>
      </c>
      <c r="AU554" s="350">
        <f t="shared" si="226"/>
        <v>55004658.146210819</v>
      </c>
      <c r="AV554" s="350">
        <f t="shared" si="227"/>
        <v>83207323.291228384</v>
      </c>
      <c r="AW554" s="350">
        <f t="shared" si="228"/>
        <v>111841641.58967197</v>
      </c>
      <c r="AX554" s="350">
        <f t="shared" si="229"/>
        <v>140912485.80775148</v>
      </c>
      <c r="AY554" s="350">
        <f t="shared" si="230"/>
        <v>418188359.70541883</v>
      </c>
      <c r="AZ554" s="365"/>
      <c r="BA554" s="377">
        <f t="shared" si="231"/>
        <v>0</v>
      </c>
      <c r="BB554" s="377">
        <f t="shared" si="232"/>
        <v>0</v>
      </c>
      <c r="BC554" s="377">
        <f t="shared" si="233"/>
        <v>0</v>
      </c>
      <c r="BD554" s="377">
        <f t="shared" si="234"/>
        <v>0</v>
      </c>
      <c r="BE554" s="377">
        <f t="shared" si="235"/>
        <v>0</v>
      </c>
      <c r="BF554" s="377">
        <f t="shared" si="236"/>
        <v>0</v>
      </c>
      <c r="BG554" s="328"/>
    </row>
    <row r="555" spans="2:59">
      <c r="B555" s="332">
        <v>540</v>
      </c>
      <c r="C555" s="350">
        <v>144851025.44152731</v>
      </c>
      <c r="D555" s="350">
        <v>146039093.62069181</v>
      </c>
      <c r="E555" s="350">
        <v>147177380.00809714</v>
      </c>
      <c r="F555" s="350">
        <v>148318371.27665061</v>
      </c>
      <c r="G555" s="350">
        <v>149465611.69263029</v>
      </c>
      <c r="H555" s="348">
        <v>735851482.03959727</v>
      </c>
      <c r="I555" s="369"/>
      <c r="J555" s="350">
        <v>183840389.38020018</v>
      </c>
      <c r="K555" s="350">
        <v>224787261.39920098</v>
      </c>
      <c r="L555" s="350">
        <v>266285758.42144582</v>
      </c>
      <c r="M555" s="350">
        <v>308404686.31366694</v>
      </c>
      <c r="N555" s="350">
        <v>351154563.40005481</v>
      </c>
      <c r="O555" s="348">
        <v>1334472658.9145689</v>
      </c>
      <c r="P555" s="369"/>
      <c r="Q555" s="350">
        <f t="shared" si="237"/>
        <v>38989363.93867287</v>
      </c>
      <c r="R555" s="350">
        <f t="shared" si="238"/>
        <v>78748167.77850917</v>
      </c>
      <c r="S555" s="350">
        <f t="shared" si="239"/>
        <v>119108378.41334867</v>
      </c>
      <c r="T555" s="350">
        <f t="shared" si="240"/>
        <v>160086315.03701633</v>
      </c>
      <c r="U555" s="350">
        <f t="shared" si="241"/>
        <v>201688951.70742452</v>
      </c>
      <c r="V555" s="350">
        <f t="shared" si="242"/>
        <v>598621176.87497163</v>
      </c>
      <c r="W555" s="365"/>
      <c r="X555" s="377">
        <f t="shared" si="220"/>
        <v>0</v>
      </c>
      <c r="Y555" s="377">
        <f t="shared" si="221"/>
        <v>0</v>
      </c>
      <c r="Z555" s="377">
        <f t="shared" si="222"/>
        <v>0</v>
      </c>
      <c r="AA555" s="377">
        <f t="shared" si="223"/>
        <v>0</v>
      </c>
      <c r="AB555" s="377">
        <f t="shared" si="224"/>
        <v>0</v>
      </c>
      <c r="AC555" s="377">
        <f t="shared" si="225"/>
        <v>0</v>
      </c>
      <c r="AD555" s="376"/>
      <c r="AE555" s="332">
        <v>540</v>
      </c>
      <c r="AF555" s="350">
        <v>140146778.38846651</v>
      </c>
      <c r="AG555" s="350">
        <v>141296262.3310774</v>
      </c>
      <c r="AH555" s="350">
        <v>142397581.21778902</v>
      </c>
      <c r="AI555" s="350">
        <v>143501517.14071205</v>
      </c>
      <c r="AJ555" s="350">
        <v>144611499.26093876</v>
      </c>
      <c r="AK555" s="348">
        <v>711953638.33898377</v>
      </c>
      <c r="AL555" s="369"/>
      <c r="AM555" s="350">
        <v>178656503.60207647</v>
      </c>
      <c r="AN555" s="350">
        <v>219066075.54661694</v>
      </c>
      <c r="AO555" s="350">
        <v>260021341.02022728</v>
      </c>
      <c r="AP555" s="350">
        <v>301589200.0195806</v>
      </c>
      <c r="AQ555" s="350">
        <v>343779968.50318956</v>
      </c>
      <c r="AR555" s="348">
        <v>1303113088.6916909</v>
      </c>
      <c r="AS555" s="369"/>
      <c r="AT555" s="350">
        <f t="shared" si="243"/>
        <v>38509725.213609964</v>
      </c>
      <c r="AU555" s="350">
        <f t="shared" si="226"/>
        <v>77769813.215539545</v>
      </c>
      <c r="AV555" s="350">
        <f t="shared" si="227"/>
        <v>117623759.80243826</v>
      </c>
      <c r="AW555" s="350">
        <f t="shared" si="228"/>
        <v>158087682.87886855</v>
      </c>
      <c r="AX555" s="350">
        <f t="shared" si="229"/>
        <v>199168469.2422508</v>
      </c>
      <c r="AY555" s="350">
        <f t="shared" si="230"/>
        <v>591159450.35270715</v>
      </c>
      <c r="AZ555" s="365"/>
      <c r="BA555" s="377">
        <f t="shared" si="231"/>
        <v>0</v>
      </c>
      <c r="BB555" s="377">
        <f t="shared" si="232"/>
        <v>0</v>
      </c>
      <c r="BC555" s="377">
        <f t="shared" si="233"/>
        <v>0</v>
      </c>
      <c r="BD555" s="377">
        <f t="shared" si="234"/>
        <v>0</v>
      </c>
      <c r="BE555" s="377">
        <f t="shared" si="235"/>
        <v>0</v>
      </c>
      <c r="BF555" s="377">
        <f t="shared" si="236"/>
        <v>0</v>
      </c>
      <c r="BG555" s="328"/>
    </row>
    <row r="556" spans="2:59">
      <c r="B556" s="332">
        <v>541</v>
      </c>
      <c r="C556" s="350">
        <v>111879505.21178418</v>
      </c>
      <c r="D556" s="350">
        <v>112797140.9664337</v>
      </c>
      <c r="E556" s="350">
        <v>113676326.44285011</v>
      </c>
      <c r="F556" s="350">
        <v>114557601.10547416</v>
      </c>
      <c r="G556" s="350">
        <v>115443702.46172987</v>
      </c>
      <c r="H556" s="348">
        <v>568354276.188272</v>
      </c>
      <c r="I556" s="369"/>
      <c r="J556" s="350">
        <v>144743993.47842473</v>
      </c>
      <c r="K556" s="350">
        <v>179185528.86347684</v>
      </c>
      <c r="L556" s="350">
        <v>214095714.24599916</v>
      </c>
      <c r="M556" s="350">
        <v>249528845.28934348</v>
      </c>
      <c r="N556" s="350">
        <v>285493539.65273523</v>
      </c>
      <c r="O556" s="348">
        <v>1073047621.5299793</v>
      </c>
      <c r="P556" s="369"/>
      <c r="Q556" s="350">
        <f t="shared" si="237"/>
        <v>32864488.266640544</v>
      </c>
      <c r="R556" s="350">
        <f t="shared" si="238"/>
        <v>66388387.897043139</v>
      </c>
      <c r="S556" s="350">
        <f t="shared" si="239"/>
        <v>100419387.80314904</v>
      </c>
      <c r="T556" s="350">
        <f t="shared" si="240"/>
        <v>134971244.1838693</v>
      </c>
      <c r="U556" s="350">
        <f t="shared" si="241"/>
        <v>170049837.19100535</v>
      </c>
      <c r="V556" s="350">
        <f t="shared" si="242"/>
        <v>504693345.34170735</v>
      </c>
      <c r="W556" s="365"/>
      <c r="X556" s="377">
        <f t="shared" si="220"/>
        <v>0</v>
      </c>
      <c r="Y556" s="377">
        <f t="shared" si="221"/>
        <v>0</v>
      </c>
      <c r="Z556" s="377">
        <f t="shared" si="222"/>
        <v>0</v>
      </c>
      <c r="AA556" s="377">
        <f t="shared" si="223"/>
        <v>0</v>
      </c>
      <c r="AB556" s="377">
        <f t="shared" si="224"/>
        <v>0</v>
      </c>
      <c r="AC556" s="377">
        <f t="shared" si="225"/>
        <v>0</v>
      </c>
      <c r="AD556" s="376"/>
      <c r="AE556" s="332">
        <v>541</v>
      </c>
      <c r="AF556" s="350">
        <v>131296222.5580624</v>
      </c>
      <c r="AG556" s="350">
        <v>132373114.23756731</v>
      </c>
      <c r="AH556" s="350">
        <v>133404882.5830107</v>
      </c>
      <c r="AI556" s="350">
        <v>134439102.69347358</v>
      </c>
      <c r="AJ556" s="350">
        <v>135478987.17150843</v>
      </c>
      <c r="AK556" s="348">
        <v>666992309.24362242</v>
      </c>
      <c r="AL556" s="369"/>
      <c r="AM556" s="350">
        <v>163743735.75456497</v>
      </c>
      <c r="AN556" s="350">
        <v>197918777.99418795</v>
      </c>
      <c r="AO556" s="350">
        <v>232549356.880932</v>
      </c>
      <c r="AP556" s="350">
        <v>267696629.15549079</v>
      </c>
      <c r="AQ556" s="350">
        <v>303369612.90434802</v>
      </c>
      <c r="AR556" s="348">
        <v>1165278112.6895237</v>
      </c>
      <c r="AS556" s="369"/>
      <c r="AT556" s="350">
        <f t="shared" si="243"/>
        <v>32447513.196502566</v>
      </c>
      <c r="AU556" s="350">
        <f t="shared" si="226"/>
        <v>65545663.756620646</v>
      </c>
      <c r="AV556" s="350">
        <f t="shared" si="227"/>
        <v>99144474.2979213</v>
      </c>
      <c r="AW556" s="350">
        <f t="shared" si="228"/>
        <v>133257526.46201721</v>
      </c>
      <c r="AX556" s="350">
        <f t="shared" si="229"/>
        <v>167890625.73283958</v>
      </c>
      <c r="AY556" s="350">
        <f t="shared" si="230"/>
        <v>498285803.44590127</v>
      </c>
      <c r="AZ556" s="365"/>
      <c r="BA556" s="377">
        <f t="shared" si="231"/>
        <v>0</v>
      </c>
      <c r="BB556" s="377">
        <f t="shared" si="232"/>
        <v>0</v>
      </c>
      <c r="BC556" s="377">
        <f t="shared" si="233"/>
        <v>0</v>
      </c>
      <c r="BD556" s="377">
        <f t="shared" si="234"/>
        <v>0</v>
      </c>
      <c r="BE556" s="377">
        <f t="shared" si="235"/>
        <v>0</v>
      </c>
      <c r="BF556" s="377">
        <f t="shared" si="236"/>
        <v>0</v>
      </c>
      <c r="BG556" s="328"/>
    </row>
    <row r="557" spans="2:59">
      <c r="B557" s="332">
        <v>542</v>
      </c>
      <c r="C557" s="350">
        <v>105393219.30404133</v>
      </c>
      <c r="D557" s="350">
        <v>106257654.53860852</v>
      </c>
      <c r="E557" s="350">
        <v>107085868.67442793</v>
      </c>
      <c r="F557" s="350">
        <v>107916050.87454769</v>
      </c>
      <c r="G557" s="350">
        <v>108750779.93764719</v>
      </c>
      <c r="H557" s="348">
        <v>535403573.32927275</v>
      </c>
      <c r="I557" s="369"/>
      <c r="J557" s="350">
        <v>136754454.30578402</v>
      </c>
      <c r="K557" s="350">
        <v>169593171.80476487</v>
      </c>
      <c r="L557" s="350">
        <v>202879320.6574901</v>
      </c>
      <c r="M557" s="350">
        <v>236664216.10390407</v>
      </c>
      <c r="N557" s="350">
        <v>270956045.65758997</v>
      </c>
      <c r="O557" s="348">
        <v>1016847208.5295329</v>
      </c>
      <c r="P557" s="369"/>
      <c r="Q557" s="350">
        <f t="shared" si="237"/>
        <v>31361235.001742691</v>
      </c>
      <c r="R557" s="350">
        <f t="shared" si="238"/>
        <v>63335517.266156346</v>
      </c>
      <c r="S557" s="350">
        <f t="shared" si="239"/>
        <v>95793451.983062178</v>
      </c>
      <c r="T557" s="350">
        <f t="shared" si="240"/>
        <v>128748165.22935638</v>
      </c>
      <c r="U557" s="350">
        <f t="shared" si="241"/>
        <v>162205265.71994278</v>
      </c>
      <c r="V557" s="350">
        <f t="shared" si="242"/>
        <v>481443635.20026016</v>
      </c>
      <c r="W557" s="365"/>
      <c r="X557" s="377">
        <f t="shared" si="220"/>
        <v>0</v>
      </c>
      <c r="Y557" s="377">
        <f t="shared" si="221"/>
        <v>0</v>
      </c>
      <c r="Z557" s="377">
        <f t="shared" si="222"/>
        <v>0</v>
      </c>
      <c r="AA557" s="377">
        <f t="shared" si="223"/>
        <v>0</v>
      </c>
      <c r="AB557" s="377">
        <f t="shared" si="224"/>
        <v>0</v>
      </c>
      <c r="AC557" s="377">
        <f t="shared" si="225"/>
        <v>0</v>
      </c>
      <c r="AD557" s="376"/>
      <c r="AE557" s="332">
        <v>542</v>
      </c>
      <c r="AF557" s="350">
        <v>119557529.30170949</v>
      </c>
      <c r="AG557" s="350">
        <v>120538140.21357515</v>
      </c>
      <c r="AH557" s="350">
        <v>121477662.09615158</v>
      </c>
      <c r="AI557" s="350">
        <v>122419416.54081127</v>
      </c>
      <c r="AJ557" s="350">
        <v>123366328.92359567</v>
      </c>
      <c r="AK557" s="348">
        <v>607359077.07584321</v>
      </c>
      <c r="AL557" s="369"/>
      <c r="AM557" s="350">
        <v>148971593.35633609</v>
      </c>
      <c r="AN557" s="350">
        <v>179960726.91774994</v>
      </c>
      <c r="AO557" s="350">
        <v>211362698.24774364</v>
      </c>
      <c r="AP557" s="350">
        <v>243233141.11871535</v>
      </c>
      <c r="AQ557" s="350">
        <v>275580244.35773772</v>
      </c>
      <c r="AR557" s="348">
        <v>1059108403.9982827</v>
      </c>
      <c r="AS557" s="369"/>
      <c r="AT557" s="350">
        <f t="shared" si="243"/>
        <v>29414064.054626599</v>
      </c>
      <c r="AU557" s="350">
        <f t="shared" si="226"/>
        <v>59422586.704174787</v>
      </c>
      <c r="AV557" s="350">
        <f t="shared" si="227"/>
        <v>89885036.151592061</v>
      </c>
      <c r="AW557" s="350">
        <f t="shared" si="228"/>
        <v>120813724.57790408</v>
      </c>
      <c r="AX557" s="350">
        <f t="shared" si="229"/>
        <v>152213915.43414205</v>
      </c>
      <c r="AY557" s="350">
        <f t="shared" si="230"/>
        <v>451749326.92243946</v>
      </c>
      <c r="AZ557" s="365"/>
      <c r="BA557" s="377">
        <f t="shared" si="231"/>
        <v>0</v>
      </c>
      <c r="BB557" s="377">
        <f t="shared" si="232"/>
        <v>0</v>
      </c>
      <c r="BC557" s="377">
        <f t="shared" si="233"/>
        <v>0</v>
      </c>
      <c r="BD557" s="377">
        <f t="shared" si="234"/>
        <v>0</v>
      </c>
      <c r="BE557" s="377">
        <f t="shared" si="235"/>
        <v>0</v>
      </c>
      <c r="BF557" s="377">
        <f t="shared" si="236"/>
        <v>0</v>
      </c>
      <c r="BG557" s="328"/>
    </row>
    <row r="558" spans="2:59">
      <c r="B558" s="332">
        <v>543</v>
      </c>
      <c r="C558" s="350">
        <v>121911157.13403183</v>
      </c>
      <c r="D558" s="350">
        <v>122911072.50249115</v>
      </c>
      <c r="E558" s="350">
        <v>123869089.95673771</v>
      </c>
      <c r="F558" s="350">
        <v>124829383.92362666</v>
      </c>
      <c r="G558" s="350">
        <v>125794937.36860019</v>
      </c>
      <c r="H558" s="348">
        <v>619315640.88548756</v>
      </c>
      <c r="I558" s="369"/>
      <c r="J558" s="350">
        <v>153437196.0641582</v>
      </c>
      <c r="K558" s="350">
        <v>186600194.21135464</v>
      </c>
      <c r="L558" s="350">
        <v>220207812.35758588</v>
      </c>
      <c r="M558" s="350">
        <v>254317421.13876534</v>
      </c>
      <c r="N558" s="350">
        <v>288937644.88029051</v>
      </c>
      <c r="O558" s="348">
        <v>1103500268.6521544</v>
      </c>
      <c r="P558" s="369"/>
      <c r="Q558" s="350">
        <f t="shared" si="237"/>
        <v>31526038.930126369</v>
      </c>
      <c r="R558" s="350">
        <f t="shared" si="238"/>
        <v>63689121.708863497</v>
      </c>
      <c r="S558" s="350">
        <f t="shared" si="239"/>
        <v>96338722.400848165</v>
      </c>
      <c r="T558" s="350">
        <f t="shared" si="240"/>
        <v>129488037.21513867</v>
      </c>
      <c r="U558" s="350">
        <f t="shared" si="241"/>
        <v>163142707.51169032</v>
      </c>
      <c r="V558" s="350">
        <f t="shared" si="242"/>
        <v>484184627.76666689</v>
      </c>
      <c r="W558" s="365"/>
      <c r="X558" s="377">
        <f t="shared" si="220"/>
        <v>0</v>
      </c>
      <c r="Y558" s="377">
        <f t="shared" si="221"/>
        <v>0</v>
      </c>
      <c r="Z558" s="377">
        <f t="shared" si="222"/>
        <v>0</v>
      </c>
      <c r="AA558" s="377">
        <f t="shared" si="223"/>
        <v>0</v>
      </c>
      <c r="AB558" s="377">
        <f t="shared" si="224"/>
        <v>0</v>
      </c>
      <c r="AC558" s="377">
        <f t="shared" si="225"/>
        <v>0</v>
      </c>
      <c r="AD558" s="376"/>
      <c r="AE558" s="332">
        <v>543</v>
      </c>
      <c r="AF558" s="350">
        <v>142284193.81028113</v>
      </c>
      <c r="AG558" s="350">
        <v>143451208.83519244</v>
      </c>
      <c r="AH558" s="350">
        <v>144569324.22625375</v>
      </c>
      <c r="AI558" s="350">
        <v>145690096.56663477</v>
      </c>
      <c r="AJ558" s="350">
        <v>146817007.31646675</v>
      </c>
      <c r="AK558" s="348">
        <v>722811830.75482893</v>
      </c>
      <c r="AL558" s="369"/>
      <c r="AM558" s="350">
        <v>177896932.60876784</v>
      </c>
      <c r="AN558" s="350">
        <v>215390263.57767698</v>
      </c>
      <c r="AO558" s="350">
        <v>253384185.57160172</v>
      </c>
      <c r="AP558" s="350">
        <v>291945161.66278446</v>
      </c>
      <c r="AQ558" s="350">
        <v>331083045.03420669</v>
      </c>
      <c r="AR558" s="348">
        <v>1269699588.4550376</v>
      </c>
      <c r="AS558" s="369"/>
      <c r="AT558" s="350">
        <f t="shared" si="243"/>
        <v>35612738.79848671</v>
      </c>
      <c r="AU558" s="350">
        <f t="shared" si="226"/>
        <v>71939054.74248454</v>
      </c>
      <c r="AV558" s="350">
        <f t="shared" si="227"/>
        <v>108814861.34534797</v>
      </c>
      <c r="AW558" s="350">
        <f t="shared" si="228"/>
        <v>146255065.09614968</v>
      </c>
      <c r="AX558" s="350">
        <f t="shared" si="229"/>
        <v>184266037.71773994</v>
      </c>
      <c r="AY558" s="350">
        <f t="shared" si="230"/>
        <v>546887757.70020866</v>
      </c>
      <c r="AZ558" s="365"/>
      <c r="BA558" s="377">
        <f t="shared" si="231"/>
        <v>0</v>
      </c>
      <c r="BB558" s="377">
        <f t="shared" si="232"/>
        <v>0</v>
      </c>
      <c r="BC558" s="377">
        <f t="shared" si="233"/>
        <v>0</v>
      </c>
      <c r="BD558" s="377">
        <f t="shared" si="234"/>
        <v>0</v>
      </c>
      <c r="BE558" s="377">
        <f t="shared" si="235"/>
        <v>0</v>
      </c>
      <c r="BF558" s="377">
        <f t="shared" si="236"/>
        <v>0</v>
      </c>
      <c r="BG558" s="328"/>
    </row>
    <row r="559" spans="2:59">
      <c r="B559" s="332">
        <v>544</v>
      </c>
      <c r="C559" s="350">
        <v>101866961.19465056</v>
      </c>
      <c r="D559" s="350">
        <v>102702474.05853708</v>
      </c>
      <c r="E559" s="350">
        <v>103502977.71324562</v>
      </c>
      <c r="F559" s="350">
        <v>104305383.58453912</v>
      </c>
      <c r="G559" s="350">
        <v>105112184.18936269</v>
      </c>
      <c r="H559" s="348">
        <v>517489980.74033511</v>
      </c>
      <c r="I559" s="369"/>
      <c r="J559" s="350">
        <v>126837065.40109552</v>
      </c>
      <c r="K559" s="350">
        <v>153132312.21902689</v>
      </c>
      <c r="L559" s="350">
        <v>179777661.99641019</v>
      </c>
      <c r="M559" s="350">
        <v>206820477.34657905</v>
      </c>
      <c r="N559" s="350">
        <v>234267716.72833768</v>
      </c>
      <c r="O559" s="348">
        <v>900835233.69144928</v>
      </c>
      <c r="P559" s="369"/>
      <c r="Q559" s="350">
        <f t="shared" si="237"/>
        <v>24970104.206444964</v>
      </c>
      <c r="R559" s="350">
        <f t="shared" si="238"/>
        <v>50429838.160489812</v>
      </c>
      <c r="S559" s="350">
        <f t="shared" si="239"/>
        <v>76274684.283164576</v>
      </c>
      <c r="T559" s="350">
        <f t="shared" si="240"/>
        <v>102515093.76203993</v>
      </c>
      <c r="U559" s="350">
        <f t="shared" si="241"/>
        <v>129155532.53897499</v>
      </c>
      <c r="V559" s="350">
        <f t="shared" si="242"/>
        <v>383345252.95111418</v>
      </c>
      <c r="W559" s="365"/>
      <c r="X559" s="377">
        <f t="shared" si="220"/>
        <v>0</v>
      </c>
      <c r="Y559" s="377">
        <f t="shared" si="221"/>
        <v>0</v>
      </c>
      <c r="Z559" s="377">
        <f t="shared" si="222"/>
        <v>0</v>
      </c>
      <c r="AA559" s="377">
        <f t="shared" si="223"/>
        <v>0</v>
      </c>
      <c r="AB559" s="377">
        <f t="shared" si="224"/>
        <v>0</v>
      </c>
      <c r="AC559" s="377">
        <f t="shared" si="225"/>
        <v>0</v>
      </c>
      <c r="AD559" s="376"/>
      <c r="AE559" s="332">
        <v>544</v>
      </c>
      <c r="AF559" s="350">
        <v>117662737.32019372</v>
      </c>
      <c r="AG559" s="350">
        <v>118627807.14733101</v>
      </c>
      <c r="AH559" s="350">
        <v>119552439.1393254</v>
      </c>
      <c r="AI559" s="350">
        <v>120479268.3109327</v>
      </c>
      <c r="AJ559" s="350">
        <v>121411173.67575194</v>
      </c>
      <c r="AK559" s="348">
        <v>597733425.59353483</v>
      </c>
      <c r="AL559" s="369"/>
      <c r="AM559" s="350">
        <v>148280746.68093079</v>
      </c>
      <c r="AN559" s="350">
        <v>180477798.713705</v>
      </c>
      <c r="AO559" s="350">
        <v>213106844.26097968</v>
      </c>
      <c r="AP559" s="350">
        <v>246223334.20000219</v>
      </c>
      <c r="AQ559" s="350">
        <v>279835625.69805044</v>
      </c>
      <c r="AR559" s="348">
        <v>1067924349.553668</v>
      </c>
      <c r="AS559" s="369"/>
      <c r="AT559" s="350">
        <f t="shared" si="243"/>
        <v>30618009.36073707</v>
      </c>
      <c r="AU559" s="350">
        <f t="shared" si="226"/>
        <v>61849991.566373989</v>
      </c>
      <c r="AV559" s="350">
        <f t="shared" si="227"/>
        <v>93554405.121654287</v>
      </c>
      <c r="AW559" s="350">
        <f t="shared" si="228"/>
        <v>125744065.8890695</v>
      </c>
      <c r="AX559" s="350">
        <f t="shared" si="229"/>
        <v>158424452.02229851</v>
      </c>
      <c r="AY559" s="350">
        <f t="shared" si="230"/>
        <v>470190923.96013319</v>
      </c>
      <c r="AZ559" s="365"/>
      <c r="BA559" s="377">
        <f t="shared" si="231"/>
        <v>0</v>
      </c>
      <c r="BB559" s="377">
        <f t="shared" si="232"/>
        <v>0</v>
      </c>
      <c r="BC559" s="377">
        <f t="shared" si="233"/>
        <v>0</v>
      </c>
      <c r="BD559" s="377">
        <f t="shared" si="234"/>
        <v>0</v>
      </c>
      <c r="BE559" s="377">
        <f t="shared" si="235"/>
        <v>0</v>
      </c>
      <c r="BF559" s="377">
        <f t="shared" si="236"/>
        <v>0</v>
      </c>
      <c r="BG559" s="328"/>
    </row>
    <row r="560" spans="2:59">
      <c r="B560" s="332">
        <v>545</v>
      </c>
      <c r="C560" s="350">
        <v>105403728.43390398</v>
      </c>
      <c r="D560" s="350">
        <v>106268249.86435923</v>
      </c>
      <c r="E560" s="350">
        <v>107096546.58433317</v>
      </c>
      <c r="F560" s="350">
        <v>107926811.56485009</v>
      </c>
      <c r="G560" s="350">
        <v>108761623.86173052</v>
      </c>
      <c r="H560" s="348">
        <v>535456960.30917698</v>
      </c>
      <c r="I560" s="369"/>
      <c r="J560" s="350">
        <v>132555956.58413532</v>
      </c>
      <c r="K560" s="350">
        <v>161114318.02041006</v>
      </c>
      <c r="L560" s="350">
        <v>190055364.97715604</v>
      </c>
      <c r="M560" s="350">
        <v>219428655.44745818</v>
      </c>
      <c r="N560" s="350">
        <v>249241626.10858148</v>
      </c>
      <c r="O560" s="348">
        <v>952395921.13774109</v>
      </c>
      <c r="P560" s="369"/>
      <c r="Q560" s="350">
        <f t="shared" si="237"/>
        <v>27152228.150231346</v>
      </c>
      <c r="R560" s="350">
        <f t="shared" si="238"/>
        <v>54846068.156050831</v>
      </c>
      <c r="S560" s="350">
        <f t="shared" si="239"/>
        <v>82958818.392822877</v>
      </c>
      <c r="T560" s="350">
        <f t="shared" si="240"/>
        <v>111501843.88260809</v>
      </c>
      <c r="U560" s="350">
        <f t="shared" si="241"/>
        <v>140480002.24685097</v>
      </c>
      <c r="V560" s="350">
        <f t="shared" si="242"/>
        <v>416938960.82856411</v>
      </c>
      <c r="W560" s="365"/>
      <c r="X560" s="377">
        <f t="shared" si="220"/>
        <v>0</v>
      </c>
      <c r="Y560" s="377">
        <f t="shared" si="221"/>
        <v>0</v>
      </c>
      <c r="Z560" s="377">
        <f t="shared" si="222"/>
        <v>0</v>
      </c>
      <c r="AA560" s="377">
        <f t="shared" si="223"/>
        <v>0</v>
      </c>
      <c r="AB560" s="377">
        <f t="shared" si="224"/>
        <v>0</v>
      </c>
      <c r="AC560" s="377">
        <f t="shared" si="225"/>
        <v>0</v>
      </c>
      <c r="AD560" s="376"/>
      <c r="AE560" s="332">
        <v>545</v>
      </c>
      <c r="AF560" s="350">
        <v>124286660.18705118</v>
      </c>
      <c r="AG560" s="350">
        <v>125306059.4326746</v>
      </c>
      <c r="AH560" s="350">
        <v>126282744.36117792</v>
      </c>
      <c r="AI560" s="350">
        <v>127261750.16137049</v>
      </c>
      <c r="AJ560" s="350">
        <v>128246117.92334586</v>
      </c>
      <c r="AK560" s="348">
        <v>631383332.06561995</v>
      </c>
      <c r="AL560" s="369"/>
      <c r="AM560" s="350">
        <v>158273570.98542178</v>
      </c>
      <c r="AN560" s="350">
        <v>193952869.7130816</v>
      </c>
      <c r="AO560" s="350">
        <v>230113734.00097173</v>
      </c>
      <c r="AP560" s="350">
        <v>266815424.5560213</v>
      </c>
      <c r="AQ560" s="350">
        <v>304067062.08007932</v>
      </c>
      <c r="AR560" s="348">
        <v>1153222661.3355756</v>
      </c>
      <c r="AS560" s="369"/>
      <c r="AT560" s="350">
        <f t="shared" si="243"/>
        <v>33986910.7983706</v>
      </c>
      <c r="AU560" s="350">
        <f t="shared" si="226"/>
        <v>68646810.280406997</v>
      </c>
      <c r="AV560" s="350">
        <f t="shared" si="227"/>
        <v>103830989.63979381</v>
      </c>
      <c r="AW560" s="350">
        <f t="shared" si="228"/>
        <v>139553674.39465082</v>
      </c>
      <c r="AX560" s="350">
        <f t="shared" si="229"/>
        <v>175820944.15673345</v>
      </c>
      <c r="AY560" s="350">
        <f t="shared" si="230"/>
        <v>521839329.26995564</v>
      </c>
      <c r="AZ560" s="365"/>
      <c r="BA560" s="377">
        <f t="shared" si="231"/>
        <v>0</v>
      </c>
      <c r="BB560" s="377">
        <f t="shared" si="232"/>
        <v>0</v>
      </c>
      <c r="BC560" s="377">
        <f t="shared" si="233"/>
        <v>0</v>
      </c>
      <c r="BD560" s="377">
        <f t="shared" si="234"/>
        <v>0</v>
      </c>
      <c r="BE560" s="377">
        <f t="shared" si="235"/>
        <v>0</v>
      </c>
      <c r="BF560" s="377">
        <f t="shared" si="236"/>
        <v>0</v>
      </c>
      <c r="BG560" s="328"/>
    </row>
    <row r="561" spans="2:59">
      <c r="B561" s="332">
        <v>546</v>
      </c>
      <c r="C561" s="350">
        <v>134726307.50148946</v>
      </c>
      <c r="D561" s="350">
        <v>135831332.73932227</v>
      </c>
      <c r="E561" s="350">
        <v>136890055.80591348</v>
      </c>
      <c r="F561" s="350">
        <v>137951294.68934613</v>
      </c>
      <c r="G561" s="350">
        <v>139018345.92070806</v>
      </c>
      <c r="H561" s="348">
        <v>684417336.65677941</v>
      </c>
      <c r="I561" s="369"/>
      <c r="J561" s="350">
        <v>163624171.3583253</v>
      </c>
      <c r="K561" s="350">
        <v>194194423.31685746</v>
      </c>
      <c r="L561" s="350">
        <v>225164073.98231947</v>
      </c>
      <c r="M561" s="350">
        <v>256594036.52610791</v>
      </c>
      <c r="N561" s="350">
        <v>288492776.01622766</v>
      </c>
      <c r="O561" s="348">
        <v>1128069481.1998377</v>
      </c>
      <c r="P561" s="369"/>
      <c r="Q561" s="350">
        <f t="shared" si="237"/>
        <v>28897863.856835842</v>
      </c>
      <c r="R561" s="350">
        <f t="shared" si="238"/>
        <v>58363090.577535182</v>
      </c>
      <c r="S561" s="350">
        <f t="shared" si="239"/>
        <v>88274018.176405996</v>
      </c>
      <c r="T561" s="350">
        <f t="shared" si="240"/>
        <v>118642741.83676177</v>
      </c>
      <c r="U561" s="350">
        <f t="shared" si="241"/>
        <v>149474430.0955196</v>
      </c>
      <c r="V561" s="350">
        <f t="shared" si="242"/>
        <v>443652144.54305828</v>
      </c>
      <c r="W561" s="365"/>
      <c r="X561" s="377">
        <f t="shared" si="220"/>
        <v>0</v>
      </c>
      <c r="Y561" s="377">
        <f t="shared" si="221"/>
        <v>0</v>
      </c>
      <c r="Z561" s="377">
        <f t="shared" si="222"/>
        <v>0</v>
      </c>
      <c r="AA561" s="377">
        <f t="shared" si="223"/>
        <v>0</v>
      </c>
      <c r="AB561" s="377">
        <f t="shared" si="224"/>
        <v>0</v>
      </c>
      <c r="AC561" s="377">
        <f t="shared" si="225"/>
        <v>0</v>
      </c>
      <c r="AD561" s="376"/>
      <c r="AE561" s="332">
        <v>546</v>
      </c>
      <c r="AF561" s="350">
        <v>129301772.725235</v>
      </c>
      <c r="AG561" s="350">
        <v>130362305.92626803</v>
      </c>
      <c r="AH561" s="350">
        <v>131378401.23737732</v>
      </c>
      <c r="AI561" s="350">
        <v>132396911.0700711</v>
      </c>
      <c r="AJ561" s="350">
        <v>133420999.22599578</v>
      </c>
      <c r="AK561" s="348">
        <v>656860390.18494725</v>
      </c>
      <c r="AL561" s="369"/>
      <c r="AM561" s="350">
        <v>162503976.0080575</v>
      </c>
      <c r="AN561" s="350">
        <v>197413208.91158032</v>
      </c>
      <c r="AO561" s="350">
        <v>232790008.19655538</v>
      </c>
      <c r="AP561" s="350">
        <v>268695122.73777699</v>
      </c>
      <c r="AQ561" s="350">
        <v>305137653.90736759</v>
      </c>
      <c r="AR561" s="348">
        <v>1166539969.7613378</v>
      </c>
      <c r="AS561" s="369"/>
      <c r="AT561" s="350">
        <f t="shared" si="243"/>
        <v>33202203.282822505</v>
      </c>
      <c r="AU561" s="350">
        <f t="shared" si="226"/>
        <v>67050902.985312298</v>
      </c>
      <c r="AV561" s="350">
        <f t="shared" si="227"/>
        <v>101411606.95917806</v>
      </c>
      <c r="AW561" s="350">
        <f t="shared" si="228"/>
        <v>136298211.66770589</v>
      </c>
      <c r="AX561" s="350">
        <f t="shared" si="229"/>
        <v>171716654.68137181</v>
      </c>
      <c r="AY561" s="350">
        <f t="shared" si="230"/>
        <v>509679579.5763905</v>
      </c>
      <c r="AZ561" s="365"/>
      <c r="BA561" s="377">
        <f t="shared" si="231"/>
        <v>0</v>
      </c>
      <c r="BB561" s="377">
        <f t="shared" si="232"/>
        <v>0</v>
      </c>
      <c r="BC561" s="377">
        <f t="shared" si="233"/>
        <v>0</v>
      </c>
      <c r="BD561" s="377">
        <f t="shared" si="234"/>
        <v>0</v>
      </c>
      <c r="BE561" s="377">
        <f t="shared" si="235"/>
        <v>0</v>
      </c>
      <c r="BF561" s="377">
        <f t="shared" si="236"/>
        <v>0</v>
      </c>
      <c r="BG561" s="328"/>
    </row>
    <row r="562" spans="2:59">
      <c r="B562" s="332">
        <v>547</v>
      </c>
      <c r="C562" s="350">
        <v>130890412.02741975</v>
      </c>
      <c r="D562" s="350">
        <v>131963975.24876045</v>
      </c>
      <c r="E562" s="350">
        <v>132992554.60329756</v>
      </c>
      <c r="F562" s="350">
        <v>134023578.14493577</v>
      </c>
      <c r="G562" s="350">
        <v>135060248.5467115</v>
      </c>
      <c r="H562" s="348">
        <v>664930768.57112503</v>
      </c>
      <c r="I562" s="369"/>
      <c r="J562" s="350">
        <v>173197626.19050556</v>
      </c>
      <c r="K562" s="350">
        <v>217387520.82753998</v>
      </c>
      <c r="L562" s="350">
        <v>262184613.70265192</v>
      </c>
      <c r="M562" s="350">
        <v>307654039.33289778</v>
      </c>
      <c r="N562" s="350">
        <v>353806563.97764915</v>
      </c>
      <c r="O562" s="348">
        <v>1314230364.0312443</v>
      </c>
      <c r="P562" s="369"/>
      <c r="Q562" s="350">
        <f t="shared" si="237"/>
        <v>42307214.163085818</v>
      </c>
      <c r="R562" s="350">
        <f t="shared" si="238"/>
        <v>85423545.578779534</v>
      </c>
      <c r="S562" s="350">
        <f t="shared" si="239"/>
        <v>129192059.09935436</v>
      </c>
      <c r="T562" s="350">
        <f t="shared" si="240"/>
        <v>173630461.187962</v>
      </c>
      <c r="U562" s="350">
        <f t="shared" si="241"/>
        <v>218746315.43093765</v>
      </c>
      <c r="V562" s="350">
        <f t="shared" si="242"/>
        <v>649299595.46011925</v>
      </c>
      <c r="W562" s="365"/>
      <c r="X562" s="377">
        <f t="shared" si="220"/>
        <v>0</v>
      </c>
      <c r="Y562" s="377">
        <f t="shared" si="221"/>
        <v>0</v>
      </c>
      <c r="Z562" s="377">
        <f t="shared" si="222"/>
        <v>0</v>
      </c>
      <c r="AA562" s="377">
        <f t="shared" si="223"/>
        <v>0</v>
      </c>
      <c r="AB562" s="377">
        <f t="shared" si="224"/>
        <v>0</v>
      </c>
      <c r="AC562" s="377">
        <f t="shared" si="225"/>
        <v>0</v>
      </c>
      <c r="AD562" s="376"/>
      <c r="AE562" s="332">
        <v>547</v>
      </c>
      <c r="AF562" s="350">
        <v>112315931.50728738</v>
      </c>
      <c r="AG562" s="350">
        <v>113237146.83061901</v>
      </c>
      <c r="AH562" s="350">
        <v>114119761.88656211</v>
      </c>
      <c r="AI562" s="350">
        <v>115004474.27833591</v>
      </c>
      <c r="AJ562" s="350">
        <v>115894032.19199792</v>
      </c>
      <c r="AK562" s="348">
        <v>570571346.69480228</v>
      </c>
      <c r="AL562" s="369"/>
      <c r="AM562" s="350">
        <v>140977186.32236314</v>
      </c>
      <c r="AN562" s="350">
        <v>171119572.91134536</v>
      </c>
      <c r="AO562" s="350">
        <v>201665367.15131167</v>
      </c>
      <c r="AP562" s="350">
        <v>232667262.64058828</v>
      </c>
      <c r="AQ562" s="350">
        <v>264133133.35581529</v>
      </c>
      <c r="AR562" s="348">
        <v>1010562522.3814237</v>
      </c>
      <c r="AS562" s="369"/>
      <c r="AT562" s="350">
        <f t="shared" si="243"/>
        <v>28661254.815075755</v>
      </c>
      <c r="AU562" s="350">
        <f t="shared" si="226"/>
        <v>57882426.080726355</v>
      </c>
      <c r="AV562" s="350">
        <f t="shared" si="227"/>
        <v>87545605.264749557</v>
      </c>
      <c r="AW562" s="350">
        <f t="shared" si="228"/>
        <v>117662788.36225237</v>
      </c>
      <c r="AX562" s="350">
        <f t="shared" si="229"/>
        <v>148239101.16381738</v>
      </c>
      <c r="AY562" s="350">
        <f t="shared" si="230"/>
        <v>439991175.68662143</v>
      </c>
      <c r="AZ562" s="365"/>
      <c r="BA562" s="377">
        <f t="shared" si="231"/>
        <v>0</v>
      </c>
      <c r="BB562" s="377">
        <f t="shared" si="232"/>
        <v>0</v>
      </c>
      <c r="BC562" s="377">
        <f t="shared" si="233"/>
        <v>0</v>
      </c>
      <c r="BD562" s="377">
        <f t="shared" si="234"/>
        <v>0</v>
      </c>
      <c r="BE562" s="377">
        <f t="shared" si="235"/>
        <v>0</v>
      </c>
      <c r="BF562" s="377">
        <f t="shared" si="236"/>
        <v>0</v>
      </c>
      <c r="BG562" s="328"/>
    </row>
    <row r="563" spans="2:59">
      <c r="B563" s="332">
        <v>548</v>
      </c>
      <c r="C563" s="350">
        <v>121427689.22320728</v>
      </c>
      <c r="D563" s="350">
        <v>122423639.1876334</v>
      </c>
      <c r="E563" s="350">
        <v>123377857.39406687</v>
      </c>
      <c r="F563" s="350">
        <v>124334343.0850862</v>
      </c>
      <c r="G563" s="350">
        <v>125296067.3964693</v>
      </c>
      <c r="H563" s="348">
        <v>616859596.28646302</v>
      </c>
      <c r="I563" s="369"/>
      <c r="J563" s="350">
        <v>158361110.59081712</v>
      </c>
      <c r="K563" s="350">
        <v>197004487.05286393</v>
      </c>
      <c r="L563" s="350">
        <v>236175594.18274817</v>
      </c>
      <c r="M563" s="350">
        <v>275933889.0660187</v>
      </c>
      <c r="N563" s="350">
        <v>316288946.8798188</v>
      </c>
      <c r="O563" s="348">
        <v>1183764027.7722669</v>
      </c>
      <c r="P563" s="369"/>
      <c r="Q563" s="350">
        <f t="shared" si="237"/>
        <v>36933421.367609844</v>
      </c>
      <c r="R563" s="350">
        <f t="shared" si="238"/>
        <v>74580847.865230531</v>
      </c>
      <c r="S563" s="350">
        <f t="shared" si="239"/>
        <v>112797736.7886813</v>
      </c>
      <c r="T563" s="350">
        <f t="shared" si="240"/>
        <v>151599545.9809325</v>
      </c>
      <c r="U563" s="350">
        <f t="shared" si="241"/>
        <v>190992879.4833495</v>
      </c>
      <c r="V563" s="350">
        <f t="shared" si="242"/>
        <v>566904431.48580384</v>
      </c>
      <c r="W563" s="365"/>
      <c r="X563" s="377">
        <f t="shared" si="220"/>
        <v>0</v>
      </c>
      <c r="Y563" s="377">
        <f t="shared" si="221"/>
        <v>0</v>
      </c>
      <c r="Z563" s="377">
        <f t="shared" si="222"/>
        <v>0</v>
      </c>
      <c r="AA563" s="377">
        <f t="shared" si="223"/>
        <v>0</v>
      </c>
      <c r="AB563" s="377">
        <f t="shared" si="224"/>
        <v>0</v>
      </c>
      <c r="AC563" s="377">
        <f t="shared" si="225"/>
        <v>0</v>
      </c>
      <c r="AD563" s="376"/>
      <c r="AE563" s="332">
        <v>548</v>
      </c>
      <c r="AF563" s="350">
        <v>120707907.02885655</v>
      </c>
      <c r="AG563" s="350">
        <v>121697953.3393842</v>
      </c>
      <c r="AH563" s="350">
        <v>122646515.26363932</v>
      </c>
      <c r="AI563" s="350">
        <v>123597331.2316</v>
      </c>
      <c r="AJ563" s="350">
        <v>124553354.76715811</v>
      </c>
      <c r="AK563" s="348">
        <v>613203061.63063812</v>
      </c>
      <c r="AL563" s="369"/>
      <c r="AM563" s="350">
        <v>156260200.9026584</v>
      </c>
      <c r="AN563" s="350">
        <v>193505013.2512418</v>
      </c>
      <c r="AO563" s="350">
        <v>231256744.99785525</v>
      </c>
      <c r="AP563" s="350">
        <v>269574015.21125686</v>
      </c>
      <c r="AQ563" s="350">
        <v>308466136.81335145</v>
      </c>
      <c r="AR563" s="348">
        <v>1159062111.1763637</v>
      </c>
      <c r="AS563" s="369"/>
      <c r="AT563" s="350">
        <f t="shared" si="243"/>
        <v>35552293.873801857</v>
      </c>
      <c r="AU563" s="350">
        <f t="shared" si="226"/>
        <v>71807059.911857605</v>
      </c>
      <c r="AV563" s="350">
        <f t="shared" si="227"/>
        <v>108610229.73421593</v>
      </c>
      <c r="AW563" s="350">
        <f t="shared" si="228"/>
        <v>145976683.97965688</v>
      </c>
      <c r="AX563" s="350">
        <f t="shared" si="229"/>
        <v>183912782.04619336</v>
      </c>
      <c r="AY563" s="350">
        <f t="shared" si="230"/>
        <v>545859049.54572558</v>
      </c>
      <c r="AZ563" s="365"/>
      <c r="BA563" s="377">
        <f t="shared" si="231"/>
        <v>0</v>
      </c>
      <c r="BB563" s="377">
        <f t="shared" si="232"/>
        <v>0</v>
      </c>
      <c r="BC563" s="377">
        <f t="shared" si="233"/>
        <v>0</v>
      </c>
      <c r="BD563" s="377">
        <f t="shared" si="234"/>
        <v>0</v>
      </c>
      <c r="BE563" s="377">
        <f t="shared" si="235"/>
        <v>0</v>
      </c>
      <c r="BF563" s="377">
        <f t="shared" si="236"/>
        <v>0</v>
      </c>
      <c r="BG563" s="328"/>
    </row>
    <row r="564" spans="2:59">
      <c r="B564" s="332">
        <v>549</v>
      </c>
      <c r="C564" s="350">
        <v>159955911.87165964</v>
      </c>
      <c r="D564" s="350">
        <v>161267870.33646646</v>
      </c>
      <c r="E564" s="350">
        <v>162524855.82561657</v>
      </c>
      <c r="F564" s="350">
        <v>163784828.2575877</v>
      </c>
      <c r="G564" s="350">
        <v>165051701.49037769</v>
      </c>
      <c r="H564" s="348">
        <v>812585167.781708</v>
      </c>
      <c r="I564" s="369"/>
      <c r="J564" s="350">
        <v>194661878.40400812</v>
      </c>
      <c r="K564" s="350">
        <v>231373608.1651988</v>
      </c>
      <c r="L564" s="350">
        <v>268565839.47449791</v>
      </c>
      <c r="M564" s="350">
        <v>306311059.10104805</v>
      </c>
      <c r="N564" s="350">
        <v>344619390.14403725</v>
      </c>
      <c r="O564" s="348">
        <v>1345531775.2887902</v>
      </c>
      <c r="P564" s="369"/>
      <c r="Q564" s="350">
        <f t="shared" si="237"/>
        <v>34705966.532348484</v>
      </c>
      <c r="R564" s="350">
        <f t="shared" si="238"/>
        <v>70105737.828732342</v>
      </c>
      <c r="S564" s="350">
        <f t="shared" si="239"/>
        <v>106040983.64888135</v>
      </c>
      <c r="T564" s="350">
        <f t="shared" si="240"/>
        <v>142526230.84346035</v>
      </c>
      <c r="U564" s="350">
        <f t="shared" si="241"/>
        <v>179567688.65365955</v>
      </c>
      <c r="V564" s="350">
        <f t="shared" si="242"/>
        <v>532946607.50708222</v>
      </c>
      <c r="W564" s="365"/>
      <c r="X564" s="377">
        <f t="shared" si="220"/>
        <v>0</v>
      </c>
      <c r="Y564" s="377">
        <f t="shared" si="221"/>
        <v>0</v>
      </c>
      <c r="Z564" s="377">
        <f t="shared" si="222"/>
        <v>0</v>
      </c>
      <c r="AA564" s="377">
        <f t="shared" si="223"/>
        <v>0</v>
      </c>
      <c r="AB564" s="377">
        <f t="shared" si="224"/>
        <v>0</v>
      </c>
      <c r="AC564" s="377">
        <f t="shared" si="225"/>
        <v>0</v>
      </c>
      <c r="AD564" s="376"/>
      <c r="AE564" s="332">
        <v>549</v>
      </c>
      <c r="AF564" s="350">
        <v>111279526.21689339</v>
      </c>
      <c r="AG564" s="350">
        <v>112192240.94354312</v>
      </c>
      <c r="AH564" s="350">
        <v>113066711.59021957</v>
      </c>
      <c r="AI564" s="350">
        <v>113943260.219373</v>
      </c>
      <c r="AJ564" s="350">
        <v>114824609.65792862</v>
      </c>
      <c r="AK564" s="348">
        <v>565306348.6279577</v>
      </c>
      <c r="AL564" s="369"/>
      <c r="AM564" s="350">
        <v>137083502.79144582</v>
      </c>
      <c r="AN564" s="350">
        <v>164315873.33914575</v>
      </c>
      <c r="AO564" s="350">
        <v>191908123.91691902</v>
      </c>
      <c r="AP564" s="350">
        <v>219911377.32930177</v>
      </c>
      <c r="AQ564" s="350">
        <v>248332972.96482784</v>
      </c>
      <c r="AR564" s="348">
        <v>961551850.34164023</v>
      </c>
      <c r="AS564" s="369"/>
      <c r="AT564" s="350">
        <f t="shared" si="243"/>
        <v>25803976.574552432</v>
      </c>
      <c r="AU564" s="350">
        <f t="shared" si="226"/>
        <v>52123632.395602629</v>
      </c>
      <c r="AV564" s="350">
        <f t="shared" si="227"/>
        <v>78841412.326699451</v>
      </c>
      <c r="AW564" s="350">
        <f t="shared" si="228"/>
        <v>105968117.10992877</v>
      </c>
      <c r="AX564" s="350">
        <f t="shared" si="229"/>
        <v>133508363.30689922</v>
      </c>
      <c r="AY564" s="350">
        <f t="shared" si="230"/>
        <v>396245501.71368253</v>
      </c>
      <c r="AZ564" s="365"/>
      <c r="BA564" s="377">
        <f t="shared" si="231"/>
        <v>0</v>
      </c>
      <c r="BB564" s="377">
        <f t="shared" si="232"/>
        <v>0</v>
      </c>
      <c r="BC564" s="377">
        <f t="shared" si="233"/>
        <v>0</v>
      </c>
      <c r="BD564" s="377">
        <f t="shared" si="234"/>
        <v>0</v>
      </c>
      <c r="BE564" s="377">
        <f t="shared" si="235"/>
        <v>0</v>
      </c>
      <c r="BF564" s="377">
        <f t="shared" si="236"/>
        <v>0</v>
      </c>
      <c r="BG564" s="328"/>
    </row>
    <row r="565" spans="2:59">
      <c r="B565" s="332">
        <v>550</v>
      </c>
      <c r="C565" s="350">
        <v>107394564.21748526</v>
      </c>
      <c r="D565" s="350">
        <v>108275414.48397887</v>
      </c>
      <c r="E565" s="350">
        <v>109119355.83791447</v>
      </c>
      <c r="F565" s="350">
        <v>109965302.62834102</v>
      </c>
      <c r="G565" s="350">
        <v>110815882.62355524</v>
      </c>
      <c r="H565" s="348">
        <v>545570519.79127479</v>
      </c>
      <c r="I565" s="369"/>
      <c r="J565" s="350">
        <v>139249653.49492121</v>
      </c>
      <c r="K565" s="350">
        <v>172613238.59062326</v>
      </c>
      <c r="L565" s="350">
        <v>206431260.51695436</v>
      </c>
      <c r="M565" s="350">
        <v>240755966.67465949</v>
      </c>
      <c r="N565" s="350">
        <v>275595682.62369823</v>
      </c>
      <c r="O565" s="348">
        <v>1034645801.9008565</v>
      </c>
      <c r="P565" s="369"/>
      <c r="Q565" s="350">
        <f t="shared" si="237"/>
        <v>31855089.277435943</v>
      </c>
      <c r="R565" s="350">
        <f t="shared" si="238"/>
        <v>64337824.106644392</v>
      </c>
      <c r="S565" s="350">
        <f t="shared" si="239"/>
        <v>97311904.679039896</v>
      </c>
      <c r="T565" s="350">
        <f t="shared" si="240"/>
        <v>130790664.04631847</v>
      </c>
      <c r="U565" s="350">
        <f t="shared" si="241"/>
        <v>164779800.00014299</v>
      </c>
      <c r="V565" s="350">
        <f t="shared" si="242"/>
        <v>489075282.10958171</v>
      </c>
      <c r="W565" s="365"/>
      <c r="X565" s="377">
        <f t="shared" si="220"/>
        <v>0</v>
      </c>
      <c r="Y565" s="377">
        <f t="shared" si="221"/>
        <v>0</v>
      </c>
      <c r="Z565" s="377">
        <f t="shared" si="222"/>
        <v>0</v>
      </c>
      <c r="AA565" s="377">
        <f t="shared" si="223"/>
        <v>0</v>
      </c>
      <c r="AB565" s="377">
        <f t="shared" si="224"/>
        <v>0</v>
      </c>
      <c r="AC565" s="377">
        <f t="shared" si="225"/>
        <v>0</v>
      </c>
      <c r="AD565" s="376"/>
      <c r="AE565" s="332">
        <v>550</v>
      </c>
      <c r="AF565" s="350">
        <v>130090285.0928722</v>
      </c>
      <c r="AG565" s="350">
        <v>131157285.67271745</v>
      </c>
      <c r="AH565" s="350">
        <v>132179577.37002176</v>
      </c>
      <c r="AI565" s="350">
        <v>133204298.31322637</v>
      </c>
      <c r="AJ565" s="350">
        <v>134234631.59757796</v>
      </c>
      <c r="AK565" s="348">
        <v>660866078.04641569</v>
      </c>
      <c r="AL565" s="369"/>
      <c r="AM565" s="350">
        <v>160927051.46339187</v>
      </c>
      <c r="AN565" s="350">
        <v>193465719.85266751</v>
      </c>
      <c r="AO565" s="350">
        <v>226435743.96600974</v>
      </c>
      <c r="AP565" s="350">
        <v>259897170.27921125</v>
      </c>
      <c r="AQ565" s="350">
        <v>293858701.7060495</v>
      </c>
      <c r="AR565" s="348">
        <v>1134584387.2673299</v>
      </c>
      <c r="AS565" s="369"/>
      <c r="AT565" s="350">
        <f t="shared" si="243"/>
        <v>30836766.370519668</v>
      </c>
      <c r="AU565" s="350">
        <f t="shared" si="226"/>
        <v>62308434.179950058</v>
      </c>
      <c r="AV565" s="350">
        <f t="shared" si="227"/>
        <v>94256166.595987976</v>
      </c>
      <c r="AW565" s="350">
        <f t="shared" si="228"/>
        <v>126692871.96598488</v>
      </c>
      <c r="AX565" s="350">
        <f t="shared" si="229"/>
        <v>159624070.10847154</v>
      </c>
      <c r="AY565" s="350">
        <f t="shared" si="230"/>
        <v>473718309.22091424</v>
      </c>
      <c r="AZ565" s="365"/>
      <c r="BA565" s="377">
        <f t="shared" si="231"/>
        <v>0</v>
      </c>
      <c r="BB565" s="377">
        <f t="shared" si="232"/>
        <v>0</v>
      </c>
      <c r="BC565" s="377">
        <f t="shared" si="233"/>
        <v>0</v>
      </c>
      <c r="BD565" s="377">
        <f t="shared" si="234"/>
        <v>0</v>
      </c>
      <c r="BE565" s="377">
        <f t="shared" si="235"/>
        <v>0</v>
      </c>
      <c r="BF565" s="377">
        <f t="shared" si="236"/>
        <v>0</v>
      </c>
      <c r="BG565" s="328"/>
    </row>
    <row r="566" spans="2:59">
      <c r="B566" s="332">
        <v>551</v>
      </c>
      <c r="C566" s="350">
        <v>148285967.02467924</v>
      </c>
      <c r="D566" s="350">
        <v>149502208.59633303</v>
      </c>
      <c r="E566" s="350">
        <v>150667487.86993793</v>
      </c>
      <c r="F566" s="350">
        <v>151835536.16720358</v>
      </c>
      <c r="G566" s="350">
        <v>153009981.80177742</v>
      </c>
      <c r="H566" s="348">
        <v>753301181.45993114</v>
      </c>
      <c r="I566" s="369"/>
      <c r="J566" s="350">
        <v>180683746.39668286</v>
      </c>
      <c r="K566" s="350">
        <v>214942981.11125058</v>
      </c>
      <c r="L566" s="350">
        <v>249651077.12279552</v>
      </c>
      <c r="M566" s="350">
        <v>284875326.33147275</v>
      </c>
      <c r="N566" s="350">
        <v>320625152.96087939</v>
      </c>
      <c r="O566" s="348">
        <v>1250778283.9230812</v>
      </c>
      <c r="P566" s="369"/>
      <c r="Q566" s="350">
        <f t="shared" si="237"/>
        <v>32397779.372003615</v>
      </c>
      <c r="R566" s="350">
        <f t="shared" si="238"/>
        <v>65440772.514917552</v>
      </c>
      <c r="S566" s="350">
        <f t="shared" si="239"/>
        <v>98983589.252857596</v>
      </c>
      <c r="T566" s="350">
        <f t="shared" si="240"/>
        <v>133039790.16426918</v>
      </c>
      <c r="U566" s="350">
        <f t="shared" si="241"/>
        <v>167615171.15910196</v>
      </c>
      <c r="V566" s="350">
        <f t="shared" si="242"/>
        <v>497477102.46315002</v>
      </c>
      <c r="W566" s="365"/>
      <c r="X566" s="377">
        <f t="shared" si="220"/>
        <v>0</v>
      </c>
      <c r="Y566" s="377">
        <f t="shared" si="221"/>
        <v>0</v>
      </c>
      <c r="Z566" s="377">
        <f t="shared" si="222"/>
        <v>0</v>
      </c>
      <c r="AA566" s="377">
        <f t="shared" si="223"/>
        <v>0</v>
      </c>
      <c r="AB566" s="377">
        <f t="shared" si="224"/>
        <v>0</v>
      </c>
      <c r="AC566" s="377">
        <f t="shared" si="225"/>
        <v>0</v>
      </c>
      <c r="AD566" s="376"/>
      <c r="AE566" s="332">
        <v>551</v>
      </c>
      <c r="AF566" s="350">
        <v>128879693.1945823</v>
      </c>
      <c r="AG566" s="350">
        <v>129936764.49910527</v>
      </c>
      <c r="AH566" s="350">
        <v>130949542.97222415</v>
      </c>
      <c r="AI566" s="350">
        <v>131964728.08520925</v>
      </c>
      <c r="AJ566" s="350">
        <v>132985473.31211531</v>
      </c>
      <c r="AK566" s="348">
        <v>654716202.06323624</v>
      </c>
      <c r="AL566" s="369"/>
      <c r="AM566" s="350">
        <v>161886809.69621676</v>
      </c>
      <c r="AN566" s="350">
        <v>196591072.8068364</v>
      </c>
      <c r="AO566" s="350">
        <v>231759998.0833877</v>
      </c>
      <c r="AP566" s="350">
        <v>267454099.66301054</v>
      </c>
      <c r="AQ566" s="350">
        <v>303682433.30244505</v>
      </c>
      <c r="AR566" s="348">
        <v>1161374413.5518966</v>
      </c>
      <c r="AS566" s="369"/>
      <c r="AT566" s="350">
        <f t="shared" si="243"/>
        <v>33007116.501634464</v>
      </c>
      <c r="AU566" s="350">
        <f t="shared" si="226"/>
        <v>66654308.307731122</v>
      </c>
      <c r="AV566" s="350">
        <f t="shared" si="227"/>
        <v>100810455.11116356</v>
      </c>
      <c r="AW566" s="350">
        <f t="shared" si="228"/>
        <v>135489371.57780129</v>
      </c>
      <c r="AX566" s="350">
        <f t="shared" si="229"/>
        <v>170696959.99032974</v>
      </c>
      <c r="AY566" s="350">
        <f t="shared" si="230"/>
        <v>506658211.48866034</v>
      </c>
      <c r="AZ566" s="365"/>
      <c r="BA566" s="377">
        <f t="shared" si="231"/>
        <v>0</v>
      </c>
      <c r="BB566" s="377">
        <f t="shared" si="232"/>
        <v>0</v>
      </c>
      <c r="BC566" s="377">
        <f t="shared" si="233"/>
        <v>0</v>
      </c>
      <c r="BD566" s="377">
        <f t="shared" si="234"/>
        <v>0</v>
      </c>
      <c r="BE566" s="377">
        <f t="shared" si="235"/>
        <v>0</v>
      </c>
      <c r="BF566" s="377">
        <f t="shared" si="236"/>
        <v>0</v>
      </c>
      <c r="BG566" s="328"/>
    </row>
    <row r="567" spans="2:59">
      <c r="B567" s="332">
        <v>552</v>
      </c>
      <c r="C567" s="350">
        <v>127840035.52725367</v>
      </c>
      <c r="D567" s="350">
        <v>128888579.55909763</v>
      </c>
      <c r="E567" s="350">
        <v>129893188.06471591</v>
      </c>
      <c r="F567" s="350">
        <v>130900183.79611334</v>
      </c>
      <c r="G567" s="350">
        <v>131912694.78863201</v>
      </c>
      <c r="H567" s="348">
        <v>649434681.73581254</v>
      </c>
      <c r="I567" s="369"/>
      <c r="J567" s="350">
        <v>158139450.99952567</v>
      </c>
      <c r="K567" s="350">
        <v>190096947.58770257</v>
      </c>
      <c r="L567" s="350">
        <v>222478054.58609143</v>
      </c>
      <c r="M567" s="350">
        <v>255341777.36300069</v>
      </c>
      <c r="N567" s="350">
        <v>288696665.40294099</v>
      </c>
      <c r="O567" s="348">
        <v>1114752895.9392614</v>
      </c>
      <c r="P567" s="369"/>
      <c r="Q567" s="350">
        <f t="shared" si="237"/>
        <v>30299415.472271994</v>
      </c>
      <c r="R567" s="350">
        <f t="shared" si="238"/>
        <v>61208368.02860494</v>
      </c>
      <c r="S567" s="350">
        <f t="shared" si="239"/>
        <v>92584866.521375522</v>
      </c>
      <c r="T567" s="350">
        <f t="shared" si="240"/>
        <v>124441593.56688735</v>
      </c>
      <c r="U567" s="350">
        <f t="shared" si="241"/>
        <v>156783970.61430898</v>
      </c>
      <c r="V567" s="350">
        <f t="shared" si="242"/>
        <v>465318214.20344889</v>
      </c>
      <c r="W567" s="365"/>
      <c r="X567" s="377">
        <f t="shared" si="220"/>
        <v>0</v>
      </c>
      <c r="Y567" s="377">
        <f t="shared" si="221"/>
        <v>0</v>
      </c>
      <c r="Z567" s="377">
        <f t="shared" si="222"/>
        <v>0</v>
      </c>
      <c r="AA567" s="377">
        <f t="shared" si="223"/>
        <v>0</v>
      </c>
      <c r="AB567" s="377">
        <f t="shared" si="224"/>
        <v>0</v>
      </c>
      <c r="AC567" s="377">
        <f t="shared" si="225"/>
        <v>0</v>
      </c>
      <c r="AD567" s="376"/>
      <c r="AE567" s="332">
        <v>552</v>
      </c>
      <c r="AF567" s="350">
        <v>118813665.92599717</v>
      </c>
      <c r="AG567" s="350">
        <v>119788175.67010348</v>
      </c>
      <c r="AH567" s="350">
        <v>120721852.03275982</v>
      </c>
      <c r="AI567" s="350">
        <v>121657747.06693834</v>
      </c>
      <c r="AJ567" s="350">
        <v>122598767.94756743</v>
      </c>
      <c r="AK567" s="348">
        <v>603580208.64336622</v>
      </c>
      <c r="AL567" s="369"/>
      <c r="AM567" s="350">
        <v>150187745.4013074</v>
      </c>
      <c r="AN567" s="350">
        <v>183167561.33882281</v>
      </c>
      <c r="AO567" s="350">
        <v>216590673.91627753</v>
      </c>
      <c r="AP567" s="350">
        <v>250513267.63571322</v>
      </c>
      <c r="AQ567" s="350">
        <v>284943863.42072088</v>
      </c>
      <c r="AR567" s="348">
        <v>1085403111.7128417</v>
      </c>
      <c r="AS567" s="369"/>
      <c r="AT567" s="350">
        <f t="shared" si="243"/>
        <v>31374079.475310236</v>
      </c>
      <c r="AU567" s="350">
        <f t="shared" si="226"/>
        <v>63379385.668719336</v>
      </c>
      <c r="AV567" s="350">
        <f t="shared" si="227"/>
        <v>95868821.883517712</v>
      </c>
      <c r="AW567" s="350">
        <f t="shared" si="228"/>
        <v>128855520.56877488</v>
      </c>
      <c r="AX567" s="350">
        <f t="shared" si="229"/>
        <v>162345095.47315344</v>
      </c>
      <c r="AY567" s="350">
        <f t="shared" si="230"/>
        <v>481822903.06947553</v>
      </c>
      <c r="AZ567" s="365"/>
      <c r="BA567" s="377">
        <f t="shared" si="231"/>
        <v>0</v>
      </c>
      <c r="BB567" s="377">
        <f t="shared" si="232"/>
        <v>0</v>
      </c>
      <c r="BC567" s="377">
        <f t="shared" si="233"/>
        <v>0</v>
      </c>
      <c r="BD567" s="377">
        <f t="shared" si="234"/>
        <v>0</v>
      </c>
      <c r="BE567" s="377">
        <f t="shared" si="235"/>
        <v>0</v>
      </c>
      <c r="BF567" s="377">
        <f t="shared" si="236"/>
        <v>0</v>
      </c>
      <c r="BG567" s="328"/>
    </row>
    <row r="568" spans="2:59">
      <c r="B568" s="332">
        <v>553</v>
      </c>
      <c r="C568" s="350">
        <v>140634976.6217989</v>
      </c>
      <c r="D568" s="350">
        <v>141788464.76655048</v>
      </c>
      <c r="E568" s="350">
        <v>142893620.07348526</v>
      </c>
      <c r="F568" s="350">
        <v>144001401.53301987</v>
      </c>
      <c r="G568" s="350">
        <v>145115250.25165403</v>
      </c>
      <c r="H568" s="348">
        <v>714433713.2465086</v>
      </c>
      <c r="I568" s="369"/>
      <c r="J568" s="350">
        <v>178622413.39913794</v>
      </c>
      <c r="K568" s="350">
        <v>218533836.36689985</v>
      </c>
      <c r="L568" s="350">
        <v>258983203.39862692</v>
      </c>
      <c r="M568" s="350">
        <v>300037374.4743824</v>
      </c>
      <c r="N568" s="350">
        <v>341706588.72274023</v>
      </c>
      <c r="O568" s="348">
        <v>1297883416.3617873</v>
      </c>
      <c r="P568" s="369"/>
      <c r="Q568" s="350">
        <f t="shared" si="237"/>
        <v>37987436.777339041</v>
      </c>
      <c r="R568" s="350">
        <f t="shared" si="238"/>
        <v>76745371.600349367</v>
      </c>
      <c r="S568" s="350">
        <f t="shared" si="239"/>
        <v>116089583.32514167</v>
      </c>
      <c r="T568" s="350">
        <f t="shared" si="240"/>
        <v>156035972.94136253</v>
      </c>
      <c r="U568" s="350">
        <f t="shared" si="241"/>
        <v>196591338.4710862</v>
      </c>
      <c r="V568" s="350">
        <f t="shared" si="242"/>
        <v>583449703.11527872</v>
      </c>
      <c r="W568" s="365"/>
      <c r="X568" s="377">
        <f t="shared" si="220"/>
        <v>0</v>
      </c>
      <c r="Y568" s="377">
        <f t="shared" si="221"/>
        <v>0</v>
      </c>
      <c r="Z568" s="377">
        <f t="shared" si="222"/>
        <v>0</v>
      </c>
      <c r="AA568" s="377">
        <f t="shared" si="223"/>
        <v>0</v>
      </c>
      <c r="AB568" s="377">
        <f t="shared" si="224"/>
        <v>0</v>
      </c>
      <c r="AC568" s="377">
        <f t="shared" si="225"/>
        <v>0</v>
      </c>
      <c r="AD568" s="376"/>
      <c r="AE568" s="332">
        <v>553</v>
      </c>
      <c r="AF568" s="350">
        <v>143061605.94886899</v>
      </c>
      <c r="AG568" s="350">
        <v>144234997.3085086</v>
      </c>
      <c r="AH568" s="350">
        <v>145359221.85656106</v>
      </c>
      <c r="AI568" s="350">
        <v>146486117.87096858</v>
      </c>
      <c r="AJ568" s="350">
        <v>147619185.83385822</v>
      </c>
      <c r="AK568" s="348">
        <v>726761128.81876552</v>
      </c>
      <c r="AL568" s="369"/>
      <c r="AM568" s="350">
        <v>179366038.72151917</v>
      </c>
      <c r="AN568" s="350">
        <v>217565804.65800112</v>
      </c>
      <c r="AO568" s="350">
        <v>256276481.35087609</v>
      </c>
      <c r="AP568" s="350">
        <v>295565102.78544438</v>
      </c>
      <c r="AQ568" s="350">
        <v>335441664.08371079</v>
      </c>
      <c r="AR568" s="348">
        <v>1284215091.5995517</v>
      </c>
      <c r="AS568" s="369"/>
      <c r="AT568" s="350">
        <f t="shared" si="243"/>
        <v>36304432.772650182</v>
      </c>
      <c r="AU568" s="350">
        <f t="shared" si="226"/>
        <v>73330807.34949252</v>
      </c>
      <c r="AV568" s="350">
        <f t="shared" si="227"/>
        <v>110917259.49431503</v>
      </c>
      <c r="AW568" s="350">
        <f t="shared" si="228"/>
        <v>149078984.9144758</v>
      </c>
      <c r="AX568" s="350">
        <f t="shared" si="229"/>
        <v>187822478.24985257</v>
      </c>
      <c r="AY568" s="350">
        <f t="shared" si="230"/>
        <v>557453962.78078616</v>
      </c>
      <c r="AZ568" s="365"/>
      <c r="BA568" s="377">
        <f t="shared" si="231"/>
        <v>0</v>
      </c>
      <c r="BB568" s="377">
        <f t="shared" si="232"/>
        <v>0</v>
      </c>
      <c r="BC568" s="377">
        <f t="shared" si="233"/>
        <v>0</v>
      </c>
      <c r="BD568" s="377">
        <f t="shared" si="234"/>
        <v>0</v>
      </c>
      <c r="BE568" s="377">
        <f t="shared" si="235"/>
        <v>0</v>
      </c>
      <c r="BF568" s="377">
        <f t="shared" si="236"/>
        <v>0</v>
      </c>
      <c r="BG568" s="328"/>
    </row>
    <row r="569" spans="2:59">
      <c r="B569" s="332">
        <v>554</v>
      </c>
      <c r="C569" s="350">
        <v>109093167.48940775</v>
      </c>
      <c r="D569" s="350">
        <v>109987949.70074081</v>
      </c>
      <c r="E569" s="350">
        <v>110845239.23068103</v>
      </c>
      <c r="F569" s="350">
        <v>111704565.91604507</v>
      </c>
      <c r="G569" s="350">
        <v>112568599.08715722</v>
      </c>
      <c r="H569" s="348">
        <v>554199521.42403185</v>
      </c>
      <c r="I569" s="369"/>
      <c r="J569" s="350">
        <v>134592905.96917057</v>
      </c>
      <c r="K569" s="350">
        <v>161489346.57713068</v>
      </c>
      <c r="L569" s="350">
        <v>188741604.87757593</v>
      </c>
      <c r="M569" s="350">
        <v>216399883.67810595</v>
      </c>
      <c r="N569" s="350">
        <v>244471413.26756194</v>
      </c>
      <c r="O569" s="348">
        <v>945695154.36954498</v>
      </c>
      <c r="P569" s="369"/>
      <c r="Q569" s="350">
        <f t="shared" si="237"/>
        <v>25499738.479762822</v>
      </c>
      <c r="R569" s="350">
        <f t="shared" si="238"/>
        <v>51501396.876389861</v>
      </c>
      <c r="S569" s="350">
        <f t="shared" si="239"/>
        <v>77896365.646894902</v>
      </c>
      <c r="T569" s="350">
        <f t="shared" si="240"/>
        <v>104695317.76206088</v>
      </c>
      <c r="U569" s="350">
        <f t="shared" si="241"/>
        <v>131902814.18040472</v>
      </c>
      <c r="V569" s="350">
        <f t="shared" si="242"/>
        <v>391495632.94551313</v>
      </c>
      <c r="W569" s="365"/>
      <c r="X569" s="377">
        <f t="shared" si="220"/>
        <v>0</v>
      </c>
      <c r="Y569" s="377">
        <f t="shared" si="221"/>
        <v>0</v>
      </c>
      <c r="Z569" s="377">
        <f t="shared" si="222"/>
        <v>0</v>
      </c>
      <c r="AA569" s="377">
        <f t="shared" si="223"/>
        <v>0</v>
      </c>
      <c r="AB569" s="377">
        <f t="shared" si="224"/>
        <v>0</v>
      </c>
      <c r="AC569" s="377">
        <f t="shared" si="225"/>
        <v>0</v>
      </c>
      <c r="AD569" s="376"/>
      <c r="AE569" s="332">
        <v>554</v>
      </c>
      <c r="AF569" s="350">
        <v>157859635.51874134</v>
      </c>
      <c r="AG569" s="350">
        <v>159154400.32391033</v>
      </c>
      <c r="AH569" s="350">
        <v>160394912.59287095</v>
      </c>
      <c r="AI569" s="350">
        <v>161638372.65975621</v>
      </c>
      <c r="AJ569" s="350">
        <v>162888643.09013045</v>
      </c>
      <c r="AK569" s="348">
        <v>801935964.18540931</v>
      </c>
      <c r="AL569" s="369"/>
      <c r="AM569" s="350">
        <v>188818987.0716399</v>
      </c>
      <c r="AN569" s="350">
        <v>221717633.74459758</v>
      </c>
      <c r="AO569" s="350">
        <v>255040095.74194521</v>
      </c>
      <c r="AP569" s="350">
        <v>288856533.45441616</v>
      </c>
      <c r="AQ569" s="350">
        <v>323176352.29351729</v>
      </c>
      <c r="AR569" s="348">
        <v>1277609602.3061161</v>
      </c>
      <c r="AS569" s="369"/>
      <c r="AT569" s="350">
        <f t="shared" si="243"/>
        <v>30959351.552898556</v>
      </c>
      <c r="AU569" s="350">
        <f t="shared" si="226"/>
        <v>62563233.420687258</v>
      </c>
      <c r="AV569" s="350">
        <f t="shared" si="227"/>
        <v>94645183.149074256</v>
      </c>
      <c r="AW569" s="350">
        <f t="shared" si="228"/>
        <v>127218160.79465994</v>
      </c>
      <c r="AX569" s="350">
        <f t="shared" si="229"/>
        <v>160287709.20338684</v>
      </c>
      <c r="AY569" s="350">
        <f t="shared" si="230"/>
        <v>475673638.1207068</v>
      </c>
      <c r="AZ569" s="365"/>
      <c r="BA569" s="377">
        <f t="shared" si="231"/>
        <v>0</v>
      </c>
      <c r="BB569" s="377">
        <f t="shared" si="232"/>
        <v>0</v>
      </c>
      <c r="BC569" s="377">
        <f t="shared" si="233"/>
        <v>0</v>
      </c>
      <c r="BD569" s="377">
        <f t="shared" si="234"/>
        <v>0</v>
      </c>
      <c r="BE569" s="377">
        <f t="shared" si="235"/>
        <v>0</v>
      </c>
      <c r="BF569" s="377">
        <f t="shared" si="236"/>
        <v>0</v>
      </c>
      <c r="BG569" s="328"/>
    </row>
    <row r="570" spans="2:59">
      <c r="B570" s="332">
        <v>555</v>
      </c>
      <c r="C570" s="350">
        <v>103021021.92895904</v>
      </c>
      <c r="D570" s="350">
        <v>103866000.39953411</v>
      </c>
      <c r="E570" s="350">
        <v>104675573.03818728</v>
      </c>
      <c r="F570" s="350">
        <v>105487069.44382265</v>
      </c>
      <c r="G570" s="350">
        <v>106303010.37135264</v>
      </c>
      <c r="H570" s="348">
        <v>523352675.1818558</v>
      </c>
      <c r="I570" s="369"/>
      <c r="J570" s="350">
        <v>130598275.74079598</v>
      </c>
      <c r="K570" s="350">
        <v>159554145.52482533</v>
      </c>
      <c r="L570" s="350">
        <v>188899820.61867371</v>
      </c>
      <c r="M570" s="350">
        <v>218684172.63077173</v>
      </c>
      <c r="N570" s="350">
        <v>248914653.4646076</v>
      </c>
      <c r="O570" s="348">
        <v>946651067.97967434</v>
      </c>
      <c r="P570" s="369"/>
      <c r="Q570" s="350">
        <f t="shared" si="237"/>
        <v>27577253.811836943</v>
      </c>
      <c r="R570" s="350">
        <f t="shared" si="238"/>
        <v>55688145.125291228</v>
      </c>
      <c r="S570" s="350">
        <f t="shared" si="239"/>
        <v>84224247.580486432</v>
      </c>
      <c r="T570" s="350">
        <f t="shared" si="240"/>
        <v>113197103.18694907</v>
      </c>
      <c r="U570" s="350">
        <f t="shared" si="241"/>
        <v>142611643.09325495</v>
      </c>
      <c r="V570" s="350">
        <f t="shared" si="242"/>
        <v>423298392.79781854</v>
      </c>
      <c r="W570" s="365"/>
      <c r="X570" s="377">
        <f t="shared" si="220"/>
        <v>0</v>
      </c>
      <c r="Y570" s="377">
        <f t="shared" si="221"/>
        <v>0</v>
      </c>
      <c r="Z570" s="377">
        <f t="shared" si="222"/>
        <v>0</v>
      </c>
      <c r="AA570" s="377">
        <f t="shared" si="223"/>
        <v>0</v>
      </c>
      <c r="AB570" s="377">
        <f t="shared" si="224"/>
        <v>0</v>
      </c>
      <c r="AC570" s="377">
        <f t="shared" si="225"/>
        <v>0</v>
      </c>
      <c r="AD570" s="376"/>
      <c r="AE570" s="332">
        <v>555</v>
      </c>
      <c r="AF570" s="350">
        <v>142209944.87777483</v>
      </c>
      <c r="AG570" s="350">
        <v>143376350.91290659</v>
      </c>
      <c r="AH570" s="350">
        <v>144493882.83174947</v>
      </c>
      <c r="AI570" s="350">
        <v>145614070.31342191</v>
      </c>
      <c r="AJ570" s="350">
        <v>146740393.0013057</v>
      </c>
      <c r="AK570" s="348">
        <v>722434641.93715847</v>
      </c>
      <c r="AL570" s="369"/>
      <c r="AM570" s="350">
        <v>181937738.56849825</v>
      </c>
      <c r="AN570" s="350">
        <v>223608377.64475203</v>
      </c>
      <c r="AO570" s="350">
        <v>265842821.54354423</v>
      </c>
      <c r="AP570" s="350">
        <v>308709227.79049218</v>
      </c>
      <c r="AQ570" s="350">
        <v>352218181.0144102</v>
      </c>
      <c r="AR570" s="348">
        <v>1332316346.5616968</v>
      </c>
      <c r="AS570" s="369"/>
      <c r="AT570" s="350">
        <f t="shared" si="243"/>
        <v>39727793.690723419</v>
      </c>
      <c r="AU570" s="350">
        <f t="shared" si="226"/>
        <v>80232026.731845438</v>
      </c>
      <c r="AV570" s="350">
        <f t="shared" si="227"/>
        <v>121348938.71179476</v>
      </c>
      <c r="AW570" s="350">
        <f t="shared" si="228"/>
        <v>163095157.47707027</v>
      </c>
      <c r="AX570" s="350">
        <f t="shared" si="229"/>
        <v>205477788.0131045</v>
      </c>
      <c r="AY570" s="350">
        <f t="shared" si="230"/>
        <v>609881704.6245383</v>
      </c>
      <c r="AZ570" s="365"/>
      <c r="BA570" s="377">
        <f t="shared" si="231"/>
        <v>0</v>
      </c>
      <c r="BB570" s="377">
        <f t="shared" si="232"/>
        <v>0</v>
      </c>
      <c r="BC570" s="377">
        <f t="shared" si="233"/>
        <v>0</v>
      </c>
      <c r="BD570" s="377">
        <f t="shared" si="234"/>
        <v>0</v>
      </c>
      <c r="BE570" s="377">
        <f t="shared" si="235"/>
        <v>0</v>
      </c>
      <c r="BF570" s="377">
        <f t="shared" si="236"/>
        <v>0</v>
      </c>
      <c r="BG570" s="328"/>
    </row>
    <row r="571" spans="2:59">
      <c r="B571" s="332">
        <v>556</v>
      </c>
      <c r="C571" s="350">
        <v>124990889.81211698</v>
      </c>
      <c r="D571" s="350">
        <v>126016065.14945817</v>
      </c>
      <c r="E571" s="350">
        <v>126998284.1430009</v>
      </c>
      <c r="F571" s="350">
        <v>127982837.15869163</v>
      </c>
      <c r="G571" s="350">
        <v>128972782.51796433</v>
      </c>
      <c r="H571" s="348">
        <v>634960858.781232</v>
      </c>
      <c r="I571" s="369"/>
      <c r="J571" s="350">
        <v>155655064.26680776</v>
      </c>
      <c r="K571" s="350">
        <v>187960080.36639518</v>
      </c>
      <c r="L571" s="350">
        <v>220695295.76035994</v>
      </c>
      <c r="M571" s="350">
        <v>253918836.04324609</v>
      </c>
      <c r="N571" s="350">
        <v>287639246.06718224</v>
      </c>
      <c r="O571" s="348">
        <v>1105868522.5039911</v>
      </c>
      <c r="P571" s="369"/>
      <c r="Q571" s="350">
        <f t="shared" si="237"/>
        <v>30664174.454690784</v>
      </c>
      <c r="R571" s="350">
        <f t="shared" si="238"/>
        <v>61944015.216937006</v>
      </c>
      <c r="S571" s="350">
        <f t="shared" si="239"/>
        <v>93697011.617359042</v>
      </c>
      <c r="T571" s="350">
        <f t="shared" si="240"/>
        <v>125935998.88455446</v>
      </c>
      <c r="U571" s="350">
        <f t="shared" si="241"/>
        <v>158666463.54921791</v>
      </c>
      <c r="V571" s="350">
        <f t="shared" si="242"/>
        <v>470907663.72275913</v>
      </c>
      <c r="W571" s="365"/>
      <c r="X571" s="377">
        <f t="shared" si="220"/>
        <v>0</v>
      </c>
      <c r="Y571" s="377">
        <f t="shared" si="221"/>
        <v>0</v>
      </c>
      <c r="Z571" s="377">
        <f t="shared" si="222"/>
        <v>0</v>
      </c>
      <c r="AA571" s="377">
        <f t="shared" si="223"/>
        <v>0</v>
      </c>
      <c r="AB571" s="377">
        <f t="shared" si="224"/>
        <v>0</v>
      </c>
      <c r="AC571" s="377">
        <f t="shared" si="225"/>
        <v>0</v>
      </c>
      <c r="AD571" s="376"/>
      <c r="AE571" s="332">
        <v>556</v>
      </c>
      <c r="AF571" s="350">
        <v>162822836.70493671</v>
      </c>
      <c r="AG571" s="350">
        <v>164158309.68858173</v>
      </c>
      <c r="AH571" s="350">
        <v>165437824.40389013</v>
      </c>
      <c r="AI571" s="350">
        <v>166720379.59764975</v>
      </c>
      <c r="AJ571" s="350">
        <v>168009959.27679241</v>
      </c>
      <c r="AK571" s="348">
        <v>827149309.6718508</v>
      </c>
      <c r="AL571" s="369"/>
      <c r="AM571" s="350">
        <v>204161709.67212898</v>
      </c>
      <c r="AN571" s="350">
        <v>247633551.59729752</v>
      </c>
      <c r="AO571" s="350">
        <v>291686797.53653425</v>
      </c>
      <c r="AP571" s="350">
        <v>336397747.81181496</v>
      </c>
      <c r="AQ571" s="350">
        <v>381777777.95153129</v>
      </c>
      <c r="AR571" s="348">
        <v>1461657584.5693069</v>
      </c>
      <c r="AS571" s="369"/>
      <c r="AT571" s="350">
        <f t="shared" si="243"/>
        <v>41338872.967192262</v>
      </c>
      <c r="AU571" s="350">
        <f t="shared" si="226"/>
        <v>83475241.908715785</v>
      </c>
      <c r="AV571" s="350">
        <f t="shared" si="227"/>
        <v>126248973.13264412</v>
      </c>
      <c r="AW571" s="350">
        <f t="shared" si="228"/>
        <v>169677368.21416521</v>
      </c>
      <c r="AX571" s="350">
        <f t="shared" si="229"/>
        <v>213767818.67473888</v>
      </c>
      <c r="AY571" s="350">
        <f t="shared" si="230"/>
        <v>634508274.89745605</v>
      </c>
      <c r="AZ571" s="365"/>
      <c r="BA571" s="377">
        <f t="shared" si="231"/>
        <v>0</v>
      </c>
      <c r="BB571" s="377">
        <f t="shared" si="232"/>
        <v>0</v>
      </c>
      <c r="BC571" s="377">
        <f t="shared" si="233"/>
        <v>0</v>
      </c>
      <c r="BD571" s="377">
        <f t="shared" si="234"/>
        <v>0</v>
      </c>
      <c r="BE571" s="377">
        <f t="shared" si="235"/>
        <v>0</v>
      </c>
      <c r="BF571" s="377">
        <f t="shared" si="236"/>
        <v>0</v>
      </c>
      <c r="BG571" s="328"/>
    </row>
    <row r="572" spans="2:59">
      <c r="B572" s="332">
        <v>557</v>
      </c>
      <c r="C572" s="350">
        <v>139938267.58159685</v>
      </c>
      <c r="D572" s="350">
        <v>141086041.31847122</v>
      </c>
      <c r="E572" s="350">
        <v>142185721.65956426</v>
      </c>
      <c r="F572" s="350">
        <v>143288015.14323419</v>
      </c>
      <c r="G572" s="350">
        <v>144396345.82865685</v>
      </c>
      <c r="H572" s="348">
        <v>710894391.53152347</v>
      </c>
      <c r="I572" s="369"/>
      <c r="J572" s="350">
        <v>180529145.76710752</v>
      </c>
      <c r="K572" s="350">
        <v>223058012.0618836</v>
      </c>
      <c r="L572" s="350">
        <v>266164726.1040473</v>
      </c>
      <c r="M572" s="350">
        <v>309916983.34579074</v>
      </c>
      <c r="N572" s="350">
        <v>354325466.71506965</v>
      </c>
      <c r="O572" s="348">
        <v>1333994333.9938989</v>
      </c>
      <c r="P572" s="369"/>
      <c r="Q572" s="350">
        <f t="shared" si="237"/>
        <v>40590878.185510665</v>
      </c>
      <c r="R572" s="350">
        <f t="shared" si="238"/>
        <v>81971970.743412375</v>
      </c>
      <c r="S572" s="350">
        <f t="shared" si="239"/>
        <v>123979004.44448304</v>
      </c>
      <c r="T572" s="350">
        <f t="shared" si="240"/>
        <v>166628968.20255655</v>
      </c>
      <c r="U572" s="350">
        <f t="shared" si="241"/>
        <v>209929120.8864128</v>
      </c>
      <c r="V572" s="350">
        <f t="shared" si="242"/>
        <v>623099942.4623754</v>
      </c>
      <c r="W572" s="365"/>
      <c r="X572" s="377">
        <f t="shared" si="220"/>
        <v>0</v>
      </c>
      <c r="Y572" s="377">
        <f t="shared" si="221"/>
        <v>0</v>
      </c>
      <c r="Z572" s="377">
        <f t="shared" si="222"/>
        <v>0</v>
      </c>
      <c r="AA572" s="377">
        <f t="shared" si="223"/>
        <v>0</v>
      </c>
      <c r="AB572" s="377">
        <f t="shared" si="224"/>
        <v>0</v>
      </c>
      <c r="AC572" s="377">
        <f t="shared" si="225"/>
        <v>0</v>
      </c>
      <c r="AD572" s="376"/>
      <c r="AE572" s="332">
        <v>557</v>
      </c>
      <c r="AF572" s="350">
        <v>143301270.17621559</v>
      </c>
      <c r="AG572" s="350">
        <v>144476627.26196122</v>
      </c>
      <c r="AH572" s="350">
        <v>145602735.16932511</v>
      </c>
      <c r="AI572" s="350">
        <v>146731519.01842317</v>
      </c>
      <c r="AJ572" s="350">
        <v>147866485.15557173</v>
      </c>
      <c r="AK572" s="348">
        <v>727978636.78149676</v>
      </c>
      <c r="AL572" s="369"/>
      <c r="AM572" s="350">
        <v>185725298.1273213</v>
      </c>
      <c r="AN572" s="350">
        <v>230126146.3026036</v>
      </c>
      <c r="AO572" s="350">
        <v>275131573.9898299</v>
      </c>
      <c r="AP572" s="350">
        <v>320811261.11187273</v>
      </c>
      <c r="AQ572" s="350">
        <v>367176296.97573495</v>
      </c>
      <c r="AR572" s="348">
        <v>1378970576.5073624</v>
      </c>
      <c r="AS572" s="369"/>
      <c r="AT572" s="350">
        <f t="shared" si="243"/>
        <v>42424027.951105714</v>
      </c>
      <c r="AU572" s="350">
        <f t="shared" si="226"/>
        <v>85649519.040642381</v>
      </c>
      <c r="AV572" s="350">
        <f t="shared" si="227"/>
        <v>129528838.82050478</v>
      </c>
      <c r="AW572" s="350">
        <f t="shared" si="228"/>
        <v>174079742.09344956</v>
      </c>
      <c r="AX572" s="350">
        <f t="shared" si="229"/>
        <v>219309811.82016322</v>
      </c>
      <c r="AY572" s="350">
        <f t="shared" si="230"/>
        <v>650991939.7258656</v>
      </c>
      <c r="AZ572" s="365"/>
      <c r="BA572" s="377">
        <f t="shared" si="231"/>
        <v>0</v>
      </c>
      <c r="BB572" s="377">
        <f t="shared" si="232"/>
        <v>0</v>
      </c>
      <c r="BC572" s="377">
        <f t="shared" si="233"/>
        <v>0</v>
      </c>
      <c r="BD572" s="377">
        <f t="shared" si="234"/>
        <v>0</v>
      </c>
      <c r="BE572" s="377">
        <f t="shared" si="235"/>
        <v>0</v>
      </c>
      <c r="BF572" s="377">
        <f t="shared" si="236"/>
        <v>0</v>
      </c>
      <c r="BG572" s="328"/>
    </row>
    <row r="573" spans="2:59">
      <c r="B573" s="332">
        <v>558</v>
      </c>
      <c r="C573" s="350">
        <v>126621159.00935146</v>
      </c>
      <c r="D573" s="350">
        <v>127659705.81541926</v>
      </c>
      <c r="E573" s="350">
        <v>128654735.99362127</v>
      </c>
      <c r="F573" s="350">
        <v>129652130.63686535</v>
      </c>
      <c r="G573" s="350">
        <v>130654987.95659041</v>
      </c>
      <c r="H573" s="348">
        <v>643242719.41184771</v>
      </c>
      <c r="I573" s="369"/>
      <c r="J573" s="350">
        <v>153741962.67284241</v>
      </c>
      <c r="K573" s="350">
        <v>182439921.9196595</v>
      </c>
      <c r="L573" s="350">
        <v>211512752.90322566</v>
      </c>
      <c r="M573" s="350">
        <v>241017688.45322555</v>
      </c>
      <c r="N573" s="350">
        <v>270962678.41788524</v>
      </c>
      <c r="O573" s="348">
        <v>1059675004.3668385</v>
      </c>
      <c r="P573" s="369"/>
      <c r="Q573" s="350">
        <f t="shared" si="237"/>
        <v>27120803.663490951</v>
      </c>
      <c r="R573" s="350">
        <f t="shared" si="238"/>
        <v>54780216.104240239</v>
      </c>
      <c r="S573" s="350">
        <f t="shared" si="239"/>
        <v>82858016.909604385</v>
      </c>
      <c r="T573" s="350">
        <f t="shared" si="240"/>
        <v>111365557.81636021</v>
      </c>
      <c r="U573" s="350">
        <f t="shared" si="241"/>
        <v>140307690.46129483</v>
      </c>
      <c r="V573" s="350">
        <f t="shared" si="242"/>
        <v>416432284.95499074</v>
      </c>
      <c r="W573" s="365"/>
      <c r="X573" s="377">
        <f t="shared" si="220"/>
        <v>0</v>
      </c>
      <c r="Y573" s="377">
        <f t="shared" si="221"/>
        <v>0</v>
      </c>
      <c r="Z573" s="377">
        <f t="shared" si="222"/>
        <v>0</v>
      </c>
      <c r="AA573" s="377">
        <f t="shared" si="223"/>
        <v>0</v>
      </c>
      <c r="AB573" s="377">
        <f t="shared" si="224"/>
        <v>0</v>
      </c>
      <c r="AC573" s="377">
        <f t="shared" si="225"/>
        <v>0</v>
      </c>
      <c r="AD573" s="376"/>
      <c r="AE573" s="332">
        <v>558</v>
      </c>
      <c r="AF573" s="350">
        <v>139358726.08704758</v>
      </c>
      <c r="AG573" s="350">
        <v>140501746.42430964</v>
      </c>
      <c r="AH573" s="350">
        <v>141596872.54017597</v>
      </c>
      <c r="AI573" s="350">
        <v>142694600.97652894</v>
      </c>
      <c r="AJ573" s="350">
        <v>143798341.61211765</v>
      </c>
      <c r="AK573" s="348">
        <v>707950287.64017975</v>
      </c>
      <c r="AL573" s="369"/>
      <c r="AM573" s="350">
        <v>170528502.51727498</v>
      </c>
      <c r="AN573" s="350">
        <v>203462177.41015127</v>
      </c>
      <c r="AO573" s="350">
        <v>236828838.27974683</v>
      </c>
      <c r="AP573" s="350">
        <v>270692028.25396001</v>
      </c>
      <c r="AQ573" s="350">
        <v>305060733.45215529</v>
      </c>
      <c r="AR573" s="348">
        <v>1186572279.9132884</v>
      </c>
      <c r="AS573" s="369"/>
      <c r="AT573" s="350">
        <f t="shared" si="243"/>
        <v>31169776.430227399</v>
      </c>
      <c r="AU573" s="350">
        <f t="shared" si="226"/>
        <v>62960430.985841632</v>
      </c>
      <c r="AV573" s="350">
        <f t="shared" si="227"/>
        <v>95231965.739570856</v>
      </c>
      <c r="AW573" s="350">
        <f t="shared" si="228"/>
        <v>127997427.27743107</v>
      </c>
      <c r="AX573" s="350">
        <f t="shared" si="229"/>
        <v>161262391.84003764</v>
      </c>
      <c r="AY573" s="350">
        <f t="shared" si="230"/>
        <v>478621992.2731086</v>
      </c>
      <c r="AZ573" s="365"/>
      <c r="BA573" s="377">
        <f t="shared" si="231"/>
        <v>0</v>
      </c>
      <c r="BB573" s="377">
        <f t="shared" si="232"/>
        <v>0</v>
      </c>
      <c r="BC573" s="377">
        <f t="shared" si="233"/>
        <v>0</v>
      </c>
      <c r="BD573" s="377">
        <f t="shared" si="234"/>
        <v>0</v>
      </c>
      <c r="BE573" s="377">
        <f t="shared" si="235"/>
        <v>0</v>
      </c>
      <c r="BF573" s="377">
        <f t="shared" si="236"/>
        <v>0</v>
      </c>
      <c r="BG573" s="328"/>
    </row>
    <row r="574" spans="2:59">
      <c r="B574" s="332">
        <v>559</v>
      </c>
      <c r="C574" s="350">
        <v>110455080.28386813</v>
      </c>
      <c r="D574" s="350">
        <v>111361032.90458535</v>
      </c>
      <c r="E574" s="350">
        <v>112229024.78744325</v>
      </c>
      <c r="F574" s="350">
        <v>113099079.25745554</v>
      </c>
      <c r="G574" s="350">
        <v>113973898.96871185</v>
      </c>
      <c r="H574" s="348">
        <v>561118116.20206404</v>
      </c>
      <c r="I574" s="369"/>
      <c r="J574" s="350">
        <v>140304858.03742087</v>
      </c>
      <c r="K574" s="350">
        <v>171655299.81127581</v>
      </c>
      <c r="L574" s="350">
        <v>203428298.38116357</v>
      </c>
      <c r="M574" s="350">
        <v>235676371.15954238</v>
      </c>
      <c r="N574" s="350">
        <v>268407560.91405624</v>
      </c>
      <c r="O574" s="348">
        <v>1019472388.3034589</v>
      </c>
      <c r="P574" s="369"/>
      <c r="Q574" s="350">
        <f t="shared" si="237"/>
        <v>29849777.753552735</v>
      </c>
      <c r="R574" s="350">
        <f t="shared" si="238"/>
        <v>60294266.906690463</v>
      </c>
      <c r="S574" s="350">
        <f t="shared" si="239"/>
        <v>91199273.593720317</v>
      </c>
      <c r="T574" s="350">
        <f t="shared" si="240"/>
        <v>122577291.90208684</v>
      </c>
      <c r="U574" s="350">
        <f t="shared" si="241"/>
        <v>154433661.94534439</v>
      </c>
      <c r="V574" s="350">
        <f t="shared" si="242"/>
        <v>458354272.10139489</v>
      </c>
      <c r="W574" s="365"/>
      <c r="X574" s="377">
        <f t="shared" si="220"/>
        <v>0</v>
      </c>
      <c r="Y574" s="377">
        <f t="shared" si="221"/>
        <v>0</v>
      </c>
      <c r="Z574" s="377">
        <f t="shared" si="222"/>
        <v>0</v>
      </c>
      <c r="AA574" s="377">
        <f t="shared" si="223"/>
        <v>0</v>
      </c>
      <c r="AB574" s="377">
        <f t="shared" si="224"/>
        <v>0</v>
      </c>
      <c r="AC574" s="377">
        <f t="shared" si="225"/>
        <v>0</v>
      </c>
      <c r="AD574" s="376"/>
      <c r="AE574" s="332">
        <v>559</v>
      </c>
      <c r="AF574" s="350">
        <v>124713057.08440728</v>
      </c>
      <c r="AG574" s="350">
        <v>125735953.63758445</v>
      </c>
      <c r="AH574" s="350">
        <v>126715989.3313475</v>
      </c>
      <c r="AI574" s="350">
        <v>127698353.85913859</v>
      </c>
      <c r="AJ574" s="350">
        <v>128686098.74428177</v>
      </c>
      <c r="AK574" s="348">
        <v>633549452.65675962</v>
      </c>
      <c r="AL574" s="369"/>
      <c r="AM574" s="350">
        <v>157758236.57886818</v>
      </c>
      <c r="AN574" s="350">
        <v>192480883.40871</v>
      </c>
      <c r="AO574" s="350">
        <v>227670425.75140274</v>
      </c>
      <c r="AP574" s="350">
        <v>263385884.66141605</v>
      </c>
      <c r="AQ574" s="350">
        <v>299636222.85107756</v>
      </c>
      <c r="AR574" s="348">
        <v>1140931653.2514744</v>
      </c>
      <c r="AS574" s="369"/>
      <c r="AT574" s="350">
        <f t="shared" si="243"/>
        <v>33045179.494460896</v>
      </c>
      <c r="AU574" s="350">
        <f t="shared" si="226"/>
        <v>66744929.771125555</v>
      </c>
      <c r="AV574" s="350">
        <f t="shared" si="227"/>
        <v>100954436.42005524</v>
      </c>
      <c r="AW574" s="350">
        <f t="shared" si="228"/>
        <v>135687530.80227745</v>
      </c>
      <c r="AX574" s="350">
        <f t="shared" si="229"/>
        <v>170950124.10679579</v>
      </c>
      <c r="AY574" s="350">
        <f t="shared" si="230"/>
        <v>507382200.59471476</v>
      </c>
      <c r="AZ574" s="365"/>
      <c r="BA574" s="377">
        <f t="shared" si="231"/>
        <v>0</v>
      </c>
      <c r="BB574" s="377">
        <f t="shared" si="232"/>
        <v>0</v>
      </c>
      <c r="BC574" s="377">
        <f t="shared" si="233"/>
        <v>0</v>
      </c>
      <c r="BD574" s="377">
        <f t="shared" si="234"/>
        <v>0</v>
      </c>
      <c r="BE574" s="377">
        <f t="shared" si="235"/>
        <v>0</v>
      </c>
      <c r="BF574" s="377">
        <f t="shared" si="236"/>
        <v>0</v>
      </c>
      <c r="BG574" s="328"/>
    </row>
    <row r="575" spans="2:59">
      <c r="B575" s="332">
        <v>560</v>
      </c>
      <c r="C575" s="350">
        <v>152178299.92445692</v>
      </c>
      <c r="D575" s="350">
        <v>153426466.41239518</v>
      </c>
      <c r="E575" s="350">
        <v>154622332.90166914</v>
      </c>
      <c r="F575" s="350">
        <v>155821041.09823078</v>
      </c>
      <c r="G575" s="350">
        <v>157026314.55470961</v>
      </c>
      <c r="H575" s="348">
        <v>773074454.89146161</v>
      </c>
      <c r="I575" s="369"/>
      <c r="J575" s="350">
        <v>190081547.83686954</v>
      </c>
      <c r="K575" s="350">
        <v>229977365.52047107</v>
      </c>
      <c r="L575" s="350">
        <v>270405480.61687535</v>
      </c>
      <c r="M575" s="350">
        <v>311436899.22637439</v>
      </c>
      <c r="N575" s="350">
        <v>353082124.13519078</v>
      </c>
      <c r="O575" s="348">
        <v>1354983417.3357811</v>
      </c>
      <c r="P575" s="369"/>
      <c r="Q575" s="350">
        <f t="shared" si="237"/>
        <v>37903247.912412614</v>
      </c>
      <c r="R575" s="350">
        <f t="shared" si="238"/>
        <v>76550899.108075887</v>
      </c>
      <c r="S575" s="350">
        <f t="shared" si="239"/>
        <v>115783147.71520621</v>
      </c>
      <c r="T575" s="350">
        <f t="shared" si="240"/>
        <v>155615858.12814361</v>
      </c>
      <c r="U575" s="350">
        <f t="shared" si="241"/>
        <v>196055809.58048117</v>
      </c>
      <c r="V575" s="350">
        <f t="shared" si="242"/>
        <v>581908962.44431949</v>
      </c>
      <c r="W575" s="365"/>
      <c r="X575" s="377">
        <f t="shared" si="220"/>
        <v>0</v>
      </c>
      <c r="Y575" s="377">
        <f t="shared" si="221"/>
        <v>0</v>
      </c>
      <c r="Z575" s="377">
        <f t="shared" si="222"/>
        <v>0</v>
      </c>
      <c r="AA575" s="377">
        <f t="shared" si="223"/>
        <v>0</v>
      </c>
      <c r="AB575" s="377">
        <f t="shared" si="224"/>
        <v>0</v>
      </c>
      <c r="AC575" s="377">
        <f t="shared" si="225"/>
        <v>0</v>
      </c>
      <c r="AD575" s="376"/>
      <c r="AE575" s="332">
        <v>560</v>
      </c>
      <c r="AF575" s="350">
        <v>134362149.91136461</v>
      </c>
      <c r="AG575" s="350">
        <v>135464188.32847109</v>
      </c>
      <c r="AH575" s="350">
        <v>136520049.72648621</v>
      </c>
      <c r="AI575" s="350">
        <v>137578420.14123225</v>
      </c>
      <c r="AJ575" s="350">
        <v>138642587.19345972</v>
      </c>
      <c r="AK575" s="348">
        <v>682567395.30101395</v>
      </c>
      <c r="AL575" s="369"/>
      <c r="AM575" s="350">
        <v>167200671.80402741</v>
      </c>
      <c r="AN575" s="350">
        <v>201779439.17795852</v>
      </c>
      <c r="AO575" s="350">
        <v>236818406.7188288</v>
      </c>
      <c r="AP575" s="350">
        <v>272380004.64327455</v>
      </c>
      <c r="AQ575" s="350">
        <v>308473392.92077374</v>
      </c>
      <c r="AR575" s="348">
        <v>1186651915.264863</v>
      </c>
      <c r="AS575" s="369"/>
      <c r="AT575" s="350">
        <f t="shared" si="243"/>
        <v>32838521.892662793</v>
      </c>
      <c r="AU575" s="350">
        <f t="shared" si="226"/>
        <v>66315250.849487424</v>
      </c>
      <c r="AV575" s="350">
        <f t="shared" si="227"/>
        <v>100298356.99234259</v>
      </c>
      <c r="AW575" s="350">
        <f t="shared" si="228"/>
        <v>134801584.50204229</v>
      </c>
      <c r="AX575" s="350">
        <f t="shared" si="229"/>
        <v>169830805.72731403</v>
      </c>
      <c r="AY575" s="350">
        <f t="shared" si="230"/>
        <v>504084519.96384907</v>
      </c>
      <c r="AZ575" s="365"/>
      <c r="BA575" s="377">
        <f t="shared" si="231"/>
        <v>0</v>
      </c>
      <c r="BB575" s="377">
        <f t="shared" si="232"/>
        <v>0</v>
      </c>
      <c r="BC575" s="377">
        <f t="shared" si="233"/>
        <v>0</v>
      </c>
      <c r="BD575" s="377">
        <f t="shared" si="234"/>
        <v>0</v>
      </c>
      <c r="BE575" s="377">
        <f t="shared" si="235"/>
        <v>0</v>
      </c>
      <c r="BF575" s="377">
        <f t="shared" si="236"/>
        <v>0</v>
      </c>
      <c r="BG575" s="328"/>
    </row>
    <row r="576" spans="2:59">
      <c r="B576" s="332">
        <v>561</v>
      </c>
      <c r="C576" s="350">
        <v>144297947.06292343</v>
      </c>
      <c r="D576" s="350">
        <v>145481478.89296514</v>
      </c>
      <c r="E576" s="350">
        <v>146615419.01090074</v>
      </c>
      <c r="F576" s="350">
        <v>147752053.68205428</v>
      </c>
      <c r="G576" s="350">
        <v>148894913.63978589</v>
      </c>
      <c r="H576" s="348">
        <v>733041812.28862941</v>
      </c>
      <c r="I576" s="369"/>
      <c r="J576" s="350">
        <v>182806111.21435136</v>
      </c>
      <c r="K576" s="350">
        <v>223254724.03573918</v>
      </c>
      <c r="L576" s="350">
        <v>264247682.30074963</v>
      </c>
      <c r="M576" s="350">
        <v>305853389.89176524</v>
      </c>
      <c r="N576" s="350">
        <v>348082265.06546497</v>
      </c>
      <c r="O576" s="348">
        <v>1324244172.5080705</v>
      </c>
      <c r="P576" s="369"/>
      <c r="Q576" s="350">
        <f t="shared" si="237"/>
        <v>38508164.151427925</v>
      </c>
      <c r="R576" s="350">
        <f t="shared" si="238"/>
        <v>77773245.142774045</v>
      </c>
      <c r="S576" s="350">
        <f t="shared" si="239"/>
        <v>117632263.28984889</v>
      </c>
      <c r="T576" s="350">
        <f t="shared" si="240"/>
        <v>158101336.20971096</v>
      </c>
      <c r="U576" s="350">
        <f t="shared" si="241"/>
        <v>199187351.42567909</v>
      </c>
      <c r="V576" s="350">
        <f t="shared" si="242"/>
        <v>591202360.21944106</v>
      </c>
      <c r="W576" s="365"/>
      <c r="X576" s="377">
        <f t="shared" si="220"/>
        <v>0</v>
      </c>
      <c r="Y576" s="377">
        <f t="shared" si="221"/>
        <v>0</v>
      </c>
      <c r="Z576" s="377">
        <f t="shared" si="222"/>
        <v>0</v>
      </c>
      <c r="AA576" s="377">
        <f t="shared" si="223"/>
        <v>0</v>
      </c>
      <c r="AB576" s="377">
        <f t="shared" si="224"/>
        <v>0</v>
      </c>
      <c r="AC576" s="377">
        <f t="shared" si="225"/>
        <v>0</v>
      </c>
      <c r="AD576" s="376"/>
      <c r="AE576" s="332">
        <v>561</v>
      </c>
      <c r="AF576" s="350">
        <v>137583815.5943484</v>
      </c>
      <c r="AG576" s="350">
        <v>138712278.11491001</v>
      </c>
      <c r="AH576" s="350">
        <v>139793456.4078559</v>
      </c>
      <c r="AI576" s="350">
        <v>140877203.87742963</v>
      </c>
      <c r="AJ576" s="350">
        <v>141966886.97324073</v>
      </c>
      <c r="AK576" s="348">
        <v>698933640.96778464</v>
      </c>
      <c r="AL576" s="369"/>
      <c r="AM576" s="350">
        <v>176823247.16759625</v>
      </c>
      <c r="AN576" s="350">
        <v>217954674.16350111</v>
      </c>
      <c r="AO576" s="350">
        <v>259643911.98003018</v>
      </c>
      <c r="AP576" s="350">
        <v>301957237.27988094</v>
      </c>
      <c r="AQ576" s="350">
        <v>344905033.64542508</v>
      </c>
      <c r="AR576" s="348">
        <v>1301284104.2364335</v>
      </c>
      <c r="AS576" s="369"/>
      <c r="AT576" s="350">
        <f t="shared" si="243"/>
        <v>39239431.57324785</v>
      </c>
      <c r="AU576" s="350">
        <f t="shared" si="226"/>
        <v>79242396.048591107</v>
      </c>
      <c r="AV576" s="350">
        <f t="shared" si="227"/>
        <v>119850455.57217428</v>
      </c>
      <c r="AW576" s="350">
        <f t="shared" si="228"/>
        <v>161080033.40245131</v>
      </c>
      <c r="AX576" s="350">
        <f t="shared" si="229"/>
        <v>202938146.67218435</v>
      </c>
      <c r="AY576" s="350">
        <f t="shared" si="230"/>
        <v>602350463.26864886</v>
      </c>
      <c r="AZ576" s="365"/>
      <c r="BA576" s="377">
        <f t="shared" si="231"/>
        <v>0</v>
      </c>
      <c r="BB576" s="377">
        <f t="shared" si="232"/>
        <v>0</v>
      </c>
      <c r="BC576" s="377">
        <f t="shared" si="233"/>
        <v>0</v>
      </c>
      <c r="BD576" s="377">
        <f t="shared" si="234"/>
        <v>0</v>
      </c>
      <c r="BE576" s="377">
        <f t="shared" si="235"/>
        <v>0</v>
      </c>
      <c r="BF576" s="377">
        <f t="shared" si="236"/>
        <v>0</v>
      </c>
      <c r="BG576" s="328"/>
    </row>
    <row r="577" spans="2:59">
      <c r="B577" s="332">
        <v>562</v>
      </c>
      <c r="C577" s="350">
        <v>151335354.71656477</v>
      </c>
      <c r="D577" s="350">
        <v>152576607.36750928</v>
      </c>
      <c r="E577" s="350">
        <v>153765849.7196565</v>
      </c>
      <c r="F577" s="350">
        <v>154957918.03832185</v>
      </c>
      <c r="G577" s="350">
        <v>156156515.25065261</v>
      </c>
      <c r="H577" s="348">
        <v>768792245.09270501</v>
      </c>
      <c r="I577" s="369"/>
      <c r="J577" s="350">
        <v>188774143.68396494</v>
      </c>
      <c r="K577" s="350">
        <v>228214547.51672223</v>
      </c>
      <c r="L577" s="350">
        <v>268180765.89825702</v>
      </c>
      <c r="M577" s="350">
        <v>308743306.4826628</v>
      </c>
      <c r="N577" s="350">
        <v>349912572.18765485</v>
      </c>
      <c r="O577" s="348">
        <v>1343825335.7692618</v>
      </c>
      <c r="P577" s="369"/>
      <c r="Q577" s="350">
        <f t="shared" si="237"/>
        <v>37438788.967400163</v>
      </c>
      <c r="R577" s="350">
        <f t="shared" si="238"/>
        <v>75637940.149212956</v>
      </c>
      <c r="S577" s="350">
        <f t="shared" si="239"/>
        <v>114414916.17860052</v>
      </c>
      <c r="T577" s="350">
        <f t="shared" si="240"/>
        <v>153785388.44434094</v>
      </c>
      <c r="U577" s="350">
        <f t="shared" si="241"/>
        <v>193756056.93700224</v>
      </c>
      <c r="V577" s="350">
        <f t="shared" si="242"/>
        <v>575033090.67655683</v>
      </c>
      <c r="W577" s="365"/>
      <c r="X577" s="377">
        <f t="shared" si="220"/>
        <v>0</v>
      </c>
      <c r="Y577" s="377">
        <f t="shared" si="221"/>
        <v>0</v>
      </c>
      <c r="Z577" s="377">
        <f t="shared" si="222"/>
        <v>0</v>
      </c>
      <c r="AA577" s="377">
        <f t="shared" si="223"/>
        <v>0</v>
      </c>
      <c r="AB577" s="377">
        <f t="shared" si="224"/>
        <v>0</v>
      </c>
      <c r="AC577" s="377">
        <f t="shared" si="225"/>
        <v>0</v>
      </c>
      <c r="AD577" s="376"/>
      <c r="AE577" s="332">
        <v>562</v>
      </c>
      <c r="AF577" s="350">
        <v>141925309.99482739</v>
      </c>
      <c r="AG577" s="350">
        <v>143089381.45451462</v>
      </c>
      <c r="AH577" s="350">
        <v>144204676.62003353</v>
      </c>
      <c r="AI577" s="350">
        <v>145322622.03324157</v>
      </c>
      <c r="AJ577" s="350">
        <v>146446690.37297347</v>
      </c>
      <c r="AK577" s="348">
        <v>720988680.47559047</v>
      </c>
      <c r="AL577" s="369"/>
      <c r="AM577" s="350">
        <v>173596372.38618591</v>
      </c>
      <c r="AN577" s="350">
        <v>207071245.09164011</v>
      </c>
      <c r="AO577" s="350">
        <v>240986093.78470114</v>
      </c>
      <c r="AP577" s="350">
        <v>275405601.90730399</v>
      </c>
      <c r="AQ577" s="350">
        <v>310338909.41321027</v>
      </c>
      <c r="AR577" s="348">
        <v>1207398222.5830412</v>
      </c>
      <c r="AS577" s="369"/>
      <c r="AT577" s="350">
        <f t="shared" si="243"/>
        <v>31671062.391358525</v>
      </c>
      <c r="AU577" s="350">
        <f t="shared" si="226"/>
        <v>63981863.637125492</v>
      </c>
      <c r="AV577" s="350">
        <f t="shared" si="227"/>
        <v>96781417.164667606</v>
      </c>
      <c r="AW577" s="350">
        <f t="shared" si="228"/>
        <v>130082979.87406242</v>
      </c>
      <c r="AX577" s="350">
        <f t="shared" si="229"/>
        <v>163892219.0402368</v>
      </c>
      <c r="AY577" s="350">
        <f t="shared" si="230"/>
        <v>486409542.10745072</v>
      </c>
      <c r="AZ577" s="365"/>
      <c r="BA577" s="377">
        <f t="shared" si="231"/>
        <v>0</v>
      </c>
      <c r="BB577" s="377">
        <f t="shared" si="232"/>
        <v>0</v>
      </c>
      <c r="BC577" s="377">
        <f t="shared" si="233"/>
        <v>0</v>
      </c>
      <c r="BD577" s="377">
        <f t="shared" si="234"/>
        <v>0</v>
      </c>
      <c r="BE577" s="377">
        <f t="shared" si="235"/>
        <v>0</v>
      </c>
      <c r="BF577" s="377">
        <f t="shared" si="236"/>
        <v>0</v>
      </c>
      <c r="BG577" s="328"/>
    </row>
    <row r="578" spans="2:59">
      <c r="B578" s="332">
        <v>563</v>
      </c>
      <c r="C578" s="350">
        <v>115834431.34697373</v>
      </c>
      <c r="D578" s="350">
        <v>116784505.40765414</v>
      </c>
      <c r="E578" s="350">
        <v>117694769.97770599</v>
      </c>
      <c r="F578" s="350">
        <v>118607197.58642939</v>
      </c>
      <c r="G578" s="350">
        <v>119524622.5117843</v>
      </c>
      <c r="H578" s="348">
        <v>588445526.83054757</v>
      </c>
      <c r="I578" s="369"/>
      <c r="J578" s="350">
        <v>142240325.96952754</v>
      </c>
      <c r="K578" s="350">
        <v>170123668.08017504</v>
      </c>
      <c r="L578" s="350">
        <v>198374606.45700744</v>
      </c>
      <c r="M578" s="350">
        <v>227046166.29698056</v>
      </c>
      <c r="N578" s="350">
        <v>256145906.07706028</v>
      </c>
      <c r="O578" s="348">
        <v>993930672.88075089</v>
      </c>
      <c r="P578" s="369"/>
      <c r="Q578" s="350">
        <f t="shared" si="237"/>
        <v>26405894.62255381</v>
      </c>
      <c r="R578" s="350">
        <f t="shared" si="238"/>
        <v>53339162.672520906</v>
      </c>
      <c r="S578" s="350">
        <f t="shared" si="239"/>
        <v>80679836.479301453</v>
      </c>
      <c r="T578" s="350">
        <f t="shared" si="240"/>
        <v>108438968.71055117</v>
      </c>
      <c r="U578" s="350">
        <f t="shared" si="241"/>
        <v>136621283.56527597</v>
      </c>
      <c r="V578" s="350">
        <f t="shared" si="242"/>
        <v>405485146.05020332</v>
      </c>
      <c r="W578" s="365"/>
      <c r="X578" s="377">
        <f t="shared" si="220"/>
        <v>0</v>
      </c>
      <c r="Y578" s="377">
        <f t="shared" si="221"/>
        <v>0</v>
      </c>
      <c r="Z578" s="377">
        <f t="shared" si="222"/>
        <v>0</v>
      </c>
      <c r="AA578" s="377">
        <f t="shared" si="223"/>
        <v>0</v>
      </c>
      <c r="AB578" s="377">
        <f t="shared" si="224"/>
        <v>0</v>
      </c>
      <c r="AC578" s="377">
        <f t="shared" si="225"/>
        <v>0</v>
      </c>
      <c r="AD578" s="376"/>
      <c r="AE578" s="332">
        <v>563</v>
      </c>
      <c r="AF578" s="350">
        <v>108977697.78042102</v>
      </c>
      <c r="AG578" s="350">
        <v>109871532.90914637</v>
      </c>
      <c r="AH578" s="350">
        <v>110727915.04062322</v>
      </c>
      <c r="AI578" s="350">
        <v>111586332.17129594</v>
      </c>
      <c r="AJ578" s="350">
        <v>112449450.80613495</v>
      </c>
      <c r="AK578" s="348">
        <v>553612928.70762157</v>
      </c>
      <c r="AL578" s="369"/>
      <c r="AM578" s="350">
        <v>140132187.60123312</v>
      </c>
      <c r="AN578" s="350">
        <v>172788017.11258674</v>
      </c>
      <c r="AO578" s="350">
        <v>205886834.25555867</v>
      </c>
      <c r="AP578" s="350">
        <v>239481166.48798436</v>
      </c>
      <c r="AQ578" s="350">
        <v>273579251.82580215</v>
      </c>
      <c r="AR578" s="348">
        <v>1031867457.283165</v>
      </c>
      <c r="AS578" s="369"/>
      <c r="AT578" s="350">
        <f t="shared" si="243"/>
        <v>31154489.820812106</v>
      </c>
      <c r="AU578" s="350">
        <f t="shared" si="226"/>
        <v>62916484.203440368</v>
      </c>
      <c r="AV578" s="350">
        <f t="shared" si="227"/>
        <v>95158919.214935452</v>
      </c>
      <c r="AW578" s="350">
        <f t="shared" si="228"/>
        <v>127894834.31668842</v>
      </c>
      <c r="AX578" s="350">
        <f t="shared" si="229"/>
        <v>161129801.01966721</v>
      </c>
      <c r="AY578" s="350">
        <f t="shared" si="230"/>
        <v>478254528.5755434</v>
      </c>
      <c r="AZ578" s="365"/>
      <c r="BA578" s="377">
        <f t="shared" si="231"/>
        <v>0</v>
      </c>
      <c r="BB578" s="377">
        <f t="shared" si="232"/>
        <v>0</v>
      </c>
      <c r="BC578" s="377">
        <f t="shared" si="233"/>
        <v>0</v>
      </c>
      <c r="BD578" s="377">
        <f t="shared" si="234"/>
        <v>0</v>
      </c>
      <c r="BE578" s="377">
        <f t="shared" si="235"/>
        <v>0</v>
      </c>
      <c r="BF578" s="377">
        <f t="shared" si="236"/>
        <v>0</v>
      </c>
      <c r="BG578" s="328"/>
    </row>
    <row r="579" spans="2:59">
      <c r="B579" s="332">
        <v>564</v>
      </c>
      <c r="C579" s="350">
        <v>126298180.73476544</v>
      </c>
      <c r="D579" s="350">
        <v>127334078.47287235</v>
      </c>
      <c r="E579" s="350">
        <v>128326570.58292973</v>
      </c>
      <c r="F579" s="350">
        <v>129321421.12688205</v>
      </c>
      <c r="G579" s="350">
        <v>130321720.41342127</v>
      </c>
      <c r="H579" s="348">
        <v>641601971.33087087</v>
      </c>
      <c r="I579" s="369"/>
      <c r="J579" s="350">
        <v>157057904.21127722</v>
      </c>
      <c r="K579" s="350">
        <v>189470554.42633492</v>
      </c>
      <c r="L579" s="350">
        <v>222314420.33318239</v>
      </c>
      <c r="M579" s="350">
        <v>255648141.1858274</v>
      </c>
      <c r="N579" s="350">
        <v>289480310.83476359</v>
      </c>
      <c r="O579" s="348">
        <v>1113971330.9913855</v>
      </c>
      <c r="P579" s="369"/>
      <c r="Q579" s="350">
        <f t="shared" si="237"/>
        <v>30759723.476511776</v>
      </c>
      <c r="R579" s="350">
        <f t="shared" si="238"/>
        <v>62136475.953462571</v>
      </c>
      <c r="S579" s="350">
        <f t="shared" si="239"/>
        <v>93987849.750252664</v>
      </c>
      <c r="T579" s="350">
        <f t="shared" si="240"/>
        <v>126326720.05894536</v>
      </c>
      <c r="U579" s="350">
        <f t="shared" si="241"/>
        <v>159158590.42134231</v>
      </c>
      <c r="V579" s="350">
        <f t="shared" si="242"/>
        <v>472369359.66051459</v>
      </c>
      <c r="W579" s="365"/>
      <c r="X579" s="377">
        <f t="shared" si="220"/>
        <v>0</v>
      </c>
      <c r="Y579" s="377">
        <f t="shared" si="221"/>
        <v>0</v>
      </c>
      <c r="Z579" s="377">
        <f t="shared" si="222"/>
        <v>0</v>
      </c>
      <c r="AA579" s="377">
        <f t="shared" si="223"/>
        <v>0</v>
      </c>
      <c r="AB579" s="377">
        <f t="shared" si="224"/>
        <v>0</v>
      </c>
      <c r="AC579" s="377">
        <f t="shared" si="225"/>
        <v>0</v>
      </c>
      <c r="AD579" s="376"/>
      <c r="AE579" s="332">
        <v>564</v>
      </c>
      <c r="AF579" s="350">
        <v>110616493.695011</v>
      </c>
      <c r="AG579" s="350">
        <v>111523770.22860275</v>
      </c>
      <c r="AH579" s="350">
        <v>112393030.55045226</v>
      </c>
      <c r="AI579" s="350">
        <v>113264356.47361568</v>
      </c>
      <c r="AJ579" s="350">
        <v>114140454.60170321</v>
      </c>
      <c r="AK579" s="348">
        <v>561938105.54938483</v>
      </c>
      <c r="AL579" s="369"/>
      <c r="AM579" s="350">
        <v>139536861.58878815</v>
      </c>
      <c r="AN579" s="350">
        <v>169939754.29027766</v>
      </c>
      <c r="AO579" s="350">
        <v>200750794.78146717</v>
      </c>
      <c r="AP579" s="350">
        <v>232022169.89137885</v>
      </c>
      <c r="AQ579" s="350">
        <v>263761759.92171031</v>
      </c>
      <c r="AR579" s="348">
        <v>1006011340.4736221</v>
      </c>
      <c r="AS579" s="369"/>
      <c r="AT579" s="350">
        <f t="shared" si="243"/>
        <v>28920367.893777147</v>
      </c>
      <c r="AU579" s="350">
        <f t="shared" si="226"/>
        <v>58415984.061674908</v>
      </c>
      <c r="AV579" s="350">
        <f t="shared" si="227"/>
        <v>88357764.231014907</v>
      </c>
      <c r="AW579" s="350">
        <f t="shared" si="228"/>
        <v>118757813.41776317</v>
      </c>
      <c r="AX579" s="350">
        <f t="shared" si="229"/>
        <v>149621305.32000709</v>
      </c>
      <c r="AY579" s="350">
        <f t="shared" si="230"/>
        <v>444073234.92423725</v>
      </c>
      <c r="AZ579" s="365"/>
      <c r="BA579" s="377">
        <f t="shared" si="231"/>
        <v>0</v>
      </c>
      <c r="BB579" s="377">
        <f t="shared" si="232"/>
        <v>0</v>
      </c>
      <c r="BC579" s="377">
        <f t="shared" si="233"/>
        <v>0</v>
      </c>
      <c r="BD579" s="377">
        <f t="shared" si="234"/>
        <v>0</v>
      </c>
      <c r="BE579" s="377">
        <f t="shared" si="235"/>
        <v>0</v>
      </c>
      <c r="BF579" s="377">
        <f t="shared" si="236"/>
        <v>0</v>
      </c>
      <c r="BG579" s="328"/>
    </row>
    <row r="580" spans="2:59">
      <c r="B580" s="332">
        <v>565</v>
      </c>
      <c r="C580" s="350">
        <v>126267974.35346803</v>
      </c>
      <c r="D580" s="350">
        <v>127303624.33882126</v>
      </c>
      <c r="E580" s="350">
        <v>128295879.07732716</v>
      </c>
      <c r="F580" s="350">
        <v>129290491.68566799</v>
      </c>
      <c r="G580" s="350">
        <v>130290551.73343523</v>
      </c>
      <c r="H580" s="348">
        <v>641448521.18871975</v>
      </c>
      <c r="I580" s="369"/>
      <c r="J580" s="350">
        <v>164302719.44844091</v>
      </c>
      <c r="K580" s="350">
        <v>204108880.65706459</v>
      </c>
      <c r="L580" s="350">
        <v>244458097.26395628</v>
      </c>
      <c r="M580" s="350">
        <v>285412041.19482774</v>
      </c>
      <c r="N580" s="350">
        <v>326980603.05936062</v>
      </c>
      <c r="O580" s="348">
        <v>1225262341.6236501</v>
      </c>
      <c r="P580" s="369"/>
      <c r="Q580" s="350">
        <f t="shared" si="237"/>
        <v>38034745.094972879</v>
      </c>
      <c r="R580" s="350">
        <f t="shared" si="238"/>
        <v>76805256.318243325</v>
      </c>
      <c r="S580" s="350">
        <f t="shared" si="239"/>
        <v>116162218.18662912</v>
      </c>
      <c r="T580" s="350">
        <f t="shared" si="240"/>
        <v>156121549.50915974</v>
      </c>
      <c r="U580" s="350">
        <f t="shared" si="241"/>
        <v>196690051.32592541</v>
      </c>
      <c r="V580" s="350">
        <f t="shared" si="242"/>
        <v>583813820.43493032</v>
      </c>
      <c r="W580" s="365"/>
      <c r="X580" s="377">
        <f t="shared" si="220"/>
        <v>0</v>
      </c>
      <c r="Y580" s="377">
        <f t="shared" si="221"/>
        <v>0</v>
      </c>
      <c r="Z580" s="377">
        <f t="shared" si="222"/>
        <v>0</v>
      </c>
      <c r="AA580" s="377">
        <f t="shared" si="223"/>
        <v>0</v>
      </c>
      <c r="AB580" s="377">
        <f t="shared" si="224"/>
        <v>0</v>
      </c>
      <c r="AC580" s="377">
        <f t="shared" si="225"/>
        <v>0</v>
      </c>
      <c r="AD580" s="376"/>
      <c r="AE580" s="332">
        <v>565</v>
      </c>
      <c r="AF580" s="350">
        <v>130702729.7038012</v>
      </c>
      <c r="AG580" s="350">
        <v>131774753.55463487</v>
      </c>
      <c r="AH580" s="350">
        <v>132801858.04053728</v>
      </c>
      <c r="AI580" s="350">
        <v>133831403.2088477</v>
      </c>
      <c r="AJ580" s="350">
        <v>134866587.14032498</v>
      </c>
      <c r="AK580" s="348">
        <v>663977331.64814603</v>
      </c>
      <c r="AL580" s="369"/>
      <c r="AM580" s="350">
        <v>161173878.71819958</v>
      </c>
      <c r="AN580" s="350">
        <v>193328798.09924936</v>
      </c>
      <c r="AO580" s="350">
        <v>225908974.633926</v>
      </c>
      <c r="AP580" s="350">
        <v>258974522.80025986</v>
      </c>
      <c r="AQ580" s="350">
        <v>292534092.66622484</v>
      </c>
      <c r="AR580" s="348">
        <v>1131920266.9178596</v>
      </c>
      <c r="AS580" s="369"/>
      <c r="AT580" s="350">
        <f t="shared" si="243"/>
        <v>30471149.014398381</v>
      </c>
      <c r="AU580" s="350">
        <f t="shared" si="226"/>
        <v>61554044.544614494</v>
      </c>
      <c r="AV580" s="350">
        <f t="shared" si="227"/>
        <v>93107116.593388721</v>
      </c>
      <c r="AW580" s="350">
        <f t="shared" si="228"/>
        <v>125143119.59141216</v>
      </c>
      <c r="AX580" s="350">
        <f t="shared" si="229"/>
        <v>157667505.52589986</v>
      </c>
      <c r="AY580" s="350">
        <f t="shared" si="230"/>
        <v>467942935.26971352</v>
      </c>
      <c r="AZ580" s="365"/>
      <c r="BA580" s="377">
        <f t="shared" si="231"/>
        <v>0</v>
      </c>
      <c r="BB580" s="377">
        <f t="shared" si="232"/>
        <v>0</v>
      </c>
      <c r="BC580" s="377">
        <f t="shared" si="233"/>
        <v>0</v>
      </c>
      <c r="BD580" s="377">
        <f t="shared" si="234"/>
        <v>0</v>
      </c>
      <c r="BE580" s="377">
        <f t="shared" si="235"/>
        <v>0</v>
      </c>
      <c r="BF580" s="377">
        <f t="shared" si="236"/>
        <v>0</v>
      </c>
      <c r="BG580" s="328"/>
    </row>
    <row r="581" spans="2:59">
      <c r="B581" s="332">
        <v>566</v>
      </c>
      <c r="C581" s="350">
        <v>104696233.02533107</v>
      </c>
      <c r="D581" s="350">
        <v>105554951.57811069</v>
      </c>
      <c r="E581" s="350">
        <v>106377688.5694581</v>
      </c>
      <c r="F581" s="350">
        <v>107202380.60990593</v>
      </c>
      <c r="G581" s="350">
        <v>108031589.44402619</v>
      </c>
      <c r="H581" s="348">
        <v>531862843.22683197</v>
      </c>
      <c r="I581" s="369"/>
      <c r="J581" s="350">
        <v>134735786.9203389</v>
      </c>
      <c r="K581" s="350">
        <v>166214479.05729049</v>
      </c>
      <c r="L581" s="350">
        <v>198120353.27055609</v>
      </c>
      <c r="M581" s="350">
        <v>230503918.68765262</v>
      </c>
      <c r="N581" s="350">
        <v>263373108.35892779</v>
      </c>
      <c r="O581" s="348">
        <v>992947646.29476595</v>
      </c>
      <c r="P581" s="369"/>
      <c r="Q581" s="350">
        <f t="shared" si="237"/>
        <v>30039553.895007834</v>
      </c>
      <c r="R581" s="350">
        <f t="shared" si="238"/>
        <v>60659527.4791798</v>
      </c>
      <c r="S581" s="350">
        <f t="shared" si="239"/>
        <v>91742664.701097995</v>
      </c>
      <c r="T581" s="350">
        <f t="shared" si="240"/>
        <v>123301538.07774669</v>
      </c>
      <c r="U581" s="350">
        <f t="shared" si="241"/>
        <v>155341518.91490161</v>
      </c>
      <c r="V581" s="350">
        <f t="shared" si="242"/>
        <v>461084803.06793398</v>
      </c>
      <c r="W581" s="365"/>
      <c r="X581" s="377">
        <f t="shared" si="220"/>
        <v>0</v>
      </c>
      <c r="Y581" s="377">
        <f t="shared" si="221"/>
        <v>0</v>
      </c>
      <c r="Z581" s="377">
        <f t="shared" si="222"/>
        <v>0</v>
      </c>
      <c r="AA581" s="377">
        <f t="shared" si="223"/>
        <v>0</v>
      </c>
      <c r="AB581" s="377">
        <f t="shared" si="224"/>
        <v>0</v>
      </c>
      <c r="AC581" s="377">
        <f t="shared" si="225"/>
        <v>0</v>
      </c>
      <c r="AD581" s="376"/>
      <c r="AE581" s="332">
        <v>566</v>
      </c>
      <c r="AF581" s="350">
        <v>125002841.15561129</v>
      </c>
      <c r="AG581" s="350">
        <v>126028114.51787749</v>
      </c>
      <c r="AH581" s="350">
        <v>127010427.4289577</v>
      </c>
      <c r="AI581" s="350">
        <v>127995074.58535983</v>
      </c>
      <c r="AJ581" s="350">
        <v>128985114.60094737</v>
      </c>
      <c r="AK581" s="348">
        <v>635021572.28875363</v>
      </c>
      <c r="AL581" s="369"/>
      <c r="AM581" s="350">
        <v>154956965.33128935</v>
      </c>
      <c r="AN581" s="350">
        <v>186543419.94278735</v>
      </c>
      <c r="AO581" s="350">
        <v>218549201.52258557</v>
      </c>
      <c r="AP581" s="350">
        <v>251032143.10091949</v>
      </c>
      <c r="AQ581" s="350">
        <v>284000663.63987589</v>
      </c>
      <c r="AR581" s="348">
        <v>1095082393.5374577</v>
      </c>
      <c r="AS581" s="369"/>
      <c r="AT581" s="350">
        <f t="shared" si="243"/>
        <v>29954124.175678059</v>
      </c>
      <c r="AU581" s="350">
        <f t="shared" si="226"/>
        <v>60515305.42490986</v>
      </c>
      <c r="AV581" s="350">
        <f t="shared" si="227"/>
        <v>91538774.09362787</v>
      </c>
      <c r="AW581" s="350">
        <f t="shared" si="228"/>
        <v>123037068.51555966</v>
      </c>
      <c r="AX581" s="350">
        <f t="shared" si="229"/>
        <v>155015549.03892851</v>
      </c>
      <c r="AY581" s="350">
        <f t="shared" si="230"/>
        <v>460060821.24870408</v>
      </c>
      <c r="AZ581" s="365"/>
      <c r="BA581" s="377">
        <f t="shared" si="231"/>
        <v>0</v>
      </c>
      <c r="BB581" s="377">
        <f t="shared" si="232"/>
        <v>0</v>
      </c>
      <c r="BC581" s="377">
        <f t="shared" si="233"/>
        <v>0</v>
      </c>
      <c r="BD581" s="377">
        <f t="shared" si="234"/>
        <v>0</v>
      </c>
      <c r="BE581" s="377">
        <f t="shared" si="235"/>
        <v>0</v>
      </c>
      <c r="BF581" s="377">
        <f t="shared" si="236"/>
        <v>0</v>
      </c>
      <c r="BG581" s="328"/>
    </row>
    <row r="582" spans="2:59">
      <c r="B582" s="332">
        <v>567</v>
      </c>
      <c r="C582" s="350">
        <v>132058927.83845744</v>
      </c>
      <c r="D582" s="350">
        <v>133142075.22703281</v>
      </c>
      <c r="E582" s="350">
        <v>134179837.15820077</v>
      </c>
      <c r="F582" s="350">
        <v>135220065.09679434</v>
      </c>
      <c r="G582" s="350">
        <v>136265990.30750942</v>
      </c>
      <c r="H582" s="348">
        <v>670866895.62799478</v>
      </c>
      <c r="I582" s="369"/>
      <c r="J582" s="350">
        <v>163815265.63169152</v>
      </c>
      <c r="K582" s="350">
        <v>197287299.31120867</v>
      </c>
      <c r="L582" s="350">
        <v>231203876.85612974</v>
      </c>
      <c r="M582" s="350">
        <v>265626141.83077228</v>
      </c>
      <c r="N582" s="350">
        <v>300563006.67360842</v>
      </c>
      <c r="O582" s="348">
        <v>1158495590.3034105</v>
      </c>
      <c r="P582" s="369"/>
      <c r="Q582" s="350">
        <f t="shared" si="237"/>
        <v>31756337.79323408</v>
      </c>
      <c r="R582" s="350">
        <f t="shared" si="238"/>
        <v>64145224.084175855</v>
      </c>
      <c r="S582" s="350">
        <f t="shared" si="239"/>
        <v>97024039.697928965</v>
      </c>
      <c r="T582" s="350">
        <f t="shared" si="240"/>
        <v>130406076.73397794</v>
      </c>
      <c r="U582" s="350">
        <f t="shared" si="241"/>
        <v>164297016.366099</v>
      </c>
      <c r="V582" s="350">
        <f t="shared" si="242"/>
        <v>487628694.67541575</v>
      </c>
      <c r="W582" s="365"/>
      <c r="X582" s="377">
        <f t="shared" si="220"/>
        <v>0</v>
      </c>
      <c r="Y582" s="377">
        <f t="shared" si="221"/>
        <v>0</v>
      </c>
      <c r="Z582" s="377">
        <f t="shared" si="222"/>
        <v>0</v>
      </c>
      <c r="AA582" s="377">
        <f t="shared" si="223"/>
        <v>0</v>
      </c>
      <c r="AB582" s="377">
        <f t="shared" si="224"/>
        <v>0</v>
      </c>
      <c r="AC582" s="377">
        <f t="shared" si="225"/>
        <v>0</v>
      </c>
      <c r="AD582" s="376"/>
      <c r="AE582" s="332">
        <v>567</v>
      </c>
      <c r="AF582" s="350">
        <v>163101094.82542402</v>
      </c>
      <c r="AG582" s="350">
        <v>164438850.08230478</v>
      </c>
      <c r="AH582" s="350">
        <v>165720551.44026744</v>
      </c>
      <c r="AI582" s="350">
        <v>167005298.47274488</v>
      </c>
      <c r="AJ582" s="350">
        <v>168297081.99518737</v>
      </c>
      <c r="AK582" s="348">
        <v>828562876.81592858</v>
      </c>
      <c r="AL582" s="369"/>
      <c r="AM582" s="350">
        <v>201992551.99991566</v>
      </c>
      <c r="AN582" s="350">
        <v>242985438.53120577</v>
      </c>
      <c r="AO582" s="350">
        <v>284522107.99519271</v>
      </c>
      <c r="AP582" s="350">
        <v>326677937.96675134</v>
      </c>
      <c r="AQ582" s="350">
        <v>369463875.22140855</v>
      </c>
      <c r="AR582" s="348">
        <v>1425641911.714474</v>
      </c>
      <c r="AS582" s="369"/>
      <c r="AT582" s="350">
        <f t="shared" si="243"/>
        <v>38891457.174491644</v>
      </c>
      <c r="AU582" s="350">
        <f t="shared" si="226"/>
        <v>78546588.448900998</v>
      </c>
      <c r="AV582" s="350">
        <f t="shared" si="227"/>
        <v>118801556.55492526</v>
      </c>
      <c r="AW582" s="350">
        <f t="shared" si="228"/>
        <v>159672639.49400645</v>
      </c>
      <c r="AX582" s="350">
        <f t="shared" si="229"/>
        <v>201166793.22622117</v>
      </c>
      <c r="AY582" s="350">
        <f t="shared" si="230"/>
        <v>597079034.89854538</v>
      </c>
      <c r="AZ582" s="365"/>
      <c r="BA582" s="377">
        <f t="shared" si="231"/>
        <v>0</v>
      </c>
      <c r="BB582" s="377">
        <f t="shared" si="232"/>
        <v>0</v>
      </c>
      <c r="BC582" s="377">
        <f t="shared" si="233"/>
        <v>0</v>
      </c>
      <c r="BD582" s="377">
        <f t="shared" si="234"/>
        <v>0</v>
      </c>
      <c r="BE582" s="377">
        <f t="shared" si="235"/>
        <v>0</v>
      </c>
      <c r="BF582" s="377">
        <f t="shared" si="236"/>
        <v>0</v>
      </c>
      <c r="BG582" s="328"/>
    </row>
    <row r="583" spans="2:59">
      <c r="B583" s="332">
        <v>568</v>
      </c>
      <c r="C583" s="350">
        <v>127228977.77399179</v>
      </c>
      <c r="D583" s="350">
        <v>128272509.90985455</v>
      </c>
      <c r="E583" s="350">
        <v>129272316.52525261</v>
      </c>
      <c r="F583" s="350">
        <v>130274498.95581958</v>
      </c>
      <c r="G583" s="350">
        <v>131282170.28531958</v>
      </c>
      <c r="H583" s="348">
        <v>646330473.45023811</v>
      </c>
      <c r="I583" s="369"/>
      <c r="J583" s="350">
        <v>158811158.46258494</v>
      </c>
      <c r="K583" s="350">
        <v>192062071.9526099</v>
      </c>
      <c r="L583" s="350">
        <v>225756441.92380351</v>
      </c>
      <c r="M583" s="350">
        <v>259953588.69964516</v>
      </c>
      <c r="N583" s="350">
        <v>294662274.78908867</v>
      </c>
      <c r="O583" s="348">
        <v>1131245535.8277321</v>
      </c>
      <c r="P583" s="369"/>
      <c r="Q583" s="350">
        <f t="shared" si="237"/>
        <v>31582180.688593149</v>
      </c>
      <c r="R583" s="350">
        <f t="shared" si="238"/>
        <v>63789562.04275535</v>
      </c>
      <c r="S583" s="350">
        <f t="shared" si="239"/>
        <v>96484125.398550898</v>
      </c>
      <c r="T583" s="350">
        <f t="shared" si="240"/>
        <v>129679089.74382558</v>
      </c>
      <c r="U583" s="350">
        <f t="shared" si="241"/>
        <v>163380104.5037691</v>
      </c>
      <c r="V583" s="350">
        <f t="shared" si="242"/>
        <v>484915062.37749398</v>
      </c>
      <c r="W583" s="365"/>
      <c r="X583" s="377">
        <f t="shared" si="220"/>
        <v>0</v>
      </c>
      <c r="Y583" s="377">
        <f t="shared" si="221"/>
        <v>0</v>
      </c>
      <c r="Z583" s="377">
        <f t="shared" si="222"/>
        <v>0</v>
      </c>
      <c r="AA583" s="377">
        <f t="shared" si="223"/>
        <v>0</v>
      </c>
      <c r="AB583" s="377">
        <f t="shared" si="224"/>
        <v>0</v>
      </c>
      <c r="AC583" s="377">
        <f t="shared" si="225"/>
        <v>0</v>
      </c>
      <c r="AD583" s="376"/>
      <c r="AE583" s="332">
        <v>568</v>
      </c>
      <c r="AF583" s="350">
        <v>143795901.54868987</v>
      </c>
      <c r="AG583" s="350">
        <v>144975315.60118639</v>
      </c>
      <c r="AH583" s="350">
        <v>146105310.48246959</v>
      </c>
      <c r="AI583" s="350">
        <v>147237990.54200464</v>
      </c>
      <c r="AJ583" s="350">
        <v>148376874.22892401</v>
      </c>
      <c r="AK583" s="348">
        <v>730491392.40327454</v>
      </c>
      <c r="AL583" s="369"/>
      <c r="AM583" s="350">
        <v>176553326.9975639</v>
      </c>
      <c r="AN583" s="350">
        <v>211138613.8601445</v>
      </c>
      <c r="AO583" s="350">
        <v>246179792.41576096</v>
      </c>
      <c r="AP583" s="350">
        <v>281742677.90929669</v>
      </c>
      <c r="AQ583" s="350">
        <v>317836648.4402166</v>
      </c>
      <c r="AR583" s="348">
        <v>1233451059.6229825</v>
      </c>
      <c r="AS583" s="369"/>
      <c r="AT583" s="350">
        <f t="shared" si="243"/>
        <v>32757425.448874027</v>
      </c>
      <c r="AU583" s="350">
        <f t="shared" si="226"/>
        <v>66163298.258958101</v>
      </c>
      <c r="AV583" s="350">
        <f t="shared" si="227"/>
        <v>100074481.93329138</v>
      </c>
      <c r="AW583" s="350">
        <f t="shared" si="228"/>
        <v>134504687.36729205</v>
      </c>
      <c r="AX583" s="350">
        <f t="shared" si="229"/>
        <v>169459774.21129259</v>
      </c>
      <c r="AY583" s="350">
        <f t="shared" si="230"/>
        <v>502959667.21970797</v>
      </c>
      <c r="AZ583" s="365"/>
      <c r="BA583" s="377">
        <f t="shared" si="231"/>
        <v>0</v>
      </c>
      <c r="BB583" s="377">
        <f t="shared" si="232"/>
        <v>0</v>
      </c>
      <c r="BC583" s="377">
        <f t="shared" si="233"/>
        <v>0</v>
      </c>
      <c r="BD583" s="377">
        <f t="shared" si="234"/>
        <v>0</v>
      </c>
      <c r="BE583" s="377">
        <f t="shared" si="235"/>
        <v>0</v>
      </c>
      <c r="BF583" s="377">
        <f t="shared" si="236"/>
        <v>0</v>
      </c>
      <c r="BG583" s="328"/>
    </row>
    <row r="584" spans="2:59">
      <c r="B584" s="332">
        <v>569</v>
      </c>
      <c r="C584" s="350">
        <v>141214608.07334632</v>
      </c>
      <c r="D584" s="350">
        <v>142372850.35553759</v>
      </c>
      <c r="E584" s="350">
        <v>143482560.59461042</v>
      </c>
      <c r="F584" s="350">
        <v>144594907.81005302</v>
      </c>
      <c r="G584" s="350">
        <v>145713347.29099321</v>
      </c>
      <c r="H584" s="348">
        <v>717378274.12454057</v>
      </c>
      <c r="I584" s="369"/>
      <c r="J584" s="350">
        <v>181342159.30000857</v>
      </c>
      <c r="K584" s="350">
        <v>223411420.57868403</v>
      </c>
      <c r="L584" s="350">
        <v>266050981.55424219</v>
      </c>
      <c r="M584" s="350">
        <v>309328806.36537039</v>
      </c>
      <c r="N584" s="350">
        <v>353255526.66020113</v>
      </c>
      <c r="O584" s="348">
        <v>1333388894.4585063</v>
      </c>
      <c r="P584" s="369"/>
      <c r="Q584" s="350">
        <f t="shared" si="237"/>
        <v>40127551.226662248</v>
      </c>
      <c r="R584" s="350">
        <f t="shared" si="238"/>
        <v>81038570.223146439</v>
      </c>
      <c r="S584" s="350">
        <f t="shared" si="239"/>
        <v>122568420.95963177</v>
      </c>
      <c r="T584" s="350">
        <f t="shared" si="240"/>
        <v>164733898.55531737</v>
      </c>
      <c r="U584" s="350">
        <f t="shared" si="241"/>
        <v>207542179.36920792</v>
      </c>
      <c r="V584" s="350">
        <f t="shared" si="242"/>
        <v>616010620.33396578</v>
      </c>
      <c r="W584" s="365"/>
      <c r="X584" s="377">
        <f t="shared" si="220"/>
        <v>0</v>
      </c>
      <c r="Y584" s="377">
        <f t="shared" si="221"/>
        <v>0</v>
      </c>
      <c r="Z584" s="377">
        <f t="shared" si="222"/>
        <v>0</v>
      </c>
      <c r="AA584" s="377">
        <f t="shared" si="223"/>
        <v>0</v>
      </c>
      <c r="AB584" s="377">
        <f t="shared" si="224"/>
        <v>0</v>
      </c>
      <c r="AC584" s="377">
        <f t="shared" si="225"/>
        <v>0</v>
      </c>
      <c r="AD584" s="376"/>
      <c r="AE584" s="332">
        <v>569</v>
      </c>
      <c r="AF584" s="350">
        <v>123818878.37069513</v>
      </c>
      <c r="AG584" s="350">
        <v>124834440.86963959</v>
      </c>
      <c r="AH584" s="350">
        <v>125807449.816753</v>
      </c>
      <c r="AI584" s="350">
        <v>126782770.90041405</v>
      </c>
      <c r="AJ584" s="350">
        <v>127763433.76486491</v>
      </c>
      <c r="AK584" s="348">
        <v>629006973.72236669</v>
      </c>
      <c r="AL584" s="369"/>
      <c r="AM584" s="350">
        <v>158970962.00705898</v>
      </c>
      <c r="AN584" s="350">
        <v>195818855.28661063</v>
      </c>
      <c r="AO584" s="350">
        <v>233166202.25723955</v>
      </c>
      <c r="AP584" s="350">
        <v>271072580.94002295</v>
      </c>
      <c r="AQ584" s="350">
        <v>309547306.60439152</v>
      </c>
      <c r="AR584" s="348">
        <v>1168575907.0953236</v>
      </c>
      <c r="AS584" s="369"/>
      <c r="AT584" s="350">
        <f t="shared" si="243"/>
        <v>35152083.636363849</v>
      </c>
      <c r="AU584" s="350">
        <f t="shared" si="226"/>
        <v>70984414.416971043</v>
      </c>
      <c r="AV584" s="350">
        <f t="shared" si="227"/>
        <v>107358752.44048655</v>
      </c>
      <c r="AW584" s="350">
        <f t="shared" si="228"/>
        <v>144289810.0396089</v>
      </c>
      <c r="AX584" s="350">
        <f t="shared" si="229"/>
        <v>181783872.83952659</v>
      </c>
      <c r="AY584" s="350">
        <f t="shared" si="230"/>
        <v>539568933.37295687</v>
      </c>
      <c r="AZ584" s="365"/>
      <c r="BA584" s="377">
        <f t="shared" si="231"/>
        <v>0</v>
      </c>
      <c r="BB584" s="377">
        <f t="shared" si="232"/>
        <v>0</v>
      </c>
      <c r="BC584" s="377">
        <f t="shared" si="233"/>
        <v>0</v>
      </c>
      <c r="BD584" s="377">
        <f t="shared" si="234"/>
        <v>0</v>
      </c>
      <c r="BE584" s="377">
        <f t="shared" si="235"/>
        <v>0</v>
      </c>
      <c r="BF584" s="377">
        <f t="shared" si="236"/>
        <v>0</v>
      </c>
      <c r="BG584" s="328"/>
    </row>
    <row r="585" spans="2:59">
      <c r="B585" s="332">
        <v>570</v>
      </c>
      <c r="C585" s="350">
        <v>117356745.28913471</v>
      </c>
      <c r="D585" s="350">
        <v>118319305.36948857</v>
      </c>
      <c r="E585" s="350">
        <v>119241532.77675495</v>
      </c>
      <c r="F585" s="350">
        <v>120165951.64968041</v>
      </c>
      <c r="G585" s="350">
        <v>121095433.51474239</v>
      </c>
      <c r="H585" s="348">
        <v>596178968.59980094</v>
      </c>
      <c r="I585" s="369"/>
      <c r="J585" s="350">
        <v>148199434.41125229</v>
      </c>
      <c r="K585" s="350">
        <v>180611111.87324712</v>
      </c>
      <c r="L585" s="350">
        <v>213458166.94209185</v>
      </c>
      <c r="M585" s="350">
        <v>246796032.99427864</v>
      </c>
      <c r="N585" s="350">
        <v>280633098.07017684</v>
      </c>
      <c r="O585" s="348">
        <v>1069697844.2910467</v>
      </c>
      <c r="P585" s="369"/>
      <c r="Q585" s="350">
        <f t="shared" si="237"/>
        <v>30842689.122117579</v>
      </c>
      <c r="R585" s="350">
        <f t="shared" si="238"/>
        <v>62291806.50375855</v>
      </c>
      <c r="S585" s="350">
        <f t="shared" si="239"/>
        <v>94216634.165336907</v>
      </c>
      <c r="T585" s="350">
        <f t="shared" si="240"/>
        <v>126630081.34459823</v>
      </c>
      <c r="U585" s="350">
        <f t="shared" si="241"/>
        <v>159537664.55543447</v>
      </c>
      <c r="V585" s="350">
        <f t="shared" si="242"/>
        <v>473518875.69124579</v>
      </c>
      <c r="W585" s="365"/>
      <c r="X585" s="377">
        <f t="shared" si="220"/>
        <v>0</v>
      </c>
      <c r="Y585" s="377">
        <f t="shared" si="221"/>
        <v>0</v>
      </c>
      <c r="Z585" s="377">
        <f t="shared" si="222"/>
        <v>0</v>
      </c>
      <c r="AA585" s="377">
        <f t="shared" si="223"/>
        <v>0</v>
      </c>
      <c r="AB585" s="377">
        <f t="shared" si="224"/>
        <v>0</v>
      </c>
      <c r="AC585" s="377">
        <f t="shared" si="225"/>
        <v>0</v>
      </c>
      <c r="AD585" s="376"/>
      <c r="AE585" s="332">
        <v>570</v>
      </c>
      <c r="AF585" s="350">
        <v>131738832.8291117</v>
      </c>
      <c r="AG585" s="350">
        <v>132819354.79826908</v>
      </c>
      <c r="AH585" s="350">
        <v>133854601.31892675</v>
      </c>
      <c r="AI585" s="350">
        <v>134892307.86970377</v>
      </c>
      <c r="AJ585" s="350">
        <v>135935697.88309765</v>
      </c>
      <c r="AK585" s="348">
        <v>669240794.69910896</v>
      </c>
      <c r="AL585" s="369"/>
      <c r="AM585" s="350">
        <v>169922901.84370413</v>
      </c>
      <c r="AN585" s="350">
        <v>209910826.8880102</v>
      </c>
      <c r="AO585" s="350">
        <v>250441990.6958116</v>
      </c>
      <c r="AP585" s="350">
        <v>291580109.2005049</v>
      </c>
      <c r="AQ585" s="350">
        <v>333335231.23689407</v>
      </c>
      <c r="AR585" s="348">
        <v>1255191059.8649249</v>
      </c>
      <c r="AS585" s="369"/>
      <c r="AT585" s="350">
        <f t="shared" si="243"/>
        <v>38184069.014592439</v>
      </c>
      <c r="AU585" s="350">
        <f t="shared" si="226"/>
        <v>77091472.089741126</v>
      </c>
      <c r="AV585" s="350">
        <f t="shared" si="227"/>
        <v>116587389.37688485</v>
      </c>
      <c r="AW585" s="350">
        <f t="shared" si="228"/>
        <v>156687801.33080113</v>
      </c>
      <c r="AX585" s="350">
        <f t="shared" si="229"/>
        <v>197399533.35379642</v>
      </c>
      <c r="AY585" s="350">
        <f t="shared" si="230"/>
        <v>585950265.16581595</v>
      </c>
      <c r="AZ585" s="365"/>
      <c r="BA585" s="377">
        <f t="shared" si="231"/>
        <v>0</v>
      </c>
      <c r="BB585" s="377">
        <f t="shared" si="232"/>
        <v>0</v>
      </c>
      <c r="BC585" s="377">
        <f t="shared" si="233"/>
        <v>0</v>
      </c>
      <c r="BD585" s="377">
        <f t="shared" si="234"/>
        <v>0</v>
      </c>
      <c r="BE585" s="377">
        <f t="shared" si="235"/>
        <v>0</v>
      </c>
      <c r="BF585" s="377">
        <f t="shared" si="236"/>
        <v>0</v>
      </c>
      <c r="BG585" s="328"/>
    </row>
    <row r="586" spans="2:59">
      <c r="B586" s="332">
        <v>571</v>
      </c>
      <c r="C586" s="350">
        <v>117362671.52761868</v>
      </c>
      <c r="D586" s="350">
        <v>118325280.21498339</v>
      </c>
      <c r="E586" s="350">
        <v>119247554.19255589</v>
      </c>
      <c r="F586" s="350">
        <v>120172019.74645127</v>
      </c>
      <c r="G586" s="350">
        <v>121101548.54815236</v>
      </c>
      <c r="H586" s="348">
        <v>596209074.2297616</v>
      </c>
      <c r="I586" s="369"/>
      <c r="J586" s="350">
        <v>149442303.9374606</v>
      </c>
      <c r="K586" s="350">
        <v>183114966.13588679</v>
      </c>
      <c r="L586" s="350">
        <v>217242077.11096215</v>
      </c>
      <c r="M586" s="350">
        <v>251879590.09215194</v>
      </c>
      <c r="N586" s="350">
        <v>287036114.45407426</v>
      </c>
      <c r="O586" s="348">
        <v>1088715051.7305355</v>
      </c>
      <c r="P586" s="369"/>
      <c r="Q586" s="350">
        <f t="shared" si="237"/>
        <v>32079632.409841925</v>
      </c>
      <c r="R586" s="350">
        <f t="shared" si="238"/>
        <v>64789685.9209034</v>
      </c>
      <c r="S586" s="350">
        <f t="shared" si="239"/>
        <v>97994522.918406263</v>
      </c>
      <c r="T586" s="350">
        <f t="shared" si="240"/>
        <v>131707570.34570067</v>
      </c>
      <c r="U586" s="350">
        <f t="shared" si="241"/>
        <v>165934565.90592191</v>
      </c>
      <c r="V586" s="350">
        <f t="shared" si="242"/>
        <v>492505977.50077391</v>
      </c>
      <c r="W586" s="365"/>
      <c r="X586" s="377">
        <f t="shared" si="220"/>
        <v>0</v>
      </c>
      <c r="Y586" s="377">
        <f t="shared" si="221"/>
        <v>0</v>
      </c>
      <c r="Z586" s="377">
        <f t="shared" si="222"/>
        <v>0</v>
      </c>
      <c r="AA586" s="377">
        <f t="shared" si="223"/>
        <v>0</v>
      </c>
      <c r="AB586" s="377">
        <f t="shared" si="224"/>
        <v>0</v>
      </c>
      <c r="AC586" s="377">
        <f t="shared" si="225"/>
        <v>0</v>
      </c>
      <c r="AD586" s="376"/>
      <c r="AE586" s="332">
        <v>571</v>
      </c>
      <c r="AF586" s="350">
        <v>114092786.16295096</v>
      </c>
      <c r="AG586" s="350">
        <v>115028575.24900851</v>
      </c>
      <c r="AH586" s="350">
        <v>115925153.40573584</v>
      </c>
      <c r="AI586" s="350">
        <v>116823862.07845709</v>
      </c>
      <c r="AJ586" s="350">
        <v>117727492.92993976</v>
      </c>
      <c r="AK586" s="348">
        <v>579597869.82609212</v>
      </c>
      <c r="AL586" s="369"/>
      <c r="AM586" s="350">
        <v>142245983.61258063</v>
      </c>
      <c r="AN586" s="350">
        <v>171913852.86104679</v>
      </c>
      <c r="AO586" s="350">
        <v>201977134.32687515</v>
      </c>
      <c r="AP586" s="350">
        <v>232488954.41150713</v>
      </c>
      <c r="AQ586" s="350">
        <v>263457144.11716259</v>
      </c>
      <c r="AR586" s="348">
        <v>1012083069.3291723</v>
      </c>
      <c r="AS586" s="369"/>
      <c r="AT586" s="350">
        <f t="shared" si="243"/>
        <v>28153197.449629664</v>
      </c>
      <c r="AU586" s="350">
        <f t="shared" si="226"/>
        <v>56885277.612038285</v>
      </c>
      <c r="AV586" s="350">
        <f t="shared" si="227"/>
        <v>86051980.921139315</v>
      </c>
      <c r="AW586" s="350">
        <f t="shared" si="228"/>
        <v>115665092.33305004</v>
      </c>
      <c r="AX586" s="350">
        <f t="shared" si="229"/>
        <v>145729651.18722284</v>
      </c>
      <c r="AY586" s="350">
        <f t="shared" si="230"/>
        <v>432485199.50308013</v>
      </c>
      <c r="AZ586" s="365"/>
      <c r="BA586" s="377">
        <f t="shared" si="231"/>
        <v>0</v>
      </c>
      <c r="BB586" s="377">
        <f t="shared" si="232"/>
        <v>0</v>
      </c>
      <c r="BC586" s="377">
        <f t="shared" si="233"/>
        <v>0</v>
      </c>
      <c r="BD586" s="377">
        <f t="shared" si="234"/>
        <v>0</v>
      </c>
      <c r="BE586" s="377">
        <f t="shared" si="235"/>
        <v>0</v>
      </c>
      <c r="BF586" s="377">
        <f t="shared" si="236"/>
        <v>0</v>
      </c>
      <c r="BG586" s="328"/>
    </row>
    <row r="587" spans="2:59">
      <c r="B587" s="332">
        <v>572</v>
      </c>
      <c r="C587" s="350">
        <v>145192182.05228141</v>
      </c>
      <c r="D587" s="350">
        <v>146383048.39812866</v>
      </c>
      <c r="E587" s="350">
        <v>147524015.70494625</v>
      </c>
      <c r="F587" s="350">
        <v>148667694.26351297</v>
      </c>
      <c r="G587" s="350">
        <v>149817636.68764788</v>
      </c>
      <c r="H587" s="348">
        <v>737584577.10651708</v>
      </c>
      <c r="I587" s="369"/>
      <c r="J587" s="350">
        <v>188035054.39214656</v>
      </c>
      <c r="K587" s="350">
        <v>232892088.82727537</v>
      </c>
      <c r="L587" s="350">
        <v>278359725.0351305</v>
      </c>
      <c r="M587" s="350">
        <v>324508504.17250866</v>
      </c>
      <c r="N587" s="350">
        <v>371349638.80381453</v>
      </c>
      <c r="O587" s="348">
        <v>1395145011.2308755</v>
      </c>
      <c r="P587" s="369"/>
      <c r="Q587" s="350">
        <f t="shared" si="237"/>
        <v>42842872.339865148</v>
      </c>
      <c r="R587" s="350">
        <f t="shared" si="238"/>
        <v>86509040.429146707</v>
      </c>
      <c r="S587" s="350">
        <f t="shared" si="239"/>
        <v>130835709.33018425</v>
      </c>
      <c r="T587" s="350">
        <f t="shared" si="240"/>
        <v>175840809.90899569</v>
      </c>
      <c r="U587" s="350">
        <f t="shared" si="241"/>
        <v>221532002.11616665</v>
      </c>
      <c r="V587" s="350">
        <f t="shared" si="242"/>
        <v>657560434.12435842</v>
      </c>
      <c r="W587" s="365"/>
      <c r="X587" s="377">
        <f t="shared" si="220"/>
        <v>0</v>
      </c>
      <c r="Y587" s="377">
        <f t="shared" si="221"/>
        <v>0</v>
      </c>
      <c r="Z587" s="377">
        <f t="shared" si="222"/>
        <v>0</v>
      </c>
      <c r="AA587" s="377">
        <f t="shared" si="223"/>
        <v>0</v>
      </c>
      <c r="AB587" s="377">
        <f t="shared" si="224"/>
        <v>0</v>
      </c>
      <c r="AC587" s="377">
        <f t="shared" si="225"/>
        <v>0</v>
      </c>
      <c r="AD587" s="376"/>
      <c r="AE587" s="332">
        <v>572</v>
      </c>
      <c r="AF587" s="350">
        <v>154126961.19107482</v>
      </c>
      <c r="AG587" s="350">
        <v>155391110.59964329</v>
      </c>
      <c r="AH587" s="350">
        <v>156602290.30183166</v>
      </c>
      <c r="AI587" s="350">
        <v>157816348.09970811</v>
      </c>
      <c r="AJ587" s="350">
        <v>159037055.22643757</v>
      </c>
      <c r="AK587" s="348">
        <v>782973765.41869545</v>
      </c>
      <c r="AL587" s="369"/>
      <c r="AM587" s="350">
        <v>190953218.03401631</v>
      </c>
      <c r="AN587" s="350">
        <v>229801298.51822934</v>
      </c>
      <c r="AO587" s="350">
        <v>269164932.43691838</v>
      </c>
      <c r="AP587" s="350">
        <v>309115383.12485236</v>
      </c>
      <c r="AQ587" s="350">
        <v>349663013.67651641</v>
      </c>
      <c r="AR587" s="348">
        <v>1348697845.7905326</v>
      </c>
      <c r="AS587" s="369"/>
      <c r="AT587" s="350">
        <f t="shared" si="243"/>
        <v>36826256.842941493</v>
      </c>
      <c r="AU587" s="350">
        <f t="shared" si="226"/>
        <v>74410187.918586046</v>
      </c>
      <c r="AV587" s="350">
        <f t="shared" si="227"/>
        <v>112562642.13508672</v>
      </c>
      <c r="AW587" s="350">
        <f t="shared" si="228"/>
        <v>151299035.02514425</v>
      </c>
      <c r="AX587" s="350">
        <f t="shared" si="229"/>
        <v>190625958.45007885</v>
      </c>
      <c r="AY587" s="350">
        <f t="shared" si="230"/>
        <v>565724080.37183714</v>
      </c>
      <c r="AZ587" s="365"/>
      <c r="BA587" s="377">
        <f t="shared" si="231"/>
        <v>0</v>
      </c>
      <c r="BB587" s="377">
        <f t="shared" si="232"/>
        <v>0</v>
      </c>
      <c r="BC587" s="377">
        <f t="shared" si="233"/>
        <v>0</v>
      </c>
      <c r="BD587" s="377">
        <f t="shared" si="234"/>
        <v>0</v>
      </c>
      <c r="BE587" s="377">
        <f t="shared" si="235"/>
        <v>0</v>
      </c>
      <c r="BF587" s="377">
        <f t="shared" si="236"/>
        <v>0</v>
      </c>
      <c r="BG587" s="328"/>
    </row>
    <row r="588" spans="2:59">
      <c r="B588" s="332">
        <v>573</v>
      </c>
      <c r="C588" s="350">
        <v>114101789.41470672</v>
      </c>
      <c r="D588" s="350">
        <v>115037652.34543943</v>
      </c>
      <c r="E588" s="350">
        <v>115934301.25264221</v>
      </c>
      <c r="F588" s="350">
        <v>116833080.84396145</v>
      </c>
      <c r="G588" s="350">
        <v>117736783.00245939</v>
      </c>
      <c r="H588" s="348">
        <v>579643606.85920918</v>
      </c>
      <c r="I588" s="369"/>
      <c r="J588" s="350">
        <v>146119702.79776829</v>
      </c>
      <c r="K588" s="350">
        <v>179714271.92660493</v>
      </c>
      <c r="L588" s="350">
        <v>213763639.17855474</v>
      </c>
      <c r="M588" s="350">
        <v>248322551.01578742</v>
      </c>
      <c r="N588" s="350">
        <v>283399527.7538479</v>
      </c>
      <c r="O588" s="348">
        <v>1071319692.6725633</v>
      </c>
      <c r="P588" s="369"/>
      <c r="Q588" s="350">
        <f t="shared" si="237"/>
        <v>32017913.383061573</v>
      </c>
      <c r="R588" s="350">
        <f t="shared" si="238"/>
        <v>64676619.581165493</v>
      </c>
      <c r="S588" s="350">
        <f t="shared" si="239"/>
        <v>97829337.925912529</v>
      </c>
      <c r="T588" s="350">
        <f t="shared" si="240"/>
        <v>131489470.17182598</v>
      </c>
      <c r="U588" s="350">
        <f t="shared" si="241"/>
        <v>165662744.75138849</v>
      </c>
      <c r="V588" s="350">
        <f t="shared" si="242"/>
        <v>491676085.81335413</v>
      </c>
      <c r="W588" s="365"/>
      <c r="X588" s="377">
        <f t="shared" si="220"/>
        <v>0</v>
      </c>
      <c r="Y588" s="377">
        <f t="shared" si="221"/>
        <v>0</v>
      </c>
      <c r="Z588" s="377">
        <f t="shared" si="222"/>
        <v>0</v>
      </c>
      <c r="AA588" s="377">
        <f t="shared" si="223"/>
        <v>0</v>
      </c>
      <c r="AB588" s="377">
        <f t="shared" si="224"/>
        <v>0</v>
      </c>
      <c r="AC588" s="377">
        <f t="shared" si="225"/>
        <v>0</v>
      </c>
      <c r="AD588" s="376"/>
      <c r="AE588" s="332">
        <v>573</v>
      </c>
      <c r="AF588" s="350">
        <v>123434999.34868942</v>
      </c>
      <c r="AG588" s="350">
        <v>124447413.27171388</v>
      </c>
      <c r="AH588" s="350">
        <v>125417405.57283647</v>
      </c>
      <c r="AI588" s="350">
        <v>126389702.84212714</v>
      </c>
      <c r="AJ588" s="350">
        <v>127367325.33094007</v>
      </c>
      <c r="AK588" s="348">
        <v>627056846.36630702</v>
      </c>
      <c r="AL588" s="369"/>
      <c r="AM588" s="350">
        <v>153235538.87544468</v>
      </c>
      <c r="AN588" s="350">
        <v>184636998.76967612</v>
      </c>
      <c r="AO588" s="350">
        <v>216455713.50132328</v>
      </c>
      <c r="AP588" s="350">
        <v>248748882.84820864</v>
      </c>
      <c r="AQ588" s="350">
        <v>281524857.56914544</v>
      </c>
      <c r="AR588" s="348">
        <v>1084601991.5637982</v>
      </c>
      <c r="AS588" s="369"/>
      <c r="AT588" s="350">
        <f t="shared" si="243"/>
        <v>29800539.526755258</v>
      </c>
      <c r="AU588" s="350">
        <f t="shared" si="226"/>
        <v>60189585.497962236</v>
      </c>
      <c r="AV588" s="350">
        <f t="shared" si="227"/>
        <v>91038307.928486809</v>
      </c>
      <c r="AW588" s="350">
        <f t="shared" si="228"/>
        <v>122359180.00608149</v>
      </c>
      <c r="AX588" s="350">
        <f t="shared" si="229"/>
        <v>154157532.23820537</v>
      </c>
      <c r="AY588" s="350">
        <f t="shared" si="230"/>
        <v>457545145.19749117</v>
      </c>
      <c r="AZ588" s="365"/>
      <c r="BA588" s="377">
        <f t="shared" si="231"/>
        <v>0</v>
      </c>
      <c r="BB588" s="377">
        <f t="shared" si="232"/>
        <v>0</v>
      </c>
      <c r="BC588" s="377">
        <f t="shared" si="233"/>
        <v>0</v>
      </c>
      <c r="BD588" s="377">
        <f t="shared" si="234"/>
        <v>0</v>
      </c>
      <c r="BE588" s="377">
        <f t="shared" si="235"/>
        <v>0</v>
      </c>
      <c r="BF588" s="377">
        <f t="shared" si="236"/>
        <v>0</v>
      </c>
      <c r="BG588" s="328"/>
    </row>
    <row r="589" spans="2:59">
      <c r="B589" s="332">
        <v>574</v>
      </c>
      <c r="C589" s="350">
        <v>137290374.10174215</v>
      </c>
      <c r="D589" s="350">
        <v>138416429.8150427</v>
      </c>
      <c r="E589" s="350">
        <v>139495302.1494666</v>
      </c>
      <c r="F589" s="350">
        <v>140576738.18092746</v>
      </c>
      <c r="G589" s="350">
        <v>141664097.17900422</v>
      </c>
      <c r="H589" s="348">
        <v>697442941.42618322</v>
      </c>
      <c r="I589" s="369"/>
      <c r="J589" s="350">
        <v>173224268.67165962</v>
      </c>
      <c r="K589" s="350">
        <v>210996852.02483448</v>
      </c>
      <c r="L589" s="350">
        <v>249276582.93470198</v>
      </c>
      <c r="M589" s="350">
        <v>288128248.98298597</v>
      </c>
      <c r="N589" s="350">
        <v>327561637.49596566</v>
      </c>
      <c r="O589" s="348">
        <v>1249187590.1101477</v>
      </c>
      <c r="P589" s="369"/>
      <c r="Q589" s="350">
        <f t="shared" si="237"/>
        <v>35933894.56991747</v>
      </c>
      <c r="R589" s="350">
        <f t="shared" si="238"/>
        <v>72580422.20979178</v>
      </c>
      <c r="S589" s="350">
        <f t="shared" si="239"/>
        <v>109781280.78523538</v>
      </c>
      <c r="T589" s="350">
        <f t="shared" si="240"/>
        <v>147551510.80205852</v>
      </c>
      <c r="U589" s="350">
        <f t="shared" si="241"/>
        <v>185897540.31696144</v>
      </c>
      <c r="V589" s="350">
        <f t="shared" si="242"/>
        <v>551744648.68396449</v>
      </c>
      <c r="W589" s="365"/>
      <c r="X589" s="377">
        <f t="shared" si="220"/>
        <v>0</v>
      </c>
      <c r="Y589" s="377">
        <f t="shared" si="221"/>
        <v>0</v>
      </c>
      <c r="Z589" s="377">
        <f t="shared" si="222"/>
        <v>0</v>
      </c>
      <c r="AA589" s="377">
        <f t="shared" si="223"/>
        <v>0</v>
      </c>
      <c r="AB589" s="377">
        <f t="shared" si="224"/>
        <v>0</v>
      </c>
      <c r="AC589" s="377">
        <f t="shared" si="225"/>
        <v>0</v>
      </c>
      <c r="AD589" s="376"/>
      <c r="AE589" s="332">
        <v>574</v>
      </c>
      <c r="AF589" s="350">
        <v>121487904.34181693</v>
      </c>
      <c r="AG589" s="350">
        <v>122484348.19067432</v>
      </c>
      <c r="AH589" s="350">
        <v>123439039.58706012</v>
      </c>
      <c r="AI589" s="350">
        <v>124395999.59246117</v>
      </c>
      <c r="AJ589" s="350">
        <v>125358200.81602013</v>
      </c>
      <c r="AK589" s="348">
        <v>617165492.52803278</v>
      </c>
      <c r="AL589" s="369"/>
      <c r="AM589" s="350">
        <v>151744355.83707958</v>
      </c>
      <c r="AN589" s="350">
        <v>183607921.715958</v>
      </c>
      <c r="AO589" s="350">
        <v>215896649.2505303</v>
      </c>
      <c r="AP589" s="350">
        <v>248667224.24589092</v>
      </c>
      <c r="AQ589" s="350">
        <v>281928033.37778503</v>
      </c>
      <c r="AR589" s="348">
        <v>1081844184.4272437</v>
      </c>
      <c r="AS589" s="369"/>
      <c r="AT589" s="350">
        <f t="shared" si="243"/>
        <v>30256451.495262653</v>
      </c>
      <c r="AU589" s="350">
        <f t="shared" si="226"/>
        <v>61123573.525283679</v>
      </c>
      <c r="AV589" s="350">
        <f t="shared" si="227"/>
        <v>92457609.663470179</v>
      </c>
      <c r="AW589" s="350">
        <f t="shared" si="228"/>
        <v>124271224.65342975</v>
      </c>
      <c r="AX589" s="350">
        <f t="shared" si="229"/>
        <v>156569832.5617649</v>
      </c>
      <c r="AY589" s="350">
        <f t="shared" si="230"/>
        <v>464678691.89921093</v>
      </c>
      <c r="AZ589" s="365"/>
      <c r="BA589" s="377">
        <f t="shared" si="231"/>
        <v>0</v>
      </c>
      <c r="BB589" s="377">
        <f t="shared" si="232"/>
        <v>0</v>
      </c>
      <c r="BC589" s="377">
        <f t="shared" si="233"/>
        <v>0</v>
      </c>
      <c r="BD589" s="377">
        <f t="shared" si="234"/>
        <v>0</v>
      </c>
      <c r="BE589" s="377">
        <f t="shared" si="235"/>
        <v>0</v>
      </c>
      <c r="BF589" s="377">
        <f t="shared" si="236"/>
        <v>0</v>
      </c>
      <c r="BG589" s="328"/>
    </row>
    <row r="590" spans="2:59">
      <c r="B590" s="332">
        <v>575</v>
      </c>
      <c r="C590" s="350">
        <v>115784487.39016618</v>
      </c>
      <c r="D590" s="350">
        <v>116734151.81048925</v>
      </c>
      <c r="E590" s="350">
        <v>117644023.90471292</v>
      </c>
      <c r="F590" s="350">
        <v>118556058.10497785</v>
      </c>
      <c r="G590" s="350">
        <v>119473087.46719737</v>
      </c>
      <c r="H590" s="348">
        <v>588191808.67754364</v>
      </c>
      <c r="I590" s="369"/>
      <c r="J590" s="350">
        <v>146242327.94459063</v>
      </c>
      <c r="K590" s="350">
        <v>178243976.87319201</v>
      </c>
      <c r="L590" s="350">
        <v>210675534.40422523</v>
      </c>
      <c r="M590" s="350">
        <v>243591702.86670873</v>
      </c>
      <c r="N590" s="350">
        <v>277000762.27647442</v>
      </c>
      <c r="O590" s="348">
        <v>1055754304.365191</v>
      </c>
      <c r="P590" s="369"/>
      <c r="Q590" s="350">
        <f t="shared" si="237"/>
        <v>30457840.55442445</v>
      </c>
      <c r="R590" s="350">
        <f t="shared" si="238"/>
        <v>61509825.06270276</v>
      </c>
      <c r="S590" s="350">
        <f t="shared" si="239"/>
        <v>93031510.499512315</v>
      </c>
      <c r="T590" s="350">
        <f t="shared" si="240"/>
        <v>125035644.76173088</v>
      </c>
      <c r="U590" s="350">
        <f t="shared" si="241"/>
        <v>157527674.80927706</v>
      </c>
      <c r="V590" s="350">
        <f t="shared" si="242"/>
        <v>467562495.68764734</v>
      </c>
      <c r="W590" s="365"/>
      <c r="X590" s="377">
        <f t="shared" si="220"/>
        <v>0</v>
      </c>
      <c r="Y590" s="377">
        <f t="shared" si="221"/>
        <v>0</v>
      </c>
      <c r="Z590" s="377">
        <f t="shared" si="222"/>
        <v>0</v>
      </c>
      <c r="AA590" s="377">
        <f t="shared" si="223"/>
        <v>0</v>
      </c>
      <c r="AB590" s="377">
        <f t="shared" si="224"/>
        <v>0</v>
      </c>
      <c r="AC590" s="377">
        <f t="shared" si="225"/>
        <v>0</v>
      </c>
      <c r="AD590" s="376"/>
      <c r="AE590" s="332">
        <v>575</v>
      </c>
      <c r="AF590" s="350">
        <v>113743477.36001331</v>
      </c>
      <c r="AG590" s="350">
        <v>114676401.41510397</v>
      </c>
      <c r="AH590" s="350">
        <v>115570234.58984606</v>
      </c>
      <c r="AI590" s="350">
        <v>116466191.75775081</v>
      </c>
      <c r="AJ590" s="350">
        <v>117367056.03457394</v>
      </c>
      <c r="AK590" s="348">
        <v>577823361.15728807</v>
      </c>
      <c r="AL590" s="369"/>
      <c r="AM590" s="350">
        <v>147465270.60902023</v>
      </c>
      <c r="AN590" s="350">
        <v>182782454.66778225</v>
      </c>
      <c r="AO590" s="350">
        <v>218580655.84979847</v>
      </c>
      <c r="AP590" s="350">
        <v>254915203.28648514</v>
      </c>
      <c r="AQ590" s="350">
        <v>291794911.47610378</v>
      </c>
      <c r="AR590" s="348">
        <v>1095538495.88919</v>
      </c>
      <c r="AS590" s="369"/>
      <c r="AT590" s="350">
        <f t="shared" si="243"/>
        <v>33721793.249006927</v>
      </c>
      <c r="AU590" s="350">
        <f t="shared" si="226"/>
        <v>68106053.252678275</v>
      </c>
      <c r="AV590" s="350">
        <f t="shared" si="227"/>
        <v>103010421.25995241</v>
      </c>
      <c r="AW590" s="350">
        <f t="shared" si="228"/>
        <v>138449011.52873433</v>
      </c>
      <c r="AX590" s="350">
        <f t="shared" si="229"/>
        <v>174427855.44152984</v>
      </c>
      <c r="AY590" s="350">
        <f t="shared" si="230"/>
        <v>517715134.73190188</v>
      </c>
      <c r="AZ590" s="365"/>
      <c r="BA590" s="377">
        <f t="shared" si="231"/>
        <v>0</v>
      </c>
      <c r="BB590" s="377">
        <f t="shared" si="232"/>
        <v>0</v>
      </c>
      <c r="BC590" s="377">
        <f t="shared" si="233"/>
        <v>0</v>
      </c>
      <c r="BD590" s="377">
        <f t="shared" si="234"/>
        <v>0</v>
      </c>
      <c r="BE590" s="377">
        <f t="shared" si="235"/>
        <v>0</v>
      </c>
      <c r="BF590" s="377">
        <f t="shared" si="236"/>
        <v>0</v>
      </c>
      <c r="BG590" s="328"/>
    </row>
    <row r="591" spans="2:59">
      <c r="B591" s="332">
        <v>576</v>
      </c>
      <c r="C591" s="350">
        <v>122093517.24031827</v>
      </c>
      <c r="D591" s="350">
        <v>123094928.32645553</v>
      </c>
      <c r="E591" s="350">
        <v>124054378.82562502</v>
      </c>
      <c r="F591" s="350">
        <v>125016109.24274537</v>
      </c>
      <c r="G591" s="350">
        <v>125983107.00531039</v>
      </c>
      <c r="H591" s="348">
        <v>620242040.64045465</v>
      </c>
      <c r="I591" s="369"/>
      <c r="J591" s="350">
        <v>147381861.87760308</v>
      </c>
      <c r="K591" s="350">
        <v>174176529.54352617</v>
      </c>
      <c r="L591" s="350">
        <v>201319397.94379178</v>
      </c>
      <c r="M591" s="350">
        <v>228865292.47220415</v>
      </c>
      <c r="N591" s="350">
        <v>256821724.79608977</v>
      </c>
      <c r="O591" s="348">
        <v>1008564806.6332148</v>
      </c>
      <c r="P591" s="369"/>
      <c r="Q591" s="350">
        <f t="shared" si="237"/>
        <v>25288344.637284815</v>
      </c>
      <c r="R591" s="350">
        <f t="shared" si="238"/>
        <v>51081601.217070639</v>
      </c>
      <c r="S591" s="350">
        <f t="shared" si="239"/>
        <v>77265019.11816676</v>
      </c>
      <c r="T591" s="350">
        <f t="shared" si="240"/>
        <v>103849183.22945878</v>
      </c>
      <c r="U591" s="350">
        <f t="shared" si="241"/>
        <v>130838617.79077938</v>
      </c>
      <c r="V591" s="350">
        <f t="shared" si="242"/>
        <v>388322765.99276018</v>
      </c>
      <c r="W591" s="365"/>
      <c r="X591" s="377">
        <f t="shared" si="220"/>
        <v>0</v>
      </c>
      <c r="Y591" s="377">
        <f t="shared" si="221"/>
        <v>0</v>
      </c>
      <c r="Z591" s="377">
        <f t="shared" si="222"/>
        <v>0</v>
      </c>
      <c r="AA591" s="377">
        <f t="shared" si="223"/>
        <v>0</v>
      </c>
      <c r="AB591" s="377">
        <f t="shared" si="224"/>
        <v>0</v>
      </c>
      <c r="AC591" s="377">
        <f t="shared" si="225"/>
        <v>0</v>
      </c>
      <c r="AD591" s="376"/>
      <c r="AE591" s="332">
        <v>576</v>
      </c>
      <c r="AF591" s="350">
        <v>124718882.94766401</v>
      </c>
      <c r="AG591" s="350">
        <v>125741827.28457433</v>
      </c>
      <c r="AH591" s="350">
        <v>126721908.75986239</v>
      </c>
      <c r="AI591" s="350">
        <v>127704319.17796791</v>
      </c>
      <c r="AJ591" s="350">
        <v>128692110.20476434</v>
      </c>
      <c r="AK591" s="348">
        <v>633579048.37483299</v>
      </c>
      <c r="AL591" s="369"/>
      <c r="AM591" s="350">
        <v>155032226.30282733</v>
      </c>
      <c r="AN591" s="350">
        <v>186971379.68010917</v>
      </c>
      <c r="AO591" s="350">
        <v>219335322.68452778</v>
      </c>
      <c r="AP591" s="350">
        <v>252181935.1804435</v>
      </c>
      <c r="AQ591" s="350">
        <v>285519691.7138983</v>
      </c>
      <c r="AR591" s="348">
        <v>1099040555.5618062</v>
      </c>
      <c r="AS591" s="369"/>
      <c r="AT591" s="350">
        <f t="shared" si="243"/>
        <v>30313343.355163321</v>
      </c>
      <c r="AU591" s="350">
        <f t="shared" si="226"/>
        <v>61229552.395534843</v>
      </c>
      <c r="AV591" s="350">
        <f t="shared" si="227"/>
        <v>92613413.924665391</v>
      </c>
      <c r="AW591" s="350">
        <f t="shared" si="228"/>
        <v>124477616.00247559</v>
      </c>
      <c r="AX591" s="350">
        <f t="shared" si="229"/>
        <v>156827581.50913396</v>
      </c>
      <c r="AY591" s="350">
        <f t="shared" si="230"/>
        <v>465461507.18697321</v>
      </c>
      <c r="AZ591" s="365"/>
      <c r="BA591" s="377">
        <f t="shared" si="231"/>
        <v>0</v>
      </c>
      <c r="BB591" s="377">
        <f t="shared" si="232"/>
        <v>0</v>
      </c>
      <c r="BC591" s="377">
        <f t="shared" si="233"/>
        <v>0</v>
      </c>
      <c r="BD591" s="377">
        <f t="shared" si="234"/>
        <v>0</v>
      </c>
      <c r="BE591" s="377">
        <f t="shared" si="235"/>
        <v>0</v>
      </c>
      <c r="BF591" s="377">
        <f t="shared" si="236"/>
        <v>0</v>
      </c>
      <c r="BG591" s="328"/>
    </row>
    <row r="592" spans="2:59">
      <c r="B592" s="332">
        <v>577</v>
      </c>
      <c r="C592" s="350">
        <v>96306216.1240675</v>
      </c>
      <c r="D592" s="350">
        <v>97096119.754255697</v>
      </c>
      <c r="E592" s="350">
        <v>97852925.26876545</v>
      </c>
      <c r="F592" s="350">
        <v>98611529.161075056</v>
      </c>
      <c r="G592" s="350">
        <v>99374287.885846451</v>
      </c>
      <c r="H592" s="348">
        <v>489241078.19401014</v>
      </c>
      <c r="I592" s="369"/>
      <c r="J592" s="350">
        <v>122298672.0260953</v>
      </c>
      <c r="K592" s="350">
        <v>149582767.87603015</v>
      </c>
      <c r="L592" s="350">
        <v>177234521.65700358</v>
      </c>
      <c r="M592" s="350">
        <v>205299708.51213327</v>
      </c>
      <c r="N592" s="350">
        <v>233785332.47509432</v>
      </c>
      <c r="O592" s="348">
        <v>888201002.54635668</v>
      </c>
      <c r="P592" s="369"/>
      <c r="Q592" s="350">
        <f t="shared" si="237"/>
        <v>25992455.902027801</v>
      </c>
      <c r="R592" s="350">
        <f t="shared" si="238"/>
        <v>52486648.12177445</v>
      </c>
      <c r="S592" s="350">
        <f t="shared" si="239"/>
        <v>79381596.388238132</v>
      </c>
      <c r="T592" s="350">
        <f t="shared" si="240"/>
        <v>106688179.35105821</v>
      </c>
      <c r="U592" s="350">
        <f t="shared" si="241"/>
        <v>134411044.58924788</v>
      </c>
      <c r="V592" s="350">
        <f t="shared" si="242"/>
        <v>398959924.35234654</v>
      </c>
      <c r="W592" s="365"/>
      <c r="X592" s="377">
        <f t="shared" ref="X592:X655" si="244">IF(Q592&lt;Q$8,1,0)</f>
        <v>0</v>
      </c>
      <c r="Y592" s="377">
        <f t="shared" ref="Y592:Y655" si="245">IF(R592&lt;R$8,1,0)</f>
        <v>0</v>
      </c>
      <c r="Z592" s="377">
        <f t="shared" ref="Z592:Z655" si="246">IF(S592&lt;S$8,1,0)</f>
        <v>0</v>
      </c>
      <c r="AA592" s="377">
        <f t="shared" ref="AA592:AA655" si="247">IF(T592&lt;T$8,1,0)</f>
        <v>0</v>
      </c>
      <c r="AB592" s="377">
        <f t="shared" ref="AB592:AB655" si="248">IF(U592&lt;U$8,1,0)</f>
        <v>0</v>
      </c>
      <c r="AC592" s="377">
        <f t="shared" ref="AC592:AC655" si="249">IF(V592&lt;V$8,1,0)</f>
        <v>0</v>
      </c>
      <c r="AD592" s="376"/>
      <c r="AE592" s="332">
        <v>577</v>
      </c>
      <c r="AF592" s="350">
        <v>130595654.78612019</v>
      </c>
      <c r="AG592" s="350">
        <v>131666800.4084284</v>
      </c>
      <c r="AH592" s="350">
        <v>132693063.46486308</v>
      </c>
      <c r="AI592" s="350">
        <v>133721765.2042383</v>
      </c>
      <c r="AJ592" s="350">
        <v>134756101.08736569</v>
      </c>
      <c r="AK592" s="348">
        <v>663433384.95101571</v>
      </c>
      <c r="AL592" s="369"/>
      <c r="AM592" s="350">
        <v>166741417.75736555</v>
      </c>
      <c r="AN592" s="350">
        <v>204661636.80013001</v>
      </c>
      <c r="AO592" s="350">
        <v>243094361.7528668</v>
      </c>
      <c r="AP592" s="350">
        <v>282102042.29844767</v>
      </c>
      <c r="AQ592" s="350">
        <v>321694337.7902084</v>
      </c>
      <c r="AR592" s="348">
        <v>1218293796.3990183</v>
      </c>
      <c r="AS592" s="369"/>
      <c r="AT592" s="350">
        <f t="shared" si="243"/>
        <v>36145762.971245363</v>
      </c>
      <c r="AU592" s="350">
        <f t="shared" ref="AU592:AU655" si="250">AN592-AG592</f>
        <v>72994836.391701609</v>
      </c>
      <c r="AV592" s="350">
        <f t="shared" ref="AV592:AV655" si="251">AO592-AH592</f>
        <v>110401298.28800373</v>
      </c>
      <c r="AW592" s="350">
        <f t="shared" ref="AW592:AW655" si="252">AP592-AI592</f>
        <v>148380277.09420937</v>
      </c>
      <c r="AX592" s="350">
        <f t="shared" ref="AX592:AX655" si="253">AQ592-AJ592</f>
        <v>186938236.70284271</v>
      </c>
      <c r="AY592" s="350">
        <f t="shared" ref="AY592:AY655" si="254">AR592-AK592</f>
        <v>554860411.44800258</v>
      </c>
      <c r="AZ592" s="365"/>
      <c r="BA592" s="377">
        <f t="shared" ref="BA592:BA655" si="255">IF(AT592&lt;AT$8,1,0)</f>
        <v>0</v>
      </c>
      <c r="BB592" s="377">
        <f t="shared" ref="BB592:BB655" si="256">IF(AU592&lt;AU$8,1,0)</f>
        <v>0</v>
      </c>
      <c r="BC592" s="377">
        <f t="shared" ref="BC592:BC655" si="257">IF(AV592&lt;AV$8,1,0)</f>
        <v>0</v>
      </c>
      <c r="BD592" s="377">
        <f t="shared" ref="BD592:BD655" si="258">IF(AW592&lt;AW$8,1,0)</f>
        <v>0</v>
      </c>
      <c r="BE592" s="377">
        <f t="shared" ref="BE592:BE655" si="259">IF(AX592&lt;AX$8,1,0)</f>
        <v>0</v>
      </c>
      <c r="BF592" s="377">
        <f t="shared" ref="BF592:BF655" si="260">IF(AY592&lt;AY$8,1,0)</f>
        <v>0</v>
      </c>
      <c r="BG592" s="328"/>
    </row>
    <row r="593" spans="2:59">
      <c r="B593" s="332">
        <v>578</v>
      </c>
      <c r="C593" s="350">
        <v>125490954.59797578</v>
      </c>
      <c r="D593" s="350">
        <v>126520231.46692704</v>
      </c>
      <c r="E593" s="350">
        <v>127506380.13191554</v>
      </c>
      <c r="F593" s="350">
        <v>128494872.15703082</v>
      </c>
      <c r="G593" s="350">
        <v>129488778.09946954</v>
      </c>
      <c r="H593" s="348">
        <v>637501216.45331872</v>
      </c>
      <c r="I593" s="369"/>
      <c r="J593" s="350">
        <v>154065156.397654</v>
      </c>
      <c r="K593" s="350">
        <v>184238701.20826876</v>
      </c>
      <c r="L593" s="350">
        <v>214809967.95206773</v>
      </c>
      <c r="M593" s="350">
        <v>245836388.41119581</v>
      </c>
      <c r="N593" s="350">
        <v>277326145.17369372</v>
      </c>
      <c r="O593" s="348">
        <v>1076276359.14288</v>
      </c>
      <c r="P593" s="369"/>
      <c r="Q593" s="350">
        <f t="shared" ref="Q593:Q656" si="261">J593-C593</f>
        <v>28574201.799678221</v>
      </c>
      <c r="R593" s="350">
        <f t="shared" ref="R593:R656" si="262">K593-D593</f>
        <v>57718469.741341725</v>
      </c>
      <c r="S593" s="350">
        <f t="shared" ref="S593:S656" si="263">L593-E593</f>
        <v>87303587.820152193</v>
      </c>
      <c r="T593" s="350">
        <f t="shared" ref="T593:T656" si="264">M593-F593</f>
        <v>117341516.25416499</v>
      </c>
      <c r="U593" s="350">
        <f t="shared" ref="U593:U656" si="265">N593-G593</f>
        <v>147837367.07422417</v>
      </c>
      <c r="V593" s="350">
        <f t="shared" ref="V593:V656" si="266">O593-H593</f>
        <v>438775142.68956125</v>
      </c>
      <c r="W593" s="365"/>
      <c r="X593" s="377">
        <f t="shared" si="244"/>
        <v>0</v>
      </c>
      <c r="Y593" s="377">
        <f t="shared" si="245"/>
        <v>0</v>
      </c>
      <c r="Z593" s="377">
        <f t="shared" si="246"/>
        <v>0</v>
      </c>
      <c r="AA593" s="377">
        <f t="shared" si="247"/>
        <v>0</v>
      </c>
      <c r="AB593" s="377">
        <f t="shared" si="248"/>
        <v>0</v>
      </c>
      <c r="AC593" s="377">
        <f t="shared" si="249"/>
        <v>0</v>
      </c>
      <c r="AD593" s="376"/>
      <c r="AE593" s="332">
        <v>578</v>
      </c>
      <c r="AF593" s="350">
        <v>143375046.54402319</v>
      </c>
      <c r="AG593" s="350">
        <v>144551008.74357247</v>
      </c>
      <c r="AH593" s="350">
        <v>145677696.40958801</v>
      </c>
      <c r="AI593" s="350">
        <v>146807061.39500335</v>
      </c>
      <c r="AJ593" s="350">
        <v>147942611.85132149</v>
      </c>
      <c r="AK593" s="348">
        <v>728353424.94350839</v>
      </c>
      <c r="AL593" s="369"/>
      <c r="AM593" s="350">
        <v>175513367.1908989</v>
      </c>
      <c r="AN593" s="350">
        <v>209463782.64387804</v>
      </c>
      <c r="AO593" s="350">
        <v>243860683.29026863</v>
      </c>
      <c r="AP593" s="350">
        <v>278769472.74361503</v>
      </c>
      <c r="AQ593" s="350">
        <v>314199408.05119336</v>
      </c>
      <c r="AR593" s="348">
        <v>1221806713.9198539</v>
      </c>
      <c r="AS593" s="369"/>
      <c r="AT593" s="350">
        <f t="shared" ref="AT593:AT656" si="267">AM593-AF593</f>
        <v>32138320.646875709</v>
      </c>
      <c r="AU593" s="350">
        <f t="shared" si="250"/>
        <v>64912773.900305569</v>
      </c>
      <c r="AV593" s="350">
        <f t="shared" si="251"/>
        <v>98182986.880680621</v>
      </c>
      <c r="AW593" s="350">
        <f t="shared" si="252"/>
        <v>131962411.34861168</v>
      </c>
      <c r="AX593" s="350">
        <f t="shared" si="253"/>
        <v>166256796.19987187</v>
      </c>
      <c r="AY593" s="350">
        <f t="shared" si="254"/>
        <v>493453288.97634554</v>
      </c>
      <c r="AZ593" s="365"/>
      <c r="BA593" s="377">
        <f t="shared" si="255"/>
        <v>0</v>
      </c>
      <c r="BB593" s="377">
        <f t="shared" si="256"/>
        <v>0</v>
      </c>
      <c r="BC593" s="377">
        <f t="shared" si="257"/>
        <v>0</v>
      </c>
      <c r="BD593" s="377">
        <f t="shared" si="258"/>
        <v>0</v>
      </c>
      <c r="BE593" s="377">
        <f t="shared" si="259"/>
        <v>0</v>
      </c>
      <c r="BF593" s="377">
        <f t="shared" si="260"/>
        <v>0</v>
      </c>
      <c r="BG593" s="328"/>
    </row>
    <row r="594" spans="2:59">
      <c r="B594" s="332">
        <v>579</v>
      </c>
      <c r="C594" s="350">
        <v>145883157.31508839</v>
      </c>
      <c r="D594" s="350">
        <v>147079691.04036787</v>
      </c>
      <c r="E594" s="350">
        <v>148226088.25514287</v>
      </c>
      <c r="F594" s="350">
        <v>149375209.62461999</v>
      </c>
      <c r="G594" s="350">
        <v>150530624.66964602</v>
      </c>
      <c r="H594" s="348">
        <v>741094770.90486515</v>
      </c>
      <c r="I594" s="369"/>
      <c r="J594" s="350">
        <v>177136502.36422503</v>
      </c>
      <c r="K594" s="350">
        <v>210243833.19411206</v>
      </c>
      <c r="L594" s="350">
        <v>243783741.18305251</v>
      </c>
      <c r="M594" s="350">
        <v>277822170.50092179</v>
      </c>
      <c r="N594" s="350">
        <v>312368287.18814987</v>
      </c>
      <c r="O594" s="348">
        <v>1221354534.4304614</v>
      </c>
      <c r="P594" s="369"/>
      <c r="Q594" s="350">
        <f t="shared" si="261"/>
        <v>31253345.049136639</v>
      </c>
      <c r="R594" s="350">
        <f t="shared" si="262"/>
        <v>63164142.153744191</v>
      </c>
      <c r="S594" s="350">
        <f t="shared" si="263"/>
        <v>95557652.927909642</v>
      </c>
      <c r="T594" s="350">
        <f t="shared" si="264"/>
        <v>128446960.8763018</v>
      </c>
      <c r="U594" s="350">
        <f t="shared" si="265"/>
        <v>161837662.51850384</v>
      </c>
      <c r="V594" s="350">
        <f t="shared" si="266"/>
        <v>480259763.52559626</v>
      </c>
      <c r="W594" s="365"/>
      <c r="X594" s="377">
        <f t="shared" si="244"/>
        <v>0</v>
      </c>
      <c r="Y594" s="377">
        <f t="shared" si="245"/>
        <v>0</v>
      </c>
      <c r="Z594" s="377">
        <f t="shared" si="246"/>
        <v>0</v>
      </c>
      <c r="AA594" s="377">
        <f t="shared" si="247"/>
        <v>0</v>
      </c>
      <c r="AB594" s="377">
        <f t="shared" si="248"/>
        <v>0</v>
      </c>
      <c r="AC594" s="377">
        <f t="shared" si="249"/>
        <v>0</v>
      </c>
      <c r="AD594" s="376"/>
      <c r="AE594" s="332">
        <v>579</v>
      </c>
      <c r="AF594" s="350">
        <v>124454562.75519015</v>
      </c>
      <c r="AG594" s="350">
        <v>125475339.13775679</v>
      </c>
      <c r="AH594" s="350">
        <v>126453343.49915428</v>
      </c>
      <c r="AI594" s="350">
        <v>127433671.86757603</v>
      </c>
      <c r="AJ594" s="350">
        <v>128419369.44141525</v>
      </c>
      <c r="AK594" s="348">
        <v>632236286.70109248</v>
      </c>
      <c r="AL594" s="369"/>
      <c r="AM594" s="350">
        <v>157918352.71979004</v>
      </c>
      <c r="AN594" s="350">
        <v>193056379.15049273</v>
      </c>
      <c r="AO594" s="350">
        <v>228667700.85907599</v>
      </c>
      <c r="AP594" s="350">
        <v>264811419.92552853</v>
      </c>
      <c r="AQ594" s="350">
        <v>301496566.18389601</v>
      </c>
      <c r="AR594" s="348">
        <v>1145950418.8387833</v>
      </c>
      <c r="AS594" s="369"/>
      <c r="AT594" s="350">
        <f t="shared" si="267"/>
        <v>33463789.964599892</v>
      </c>
      <c r="AU594" s="350">
        <f t="shared" si="250"/>
        <v>67581040.012735933</v>
      </c>
      <c r="AV594" s="350">
        <f t="shared" si="251"/>
        <v>102214357.35992171</v>
      </c>
      <c r="AW594" s="350">
        <f t="shared" si="252"/>
        <v>137377748.05795249</v>
      </c>
      <c r="AX594" s="350">
        <f t="shared" si="253"/>
        <v>173077196.74248075</v>
      </c>
      <c r="AY594" s="350">
        <f t="shared" si="254"/>
        <v>513714132.13769078</v>
      </c>
      <c r="AZ594" s="365"/>
      <c r="BA594" s="377">
        <f t="shared" si="255"/>
        <v>0</v>
      </c>
      <c r="BB594" s="377">
        <f t="shared" si="256"/>
        <v>0</v>
      </c>
      <c r="BC594" s="377">
        <f t="shared" si="257"/>
        <v>0</v>
      </c>
      <c r="BD594" s="377">
        <f t="shared" si="258"/>
        <v>0</v>
      </c>
      <c r="BE594" s="377">
        <f t="shared" si="259"/>
        <v>0</v>
      </c>
      <c r="BF594" s="377">
        <f t="shared" si="260"/>
        <v>0</v>
      </c>
      <c r="BG594" s="328"/>
    </row>
    <row r="595" spans="2:59">
      <c r="B595" s="332">
        <v>580</v>
      </c>
      <c r="C595" s="350">
        <v>145963307.95351481</v>
      </c>
      <c r="D595" s="350">
        <v>147160499.07436863</v>
      </c>
      <c r="E595" s="350">
        <v>148307526.13888326</v>
      </c>
      <c r="F595" s="350">
        <v>149457278.85479599</v>
      </c>
      <c r="G595" s="350">
        <v>150613328.70410794</v>
      </c>
      <c r="H595" s="348">
        <v>741501940.72567058</v>
      </c>
      <c r="I595" s="369"/>
      <c r="J595" s="350">
        <v>183208952.9734312</v>
      </c>
      <c r="K595" s="350">
        <v>222410476.15556377</v>
      </c>
      <c r="L595" s="350">
        <v>262136714.20870039</v>
      </c>
      <c r="M595" s="350">
        <v>302456147.50669992</v>
      </c>
      <c r="N595" s="350">
        <v>343379013.30043501</v>
      </c>
      <c r="O595" s="348">
        <v>1313591304.1448302</v>
      </c>
      <c r="P595" s="369"/>
      <c r="Q595" s="350">
        <f t="shared" si="261"/>
        <v>37245645.019916385</v>
      </c>
      <c r="R595" s="350">
        <f t="shared" si="262"/>
        <v>75249977.081195146</v>
      </c>
      <c r="S595" s="350">
        <f t="shared" si="263"/>
        <v>113829188.06981713</v>
      </c>
      <c r="T595" s="350">
        <f t="shared" si="264"/>
        <v>152998868.65190393</v>
      </c>
      <c r="U595" s="350">
        <f t="shared" si="265"/>
        <v>192765684.59632707</v>
      </c>
      <c r="V595" s="350">
        <f t="shared" si="266"/>
        <v>572089363.41915965</v>
      </c>
      <c r="W595" s="365"/>
      <c r="X595" s="377">
        <f t="shared" si="244"/>
        <v>0</v>
      </c>
      <c r="Y595" s="377">
        <f t="shared" si="245"/>
        <v>0</v>
      </c>
      <c r="Z595" s="377">
        <f t="shared" si="246"/>
        <v>0</v>
      </c>
      <c r="AA595" s="377">
        <f t="shared" si="247"/>
        <v>0</v>
      </c>
      <c r="AB595" s="377">
        <f t="shared" si="248"/>
        <v>0</v>
      </c>
      <c r="AC595" s="377">
        <f t="shared" si="249"/>
        <v>0</v>
      </c>
      <c r="AD595" s="376"/>
      <c r="AE595" s="332">
        <v>580</v>
      </c>
      <c r="AF595" s="350">
        <v>147812095.77317205</v>
      </c>
      <c r="AG595" s="350">
        <v>149024450.65259689</v>
      </c>
      <c r="AH595" s="350">
        <v>150186006.09205335</v>
      </c>
      <c r="AI595" s="350">
        <v>151350321.70631772</v>
      </c>
      <c r="AJ595" s="350">
        <v>152521014.21418744</v>
      </c>
      <c r="AK595" s="348">
        <v>750893888.43832755</v>
      </c>
      <c r="AL595" s="369"/>
      <c r="AM595" s="350">
        <v>191674166.5113228</v>
      </c>
      <c r="AN595" s="350">
        <v>237612827.89575872</v>
      </c>
      <c r="AO595" s="350">
        <v>284177236.33942759</v>
      </c>
      <c r="AP595" s="350">
        <v>331439310.0709486</v>
      </c>
      <c r="AQ595" s="350">
        <v>379410511.24352181</v>
      </c>
      <c r="AR595" s="348">
        <v>1424314052.0609794</v>
      </c>
      <c r="AS595" s="369"/>
      <c r="AT595" s="350">
        <f t="shared" si="267"/>
        <v>43862070.738150746</v>
      </c>
      <c r="AU595" s="350">
        <f t="shared" si="250"/>
        <v>88588377.243161827</v>
      </c>
      <c r="AV595" s="350">
        <f t="shared" si="251"/>
        <v>133991230.24737424</v>
      </c>
      <c r="AW595" s="350">
        <f t="shared" si="252"/>
        <v>180088988.36463088</v>
      </c>
      <c r="AX595" s="350">
        <f t="shared" si="253"/>
        <v>226889497.02933437</v>
      </c>
      <c r="AY595" s="350">
        <f t="shared" si="254"/>
        <v>673420163.62265182</v>
      </c>
      <c r="AZ595" s="365"/>
      <c r="BA595" s="377">
        <f t="shared" si="255"/>
        <v>0</v>
      </c>
      <c r="BB595" s="377">
        <f t="shared" si="256"/>
        <v>0</v>
      </c>
      <c r="BC595" s="377">
        <f t="shared" si="257"/>
        <v>0</v>
      </c>
      <c r="BD595" s="377">
        <f t="shared" si="258"/>
        <v>0</v>
      </c>
      <c r="BE595" s="377">
        <f t="shared" si="259"/>
        <v>0</v>
      </c>
      <c r="BF595" s="377">
        <f t="shared" si="260"/>
        <v>0</v>
      </c>
      <c r="BG595" s="328"/>
    </row>
    <row r="596" spans="2:59">
      <c r="B596" s="332">
        <v>581</v>
      </c>
      <c r="C596" s="350">
        <v>112094785.72822598</v>
      </c>
      <c r="D596" s="350">
        <v>113014187.21377313</v>
      </c>
      <c r="E596" s="350">
        <v>113895064.43438391</v>
      </c>
      <c r="F596" s="350">
        <v>114778034.86125124</v>
      </c>
      <c r="G596" s="350">
        <v>115665841.26935925</v>
      </c>
      <c r="H596" s="348">
        <v>569447913.50699353</v>
      </c>
      <c r="I596" s="369"/>
      <c r="J596" s="350">
        <v>142888622.90815377</v>
      </c>
      <c r="K596" s="350">
        <v>175202786.08068424</v>
      </c>
      <c r="L596" s="350">
        <v>207953310.96410522</v>
      </c>
      <c r="M596" s="350">
        <v>241193703.56788325</v>
      </c>
      <c r="N596" s="350">
        <v>274932213.74976361</v>
      </c>
      <c r="O596" s="348">
        <v>1042170637.2705901</v>
      </c>
      <c r="P596" s="369"/>
      <c r="Q596" s="350">
        <f t="shared" si="261"/>
        <v>30793837.179927796</v>
      </c>
      <c r="R596" s="350">
        <f t="shared" si="262"/>
        <v>62188598.866911113</v>
      </c>
      <c r="S596" s="350">
        <f t="shared" si="263"/>
        <v>94058246.529721305</v>
      </c>
      <c r="T596" s="350">
        <f t="shared" si="264"/>
        <v>126415668.70663202</v>
      </c>
      <c r="U596" s="350">
        <f t="shared" si="265"/>
        <v>159266372.48040438</v>
      </c>
      <c r="V596" s="350">
        <f t="shared" si="266"/>
        <v>472722723.76359653</v>
      </c>
      <c r="W596" s="365"/>
      <c r="X596" s="377">
        <f t="shared" si="244"/>
        <v>0</v>
      </c>
      <c r="Y596" s="377">
        <f t="shared" si="245"/>
        <v>0</v>
      </c>
      <c r="Z596" s="377">
        <f t="shared" si="246"/>
        <v>0</v>
      </c>
      <c r="AA596" s="377">
        <f t="shared" si="247"/>
        <v>0</v>
      </c>
      <c r="AB596" s="377">
        <f t="shared" si="248"/>
        <v>0</v>
      </c>
      <c r="AC596" s="377">
        <f t="shared" si="249"/>
        <v>0</v>
      </c>
      <c r="AD596" s="376"/>
      <c r="AE596" s="332">
        <v>581</v>
      </c>
      <c r="AF596" s="350">
        <v>135330522.32243466</v>
      </c>
      <c r="AG596" s="350">
        <v>136440503.33051455</v>
      </c>
      <c r="AH596" s="350">
        <v>137503974.51334208</v>
      </c>
      <c r="AI596" s="350">
        <v>138569972.79583961</v>
      </c>
      <c r="AJ596" s="350">
        <v>139641809.49323747</v>
      </c>
      <c r="AK596" s="348">
        <v>687486782.4553684</v>
      </c>
      <c r="AL596" s="369"/>
      <c r="AM596" s="350">
        <v>174910593.10457632</v>
      </c>
      <c r="AN596" s="350">
        <v>216364184.72711655</v>
      </c>
      <c r="AO596" s="350">
        <v>258381511.2104702</v>
      </c>
      <c r="AP596" s="350">
        <v>301028174.94112003</v>
      </c>
      <c r="AQ596" s="350">
        <v>344314564.27239823</v>
      </c>
      <c r="AR596" s="348">
        <v>1294999028.2556815</v>
      </c>
      <c r="AS596" s="369"/>
      <c r="AT596" s="350">
        <f t="shared" si="267"/>
        <v>39580070.782141656</v>
      </c>
      <c r="AU596" s="350">
        <f t="shared" si="250"/>
        <v>79923681.396602005</v>
      </c>
      <c r="AV596" s="350">
        <f t="shared" si="251"/>
        <v>120877536.69712812</v>
      </c>
      <c r="AW596" s="350">
        <f t="shared" si="252"/>
        <v>162458202.14528042</v>
      </c>
      <c r="AX596" s="350">
        <f t="shared" si="253"/>
        <v>204672754.77916077</v>
      </c>
      <c r="AY596" s="350">
        <f t="shared" si="254"/>
        <v>607512245.80031312</v>
      </c>
      <c r="AZ596" s="365"/>
      <c r="BA596" s="377">
        <f t="shared" si="255"/>
        <v>0</v>
      </c>
      <c r="BB596" s="377">
        <f t="shared" si="256"/>
        <v>0</v>
      </c>
      <c r="BC596" s="377">
        <f t="shared" si="257"/>
        <v>0</v>
      </c>
      <c r="BD596" s="377">
        <f t="shared" si="258"/>
        <v>0</v>
      </c>
      <c r="BE596" s="377">
        <f t="shared" si="259"/>
        <v>0</v>
      </c>
      <c r="BF596" s="377">
        <f t="shared" si="260"/>
        <v>0</v>
      </c>
      <c r="BG596" s="328"/>
    </row>
    <row r="597" spans="2:59">
      <c r="B597" s="332">
        <v>582</v>
      </c>
      <c r="C597" s="350">
        <v>122793595.46614136</v>
      </c>
      <c r="D597" s="350">
        <v>123800748.59421784</v>
      </c>
      <c r="E597" s="350">
        <v>124765700.53538367</v>
      </c>
      <c r="F597" s="350">
        <v>125732945.46743773</v>
      </c>
      <c r="G597" s="350">
        <v>126705487.94763635</v>
      </c>
      <c r="H597" s="348">
        <v>623798478.01081693</v>
      </c>
      <c r="I597" s="369"/>
      <c r="J597" s="350">
        <v>157334349.86724469</v>
      </c>
      <c r="K597" s="350">
        <v>193548415.09002641</v>
      </c>
      <c r="L597" s="350">
        <v>230252825.1113638</v>
      </c>
      <c r="M597" s="350">
        <v>267506530.45431241</v>
      </c>
      <c r="N597" s="350">
        <v>305318711.64326382</v>
      </c>
      <c r="O597" s="348">
        <v>1153960832.1662111</v>
      </c>
      <c r="P597" s="369"/>
      <c r="Q597" s="350">
        <f t="shared" si="261"/>
        <v>34540754.401103333</v>
      </c>
      <c r="R597" s="350">
        <f t="shared" si="262"/>
        <v>69747666.495808572</v>
      </c>
      <c r="S597" s="350">
        <f t="shared" si="263"/>
        <v>105487124.57598013</v>
      </c>
      <c r="T597" s="350">
        <f t="shared" si="264"/>
        <v>141773584.9868747</v>
      </c>
      <c r="U597" s="350">
        <f t="shared" si="265"/>
        <v>178613223.69562745</v>
      </c>
      <c r="V597" s="350">
        <f t="shared" si="266"/>
        <v>530162354.1553942</v>
      </c>
      <c r="W597" s="365"/>
      <c r="X597" s="377">
        <f t="shared" si="244"/>
        <v>0</v>
      </c>
      <c r="Y597" s="377">
        <f t="shared" si="245"/>
        <v>0</v>
      </c>
      <c r="Z597" s="377">
        <f t="shared" si="246"/>
        <v>0</v>
      </c>
      <c r="AA597" s="377">
        <f t="shared" si="247"/>
        <v>0</v>
      </c>
      <c r="AB597" s="377">
        <f t="shared" si="248"/>
        <v>0</v>
      </c>
      <c r="AC597" s="377">
        <f t="shared" si="249"/>
        <v>0</v>
      </c>
      <c r="AD597" s="376"/>
      <c r="AE597" s="332">
        <v>582</v>
      </c>
      <c r="AF597" s="350">
        <v>154896666.20017809</v>
      </c>
      <c r="AG597" s="350">
        <v>156167128.72959518</v>
      </c>
      <c r="AH597" s="350">
        <v>157384357.02364892</v>
      </c>
      <c r="AI597" s="350">
        <v>158604477.78650668</v>
      </c>
      <c r="AJ597" s="350">
        <v>159831281.08474836</v>
      </c>
      <c r="AK597" s="348">
        <v>786883910.82467723</v>
      </c>
      <c r="AL597" s="369"/>
      <c r="AM597" s="350">
        <v>199602167.92083102</v>
      </c>
      <c r="AN597" s="350">
        <v>246423659.08242005</v>
      </c>
      <c r="AO597" s="350">
        <v>293880921.22068655</v>
      </c>
      <c r="AP597" s="350">
        <v>342048790.71148801</v>
      </c>
      <c r="AQ597" s="350">
        <v>390939048.52451229</v>
      </c>
      <c r="AR597" s="348">
        <v>1472894587.459938</v>
      </c>
      <c r="AS597" s="369"/>
      <c r="AT597" s="350">
        <f t="shared" si="267"/>
        <v>44705501.720652938</v>
      </c>
      <c r="AU597" s="350">
        <f t="shared" si="250"/>
        <v>90256530.352824867</v>
      </c>
      <c r="AV597" s="350">
        <f t="shared" si="251"/>
        <v>136496564.19703764</v>
      </c>
      <c r="AW597" s="350">
        <f t="shared" si="252"/>
        <v>183444312.92498133</v>
      </c>
      <c r="AX597" s="350">
        <f t="shared" si="253"/>
        <v>231107767.43976393</v>
      </c>
      <c r="AY597" s="350">
        <f t="shared" si="254"/>
        <v>686010676.63526082</v>
      </c>
      <c r="AZ597" s="365"/>
      <c r="BA597" s="377">
        <f t="shared" si="255"/>
        <v>0</v>
      </c>
      <c r="BB597" s="377">
        <f t="shared" si="256"/>
        <v>0</v>
      </c>
      <c r="BC597" s="377">
        <f t="shared" si="257"/>
        <v>0</v>
      </c>
      <c r="BD597" s="377">
        <f t="shared" si="258"/>
        <v>0</v>
      </c>
      <c r="BE597" s="377">
        <f t="shared" si="259"/>
        <v>0</v>
      </c>
      <c r="BF597" s="377">
        <f t="shared" si="260"/>
        <v>0</v>
      </c>
      <c r="BG597" s="328"/>
    </row>
    <row r="598" spans="2:59">
      <c r="B598" s="332">
        <v>583</v>
      </c>
      <c r="C598" s="350">
        <v>145204971.21192649</v>
      </c>
      <c r="D598" s="350">
        <v>146395942.45446721</v>
      </c>
      <c r="E598" s="350">
        <v>147537010.26265359</v>
      </c>
      <c r="F598" s="350">
        <v>148680789.56140801</v>
      </c>
      <c r="G598" s="350">
        <v>149830833.27747911</v>
      </c>
      <c r="H598" s="348">
        <v>737649546.76793432</v>
      </c>
      <c r="I598" s="369"/>
      <c r="J598" s="350">
        <v>187428993.32198504</v>
      </c>
      <c r="K598" s="350">
        <v>231681788.91671804</v>
      </c>
      <c r="L598" s="350">
        <v>276536052.71077651</v>
      </c>
      <c r="M598" s="350">
        <v>322062072.9568857</v>
      </c>
      <c r="N598" s="350">
        <v>368270955.91664004</v>
      </c>
      <c r="O598" s="348">
        <v>1385979863.8230052</v>
      </c>
      <c r="P598" s="369"/>
      <c r="Q598" s="350">
        <f t="shared" si="261"/>
        <v>42224022.110058546</v>
      </c>
      <c r="R598" s="350">
        <f t="shared" si="262"/>
        <v>85285846.462250829</v>
      </c>
      <c r="S598" s="350">
        <f t="shared" si="263"/>
        <v>128999042.44812292</v>
      </c>
      <c r="T598" s="350">
        <f t="shared" si="264"/>
        <v>173381283.39547768</v>
      </c>
      <c r="U598" s="350">
        <f t="shared" si="265"/>
        <v>218440122.63916093</v>
      </c>
      <c r="V598" s="350">
        <f t="shared" si="266"/>
        <v>648330317.05507088</v>
      </c>
      <c r="W598" s="365"/>
      <c r="X598" s="377">
        <f t="shared" si="244"/>
        <v>0</v>
      </c>
      <c r="Y598" s="377">
        <f t="shared" si="245"/>
        <v>0</v>
      </c>
      <c r="Z598" s="377">
        <f t="shared" si="246"/>
        <v>0</v>
      </c>
      <c r="AA598" s="377">
        <f t="shared" si="247"/>
        <v>0</v>
      </c>
      <c r="AB598" s="377">
        <f t="shared" si="248"/>
        <v>0</v>
      </c>
      <c r="AC598" s="377">
        <f t="shared" si="249"/>
        <v>0</v>
      </c>
      <c r="AD598" s="376"/>
      <c r="AE598" s="332">
        <v>583</v>
      </c>
      <c r="AF598" s="350">
        <v>135212153.35891756</v>
      </c>
      <c r="AG598" s="350">
        <v>136321163.50470275</v>
      </c>
      <c r="AH598" s="350">
        <v>137383704.5057835</v>
      </c>
      <c r="AI598" s="350">
        <v>138448770.39616695</v>
      </c>
      <c r="AJ598" s="350">
        <v>139519669.59478956</v>
      </c>
      <c r="AK598" s="348">
        <v>686885461.36036038</v>
      </c>
      <c r="AL598" s="369"/>
      <c r="AM598" s="350">
        <v>167849241.60853794</v>
      </c>
      <c r="AN598" s="350">
        <v>202271586.26305652</v>
      </c>
      <c r="AO598" s="350">
        <v>237151386.82017383</v>
      </c>
      <c r="AP598" s="350">
        <v>272551299.51817501</v>
      </c>
      <c r="AQ598" s="350">
        <v>308480475.50729722</v>
      </c>
      <c r="AR598" s="348">
        <v>1188303989.7172406</v>
      </c>
      <c r="AS598" s="369"/>
      <c r="AT598" s="350">
        <f t="shared" si="267"/>
        <v>32637088.249620378</v>
      </c>
      <c r="AU598" s="350">
        <f t="shared" si="250"/>
        <v>65950422.75835377</v>
      </c>
      <c r="AV598" s="350">
        <f t="shared" si="251"/>
        <v>99767682.314390332</v>
      </c>
      <c r="AW598" s="350">
        <f t="shared" si="252"/>
        <v>134102529.12200806</v>
      </c>
      <c r="AX598" s="350">
        <f t="shared" si="253"/>
        <v>168960805.91250765</v>
      </c>
      <c r="AY598" s="350">
        <f t="shared" si="254"/>
        <v>501418528.35688019</v>
      </c>
      <c r="AZ598" s="365"/>
      <c r="BA598" s="377">
        <f t="shared" si="255"/>
        <v>0</v>
      </c>
      <c r="BB598" s="377">
        <f t="shared" si="256"/>
        <v>0</v>
      </c>
      <c r="BC598" s="377">
        <f t="shared" si="257"/>
        <v>0</v>
      </c>
      <c r="BD598" s="377">
        <f t="shared" si="258"/>
        <v>0</v>
      </c>
      <c r="BE598" s="377">
        <f t="shared" si="259"/>
        <v>0</v>
      </c>
      <c r="BF598" s="377">
        <f t="shared" si="260"/>
        <v>0</v>
      </c>
      <c r="BG598" s="328"/>
    </row>
    <row r="599" spans="2:59">
      <c r="B599" s="332">
        <v>584</v>
      </c>
      <c r="C599" s="350">
        <v>121936426.39617458</v>
      </c>
      <c r="D599" s="350">
        <v>122936549.02313389</v>
      </c>
      <c r="E599" s="350">
        <v>123894765.05144669</v>
      </c>
      <c r="F599" s="350">
        <v>124855258.0642684</v>
      </c>
      <c r="G599" s="350">
        <v>125821011.64533845</v>
      </c>
      <c r="H599" s="348">
        <v>619444010.18036199</v>
      </c>
      <c r="I599" s="369"/>
      <c r="J599" s="350">
        <v>155352875.78585899</v>
      </c>
      <c r="K599" s="350">
        <v>190414287.71948534</v>
      </c>
      <c r="L599" s="350">
        <v>225949010.31600401</v>
      </c>
      <c r="M599" s="350">
        <v>262015212.96866375</v>
      </c>
      <c r="N599" s="350">
        <v>298621854.25581592</v>
      </c>
      <c r="O599" s="348">
        <v>1132353241.0458281</v>
      </c>
      <c r="P599" s="369"/>
      <c r="Q599" s="350">
        <f t="shared" si="261"/>
        <v>33416449.389684409</v>
      </c>
      <c r="R599" s="350">
        <f t="shared" si="262"/>
        <v>67477738.696351454</v>
      </c>
      <c r="S599" s="350">
        <f t="shared" si="263"/>
        <v>102054245.26455732</v>
      </c>
      <c r="T599" s="350">
        <f t="shared" si="264"/>
        <v>137159954.90439534</v>
      </c>
      <c r="U599" s="350">
        <f t="shared" si="265"/>
        <v>172800842.61047748</v>
      </c>
      <c r="V599" s="350">
        <f t="shared" si="266"/>
        <v>512909230.86546612</v>
      </c>
      <c r="W599" s="365"/>
      <c r="X599" s="377">
        <f t="shared" si="244"/>
        <v>0</v>
      </c>
      <c r="Y599" s="377">
        <f t="shared" si="245"/>
        <v>0</v>
      </c>
      <c r="Z599" s="377">
        <f t="shared" si="246"/>
        <v>0</v>
      </c>
      <c r="AA599" s="377">
        <f t="shared" si="247"/>
        <v>0</v>
      </c>
      <c r="AB599" s="377">
        <f t="shared" si="248"/>
        <v>0</v>
      </c>
      <c r="AC599" s="377">
        <f t="shared" si="249"/>
        <v>0</v>
      </c>
      <c r="AD599" s="376"/>
      <c r="AE599" s="332">
        <v>584</v>
      </c>
      <c r="AF599" s="350">
        <v>125879317.23775317</v>
      </c>
      <c r="AG599" s="350">
        <v>126911779.45725955</v>
      </c>
      <c r="AH599" s="350">
        <v>127900980.00196297</v>
      </c>
      <c r="AI599" s="350">
        <v>128892531.15889783</v>
      </c>
      <c r="AJ599" s="350">
        <v>129889512.98785542</v>
      </c>
      <c r="AK599" s="348">
        <v>639474120.8437289</v>
      </c>
      <c r="AL599" s="369"/>
      <c r="AM599" s="350">
        <v>160058127.7562429</v>
      </c>
      <c r="AN599" s="350">
        <v>195933103.38706058</v>
      </c>
      <c r="AO599" s="350">
        <v>232291853.46318972</v>
      </c>
      <c r="AP599" s="350">
        <v>269194295.38398302</v>
      </c>
      <c r="AQ599" s="350">
        <v>306649621.15077174</v>
      </c>
      <c r="AR599" s="348">
        <v>1164127001.141248</v>
      </c>
      <c r="AS599" s="369"/>
      <c r="AT599" s="350">
        <f t="shared" si="267"/>
        <v>34178810.518489733</v>
      </c>
      <c r="AU599" s="350">
        <f t="shared" si="250"/>
        <v>69021323.929801032</v>
      </c>
      <c r="AV599" s="350">
        <f t="shared" si="251"/>
        <v>104390873.46122675</v>
      </c>
      <c r="AW599" s="350">
        <f t="shared" si="252"/>
        <v>140301764.2250852</v>
      </c>
      <c r="AX599" s="350">
        <f t="shared" si="253"/>
        <v>176760108.1629163</v>
      </c>
      <c r="AY599" s="350">
        <f t="shared" si="254"/>
        <v>524652880.29751909</v>
      </c>
      <c r="AZ599" s="365"/>
      <c r="BA599" s="377">
        <f t="shared" si="255"/>
        <v>0</v>
      </c>
      <c r="BB599" s="377">
        <f t="shared" si="256"/>
        <v>0</v>
      </c>
      <c r="BC599" s="377">
        <f t="shared" si="257"/>
        <v>0</v>
      </c>
      <c r="BD599" s="377">
        <f t="shared" si="258"/>
        <v>0</v>
      </c>
      <c r="BE599" s="377">
        <f t="shared" si="259"/>
        <v>0</v>
      </c>
      <c r="BF599" s="377">
        <f t="shared" si="260"/>
        <v>0</v>
      </c>
      <c r="BG599" s="328"/>
    </row>
    <row r="600" spans="2:59">
      <c r="B600" s="332">
        <v>585</v>
      </c>
      <c r="C600" s="350">
        <v>116106413.75762379</v>
      </c>
      <c r="D600" s="350">
        <v>117058718.61816499</v>
      </c>
      <c r="E600" s="350">
        <v>117971120.51430553</v>
      </c>
      <c r="F600" s="350">
        <v>118885690.52799162</v>
      </c>
      <c r="G600" s="350">
        <v>119805269.59214519</v>
      </c>
      <c r="H600" s="348">
        <v>589827213.01023114</v>
      </c>
      <c r="I600" s="369"/>
      <c r="J600" s="350">
        <v>142322550.24212524</v>
      </c>
      <c r="K600" s="350">
        <v>170043935.20540726</v>
      </c>
      <c r="L600" s="350">
        <v>198130352.94727358</v>
      </c>
      <c r="M600" s="350">
        <v>226634849.42198926</v>
      </c>
      <c r="N600" s="350">
        <v>255564960.2939975</v>
      </c>
      <c r="O600" s="348">
        <v>992696648.11079288</v>
      </c>
      <c r="P600" s="369"/>
      <c r="Q600" s="350">
        <f t="shared" si="261"/>
        <v>26216136.484501451</v>
      </c>
      <c r="R600" s="350">
        <f t="shared" si="262"/>
        <v>52985216.587242275</v>
      </c>
      <c r="S600" s="350">
        <f t="shared" si="263"/>
        <v>80159232.43296805</v>
      </c>
      <c r="T600" s="350">
        <f t="shared" si="264"/>
        <v>107749158.89399764</v>
      </c>
      <c r="U600" s="350">
        <f t="shared" si="265"/>
        <v>135759690.70185232</v>
      </c>
      <c r="V600" s="350">
        <f t="shared" si="266"/>
        <v>402869435.10056174</v>
      </c>
      <c r="W600" s="365"/>
      <c r="X600" s="377">
        <f t="shared" si="244"/>
        <v>0</v>
      </c>
      <c r="Y600" s="377">
        <f t="shared" si="245"/>
        <v>0</v>
      </c>
      <c r="Z600" s="377">
        <f t="shared" si="246"/>
        <v>0</v>
      </c>
      <c r="AA600" s="377">
        <f t="shared" si="247"/>
        <v>0</v>
      </c>
      <c r="AB600" s="377">
        <f t="shared" si="248"/>
        <v>0</v>
      </c>
      <c r="AC600" s="377">
        <f t="shared" si="249"/>
        <v>0</v>
      </c>
      <c r="AD600" s="376"/>
      <c r="AE600" s="332">
        <v>585</v>
      </c>
      <c r="AF600" s="350">
        <v>130006239.61840239</v>
      </c>
      <c r="AG600" s="350">
        <v>131072550.85722625</v>
      </c>
      <c r="AH600" s="350">
        <v>132094182.09790477</v>
      </c>
      <c r="AI600" s="350">
        <v>133118241.01505713</v>
      </c>
      <c r="AJ600" s="350">
        <v>134147908.64747569</v>
      </c>
      <c r="AK600" s="348">
        <v>660439122.23606622</v>
      </c>
      <c r="AL600" s="369"/>
      <c r="AM600" s="350">
        <v>166823606.78805068</v>
      </c>
      <c r="AN600" s="350">
        <v>205437919.90758151</v>
      </c>
      <c r="AO600" s="350">
        <v>244575520.26893789</v>
      </c>
      <c r="AP600" s="350">
        <v>284298925.86592275</v>
      </c>
      <c r="AQ600" s="350">
        <v>324617903.90795642</v>
      </c>
      <c r="AR600" s="348">
        <v>1225753876.7384491</v>
      </c>
      <c r="AS600" s="369"/>
      <c r="AT600" s="350">
        <f t="shared" si="267"/>
        <v>36817367.16964829</v>
      </c>
      <c r="AU600" s="350">
        <f t="shared" si="250"/>
        <v>74365369.050355256</v>
      </c>
      <c r="AV600" s="350">
        <f t="shared" si="251"/>
        <v>112481338.17103311</v>
      </c>
      <c r="AW600" s="350">
        <f t="shared" si="252"/>
        <v>151180684.8508656</v>
      </c>
      <c r="AX600" s="350">
        <f t="shared" si="253"/>
        <v>190469995.26048073</v>
      </c>
      <c r="AY600" s="350">
        <f t="shared" si="254"/>
        <v>565314754.50238287</v>
      </c>
      <c r="AZ600" s="365"/>
      <c r="BA600" s="377">
        <f t="shared" si="255"/>
        <v>0</v>
      </c>
      <c r="BB600" s="377">
        <f t="shared" si="256"/>
        <v>0</v>
      </c>
      <c r="BC600" s="377">
        <f t="shared" si="257"/>
        <v>0</v>
      </c>
      <c r="BD600" s="377">
        <f t="shared" si="258"/>
        <v>0</v>
      </c>
      <c r="BE600" s="377">
        <f t="shared" si="259"/>
        <v>0</v>
      </c>
      <c r="BF600" s="377">
        <f t="shared" si="260"/>
        <v>0</v>
      </c>
      <c r="BG600" s="328"/>
    </row>
    <row r="601" spans="2:59">
      <c r="B601" s="332">
        <v>586</v>
      </c>
      <c r="C601" s="350">
        <v>123437788.01445878</v>
      </c>
      <c r="D601" s="350">
        <v>124450224.81012119</v>
      </c>
      <c r="E601" s="350">
        <v>125420239.02548483</v>
      </c>
      <c r="F601" s="350">
        <v>126392558.26109082</v>
      </c>
      <c r="G601" s="350">
        <v>127370202.83652729</v>
      </c>
      <c r="H601" s="348">
        <v>627071012.94768286</v>
      </c>
      <c r="I601" s="369"/>
      <c r="J601" s="350">
        <v>151633458.17535371</v>
      </c>
      <c r="K601" s="350">
        <v>181389947.31677729</v>
      </c>
      <c r="L601" s="350">
        <v>211538803.62907493</v>
      </c>
      <c r="M601" s="350">
        <v>242136555.70474017</v>
      </c>
      <c r="N601" s="350">
        <v>273191266.01633507</v>
      </c>
      <c r="O601" s="348">
        <v>1059890030.8422811</v>
      </c>
      <c r="P601" s="369"/>
      <c r="Q601" s="350">
        <f t="shared" si="261"/>
        <v>28195670.16089493</v>
      </c>
      <c r="R601" s="350">
        <f t="shared" si="262"/>
        <v>56939722.506656095</v>
      </c>
      <c r="S601" s="350">
        <f t="shared" si="263"/>
        <v>86118564.603590101</v>
      </c>
      <c r="T601" s="350">
        <f t="shared" si="264"/>
        <v>115743997.44364935</v>
      </c>
      <c r="U601" s="350">
        <f t="shared" si="265"/>
        <v>145821063.17980778</v>
      </c>
      <c r="V601" s="350">
        <f t="shared" si="266"/>
        <v>432819017.89459825</v>
      </c>
      <c r="W601" s="365"/>
      <c r="X601" s="377">
        <f t="shared" si="244"/>
        <v>0</v>
      </c>
      <c r="Y601" s="377">
        <f t="shared" si="245"/>
        <v>0</v>
      </c>
      <c r="Z601" s="377">
        <f t="shared" si="246"/>
        <v>0</v>
      </c>
      <c r="AA601" s="377">
        <f t="shared" si="247"/>
        <v>0</v>
      </c>
      <c r="AB601" s="377">
        <f t="shared" si="248"/>
        <v>0</v>
      </c>
      <c r="AC601" s="377">
        <f t="shared" si="249"/>
        <v>0</v>
      </c>
      <c r="AD601" s="376"/>
      <c r="AE601" s="332">
        <v>586</v>
      </c>
      <c r="AF601" s="350">
        <v>127461188.2141223</v>
      </c>
      <c r="AG601" s="350">
        <v>128506624.94012485</v>
      </c>
      <c r="AH601" s="350">
        <v>129508256.34055428</v>
      </c>
      <c r="AI601" s="350">
        <v>130512267.89234316</v>
      </c>
      <c r="AJ601" s="350">
        <v>131521778.36106312</v>
      </c>
      <c r="AK601" s="348">
        <v>647510115.74820781</v>
      </c>
      <c r="AL601" s="369"/>
      <c r="AM601" s="350">
        <v>167748286.04045987</v>
      </c>
      <c r="AN601" s="350">
        <v>209863848.30982083</v>
      </c>
      <c r="AO601" s="350">
        <v>252556842.04035461</v>
      </c>
      <c r="AP601" s="350">
        <v>295890314.40782011</v>
      </c>
      <c r="AQ601" s="350">
        <v>339874588.52724016</v>
      </c>
      <c r="AR601" s="348">
        <v>1265933879.3256955</v>
      </c>
      <c r="AS601" s="369"/>
      <c r="AT601" s="350">
        <f t="shared" si="267"/>
        <v>40287097.826337576</v>
      </c>
      <c r="AU601" s="350">
        <f t="shared" si="250"/>
        <v>81357223.369695976</v>
      </c>
      <c r="AV601" s="350">
        <f t="shared" si="251"/>
        <v>123048585.69980033</v>
      </c>
      <c r="AW601" s="350">
        <f t="shared" si="252"/>
        <v>165378046.51547694</v>
      </c>
      <c r="AX601" s="350">
        <f t="shared" si="253"/>
        <v>208352810.16617703</v>
      </c>
      <c r="AY601" s="350">
        <f t="shared" si="254"/>
        <v>618423763.57748771</v>
      </c>
      <c r="AZ601" s="365"/>
      <c r="BA601" s="377">
        <f t="shared" si="255"/>
        <v>0</v>
      </c>
      <c r="BB601" s="377">
        <f t="shared" si="256"/>
        <v>0</v>
      </c>
      <c r="BC601" s="377">
        <f t="shared" si="257"/>
        <v>0</v>
      </c>
      <c r="BD601" s="377">
        <f t="shared" si="258"/>
        <v>0</v>
      </c>
      <c r="BE601" s="377">
        <f t="shared" si="259"/>
        <v>0</v>
      </c>
      <c r="BF601" s="377">
        <f t="shared" si="260"/>
        <v>0</v>
      </c>
      <c r="BG601" s="328"/>
    </row>
    <row r="602" spans="2:59">
      <c r="B602" s="332">
        <v>587</v>
      </c>
      <c r="C602" s="350">
        <v>115737200.41014516</v>
      </c>
      <c r="D602" s="350">
        <v>116686476.98263578</v>
      </c>
      <c r="E602" s="350">
        <v>117595977.48041755</v>
      </c>
      <c r="F602" s="350">
        <v>118507639.20122533</v>
      </c>
      <c r="G602" s="350">
        <v>119424294.04393795</v>
      </c>
      <c r="H602" s="348">
        <v>587951588.11836183</v>
      </c>
      <c r="I602" s="369"/>
      <c r="J602" s="350">
        <v>145187584.1769084</v>
      </c>
      <c r="K602" s="350">
        <v>176179990.48461664</v>
      </c>
      <c r="L602" s="350">
        <v>207587069.87206134</v>
      </c>
      <c r="M602" s="350">
        <v>239463086.88481262</v>
      </c>
      <c r="N602" s="350">
        <v>271816142.99848962</v>
      </c>
      <c r="O602" s="348">
        <v>1040233874.4168886</v>
      </c>
      <c r="P602" s="369"/>
      <c r="Q602" s="350">
        <f t="shared" si="261"/>
        <v>29450383.76676324</v>
      </c>
      <c r="R602" s="350">
        <f t="shared" si="262"/>
        <v>59493513.501980856</v>
      </c>
      <c r="S602" s="350">
        <f t="shared" si="263"/>
        <v>89991092.391643792</v>
      </c>
      <c r="T602" s="350">
        <f t="shared" si="264"/>
        <v>120955447.6835873</v>
      </c>
      <c r="U602" s="350">
        <f t="shared" si="265"/>
        <v>152391848.95455167</v>
      </c>
      <c r="V602" s="350">
        <f t="shared" si="266"/>
        <v>452282286.29852676</v>
      </c>
      <c r="W602" s="365"/>
      <c r="X602" s="377">
        <f t="shared" si="244"/>
        <v>0</v>
      </c>
      <c r="Y602" s="377">
        <f t="shared" si="245"/>
        <v>0</v>
      </c>
      <c r="Z602" s="377">
        <f t="shared" si="246"/>
        <v>0</v>
      </c>
      <c r="AA602" s="377">
        <f t="shared" si="247"/>
        <v>0</v>
      </c>
      <c r="AB602" s="377">
        <f t="shared" si="248"/>
        <v>0</v>
      </c>
      <c r="AC602" s="377">
        <f t="shared" si="249"/>
        <v>0</v>
      </c>
      <c r="AD602" s="376"/>
      <c r="AE602" s="332">
        <v>587</v>
      </c>
      <c r="AF602" s="350">
        <v>149320341.35325742</v>
      </c>
      <c r="AG602" s="350">
        <v>150545066.86364329</v>
      </c>
      <c r="AH602" s="350">
        <v>151718474.58655742</v>
      </c>
      <c r="AI602" s="350">
        <v>152894670.64856088</v>
      </c>
      <c r="AJ602" s="350">
        <v>154077308.672739</v>
      </c>
      <c r="AK602" s="348">
        <v>758555862.12475801</v>
      </c>
      <c r="AL602" s="369"/>
      <c r="AM602" s="350">
        <v>187388016.46187851</v>
      </c>
      <c r="AN602" s="350">
        <v>227470722.82268688</v>
      </c>
      <c r="AO602" s="350">
        <v>268089910.05913931</v>
      </c>
      <c r="AP602" s="350">
        <v>309315619.88422608</v>
      </c>
      <c r="AQ602" s="350">
        <v>351158321.07718277</v>
      </c>
      <c r="AR602" s="348">
        <v>1343422590.3051136</v>
      </c>
      <c r="AS602" s="369"/>
      <c r="AT602" s="350">
        <f t="shared" si="267"/>
        <v>38067675.108621091</v>
      </c>
      <c r="AU602" s="350">
        <f t="shared" si="250"/>
        <v>76925655.959043592</v>
      </c>
      <c r="AV602" s="350">
        <f t="shared" si="251"/>
        <v>116371435.47258189</v>
      </c>
      <c r="AW602" s="350">
        <f t="shared" si="252"/>
        <v>156420949.2356652</v>
      </c>
      <c r="AX602" s="350">
        <f t="shared" si="253"/>
        <v>197081012.40444377</v>
      </c>
      <c r="AY602" s="350">
        <f t="shared" si="254"/>
        <v>584866728.18035555</v>
      </c>
      <c r="AZ602" s="365"/>
      <c r="BA602" s="377">
        <f t="shared" si="255"/>
        <v>0</v>
      </c>
      <c r="BB602" s="377">
        <f t="shared" si="256"/>
        <v>0</v>
      </c>
      <c r="BC602" s="377">
        <f t="shared" si="257"/>
        <v>0</v>
      </c>
      <c r="BD602" s="377">
        <f t="shared" si="258"/>
        <v>0</v>
      </c>
      <c r="BE602" s="377">
        <f t="shared" si="259"/>
        <v>0</v>
      </c>
      <c r="BF602" s="377">
        <f t="shared" si="260"/>
        <v>0</v>
      </c>
      <c r="BG602" s="328"/>
    </row>
    <row r="603" spans="2:59">
      <c r="B603" s="332">
        <v>588</v>
      </c>
      <c r="C603" s="350">
        <v>122914480.12323494</v>
      </c>
      <c r="D603" s="350">
        <v>123922624.74732609</v>
      </c>
      <c r="E603" s="350">
        <v>124888526.63937557</v>
      </c>
      <c r="F603" s="350">
        <v>125856723.77965751</v>
      </c>
      <c r="G603" s="350">
        <v>126830223.68327701</v>
      </c>
      <c r="H603" s="348">
        <v>624412578.97287107</v>
      </c>
      <c r="I603" s="369"/>
      <c r="J603" s="350">
        <v>158978115.00248694</v>
      </c>
      <c r="K603" s="350">
        <v>196743361.40629509</v>
      </c>
      <c r="L603" s="350">
        <v>235022358.55358106</v>
      </c>
      <c r="M603" s="350">
        <v>273874738.02665383</v>
      </c>
      <c r="N603" s="350">
        <v>313309955.28768438</v>
      </c>
      <c r="O603" s="348">
        <v>1177928528.2767012</v>
      </c>
      <c r="P603" s="369"/>
      <c r="Q603" s="350">
        <f t="shared" si="261"/>
        <v>36063634.879252002</v>
      </c>
      <c r="R603" s="350">
        <f t="shared" si="262"/>
        <v>72820736.658969</v>
      </c>
      <c r="S603" s="350">
        <f t="shared" si="263"/>
        <v>110133831.91420549</v>
      </c>
      <c r="T603" s="350">
        <f t="shared" si="264"/>
        <v>148018014.24699631</v>
      </c>
      <c r="U603" s="350">
        <f t="shared" si="265"/>
        <v>186479731.60440737</v>
      </c>
      <c r="V603" s="350">
        <f t="shared" si="266"/>
        <v>553515949.30383015</v>
      </c>
      <c r="W603" s="365"/>
      <c r="X603" s="377">
        <f t="shared" si="244"/>
        <v>0</v>
      </c>
      <c r="Y603" s="377">
        <f t="shared" si="245"/>
        <v>0</v>
      </c>
      <c r="Z603" s="377">
        <f t="shared" si="246"/>
        <v>0</v>
      </c>
      <c r="AA603" s="377">
        <f t="shared" si="247"/>
        <v>0</v>
      </c>
      <c r="AB603" s="377">
        <f t="shared" si="248"/>
        <v>0</v>
      </c>
      <c r="AC603" s="377">
        <f t="shared" si="249"/>
        <v>0</v>
      </c>
      <c r="AD603" s="376"/>
      <c r="AE603" s="332">
        <v>588</v>
      </c>
      <c r="AF603" s="350">
        <v>139569668.9838019</v>
      </c>
      <c r="AG603" s="350">
        <v>140714419.47480282</v>
      </c>
      <c r="AH603" s="350">
        <v>141811203.24843973</v>
      </c>
      <c r="AI603" s="350">
        <v>142910593.28161341</v>
      </c>
      <c r="AJ603" s="350">
        <v>144016004.61449879</v>
      </c>
      <c r="AK603" s="348">
        <v>709021889.60315657</v>
      </c>
      <c r="AL603" s="369"/>
      <c r="AM603" s="350">
        <v>168412349.96534139</v>
      </c>
      <c r="AN603" s="350">
        <v>198993428.32504782</v>
      </c>
      <c r="AO603" s="350">
        <v>229971816.36808479</v>
      </c>
      <c r="AP603" s="350">
        <v>261410160.67857653</v>
      </c>
      <c r="AQ603" s="350">
        <v>293317039.14128786</v>
      </c>
      <c r="AR603" s="348">
        <v>1152104794.4783382</v>
      </c>
      <c r="AS603" s="369"/>
      <c r="AT603" s="350">
        <f t="shared" si="267"/>
        <v>28842680.981539488</v>
      </c>
      <c r="AU603" s="350">
        <f t="shared" si="250"/>
        <v>58279008.850244999</v>
      </c>
      <c r="AV603" s="350">
        <f t="shared" si="251"/>
        <v>88160613.119645059</v>
      </c>
      <c r="AW603" s="350">
        <f t="shared" si="252"/>
        <v>118499567.39696312</v>
      </c>
      <c r="AX603" s="350">
        <f t="shared" si="253"/>
        <v>149301034.52678907</v>
      </c>
      <c r="AY603" s="350">
        <f t="shared" si="254"/>
        <v>443082904.87518167</v>
      </c>
      <c r="AZ603" s="365"/>
      <c r="BA603" s="377">
        <f t="shared" si="255"/>
        <v>0</v>
      </c>
      <c r="BB603" s="377">
        <f t="shared" si="256"/>
        <v>0</v>
      </c>
      <c r="BC603" s="377">
        <f t="shared" si="257"/>
        <v>0</v>
      </c>
      <c r="BD603" s="377">
        <f t="shared" si="258"/>
        <v>0</v>
      </c>
      <c r="BE603" s="377">
        <f t="shared" si="259"/>
        <v>0</v>
      </c>
      <c r="BF603" s="377">
        <f t="shared" si="260"/>
        <v>0</v>
      </c>
      <c r="BG603" s="328"/>
    </row>
    <row r="604" spans="2:59">
      <c r="B604" s="332">
        <v>589</v>
      </c>
      <c r="C604" s="350">
        <v>133004869.63501051</v>
      </c>
      <c r="D604" s="350">
        <v>134095775.63864852</v>
      </c>
      <c r="E604" s="350">
        <v>135140971.08757731</v>
      </c>
      <c r="F604" s="350">
        <v>136188650.20801198</v>
      </c>
      <c r="G604" s="350">
        <v>137242067.41028777</v>
      </c>
      <c r="H604" s="348">
        <v>675672333.97953606</v>
      </c>
      <c r="I604" s="369"/>
      <c r="J604" s="350">
        <v>166101666.53213653</v>
      </c>
      <c r="K604" s="350">
        <v>200939864.83086011</v>
      </c>
      <c r="L604" s="350">
        <v>236242825.73026982</v>
      </c>
      <c r="M604" s="350">
        <v>272072596.13928163</v>
      </c>
      <c r="N604" s="350">
        <v>308438350.11251581</v>
      </c>
      <c r="O604" s="348">
        <v>1183795303.3450639</v>
      </c>
      <c r="P604" s="369"/>
      <c r="Q604" s="350">
        <f t="shared" si="261"/>
        <v>33096796.897126019</v>
      </c>
      <c r="R604" s="350">
        <f t="shared" si="262"/>
        <v>66844089.192211583</v>
      </c>
      <c r="S604" s="350">
        <f t="shared" si="263"/>
        <v>101101854.64269251</v>
      </c>
      <c r="T604" s="350">
        <f t="shared" si="264"/>
        <v>135883945.93126965</v>
      </c>
      <c r="U604" s="350">
        <f t="shared" si="265"/>
        <v>171196282.70222804</v>
      </c>
      <c r="V604" s="350">
        <f t="shared" si="266"/>
        <v>508122969.36552787</v>
      </c>
      <c r="W604" s="365"/>
      <c r="X604" s="377">
        <f t="shared" si="244"/>
        <v>0</v>
      </c>
      <c r="Y604" s="377">
        <f t="shared" si="245"/>
        <v>0</v>
      </c>
      <c r="Z604" s="377">
        <f t="shared" si="246"/>
        <v>0</v>
      </c>
      <c r="AA604" s="377">
        <f t="shared" si="247"/>
        <v>0</v>
      </c>
      <c r="AB604" s="377">
        <f t="shared" si="248"/>
        <v>0</v>
      </c>
      <c r="AC604" s="377">
        <f t="shared" si="249"/>
        <v>0</v>
      </c>
      <c r="AD604" s="376"/>
      <c r="AE604" s="332">
        <v>589</v>
      </c>
      <c r="AF604" s="350">
        <v>116587168.20234287</v>
      </c>
      <c r="AG604" s="350">
        <v>117543416.21106704</v>
      </c>
      <c r="AH604" s="350">
        <v>118459596.03172301</v>
      </c>
      <c r="AI604" s="350">
        <v>119377952.94731107</v>
      </c>
      <c r="AJ604" s="350">
        <v>120301339.65402336</v>
      </c>
      <c r="AK604" s="348">
        <v>592269473.04646742</v>
      </c>
      <c r="AL604" s="369"/>
      <c r="AM604" s="350">
        <v>145962423.77004531</v>
      </c>
      <c r="AN604" s="350">
        <v>176879713.94174418</v>
      </c>
      <c r="AO604" s="350">
        <v>208210140.8594678</v>
      </c>
      <c r="AP604" s="350">
        <v>240008245.30445236</v>
      </c>
      <c r="AQ604" s="350">
        <v>272282135.27540892</v>
      </c>
      <c r="AR604" s="348">
        <v>1043342659.1511185</v>
      </c>
      <c r="AS604" s="369"/>
      <c r="AT604" s="350">
        <f t="shared" si="267"/>
        <v>29375255.567702442</v>
      </c>
      <c r="AU604" s="350">
        <f t="shared" si="250"/>
        <v>59336297.730677143</v>
      </c>
      <c r="AV604" s="350">
        <f t="shared" si="251"/>
        <v>89750544.827744797</v>
      </c>
      <c r="AW604" s="350">
        <f t="shared" si="252"/>
        <v>120630292.35714129</v>
      </c>
      <c r="AX604" s="350">
        <f t="shared" si="253"/>
        <v>151980795.62138557</v>
      </c>
      <c r="AY604" s="350">
        <f t="shared" si="254"/>
        <v>451073186.10465109</v>
      </c>
      <c r="AZ604" s="365"/>
      <c r="BA604" s="377">
        <f t="shared" si="255"/>
        <v>0</v>
      </c>
      <c r="BB604" s="377">
        <f t="shared" si="256"/>
        <v>0</v>
      </c>
      <c r="BC604" s="377">
        <f t="shared" si="257"/>
        <v>0</v>
      </c>
      <c r="BD604" s="377">
        <f t="shared" si="258"/>
        <v>0</v>
      </c>
      <c r="BE604" s="377">
        <f t="shared" si="259"/>
        <v>0</v>
      </c>
      <c r="BF604" s="377">
        <f t="shared" si="260"/>
        <v>0</v>
      </c>
      <c r="BG604" s="328"/>
    </row>
    <row r="605" spans="2:59">
      <c r="B605" s="332">
        <v>590</v>
      </c>
      <c r="C605" s="350">
        <v>130770271.98953664</v>
      </c>
      <c r="D605" s="350">
        <v>131842849.82222986</v>
      </c>
      <c r="E605" s="350">
        <v>132870485.07734284</v>
      </c>
      <c r="F605" s="350">
        <v>133900562.27611737</v>
      </c>
      <c r="G605" s="350">
        <v>134936281.15196067</v>
      </c>
      <c r="H605" s="348">
        <v>664320450.31718743</v>
      </c>
      <c r="I605" s="369"/>
      <c r="J605" s="350">
        <v>171082906.1236324</v>
      </c>
      <c r="K605" s="350">
        <v>213263307.77400637</v>
      </c>
      <c r="L605" s="350">
        <v>256020579.26276672</v>
      </c>
      <c r="M605" s="350">
        <v>299418978.14610714</v>
      </c>
      <c r="N605" s="350">
        <v>343468914.8540895</v>
      </c>
      <c r="O605" s="348">
        <v>1283254686.1606021</v>
      </c>
      <c r="P605" s="369"/>
      <c r="Q605" s="350">
        <f t="shared" si="261"/>
        <v>40312634.134095758</v>
      </c>
      <c r="R605" s="350">
        <f t="shared" si="262"/>
        <v>81420457.951776505</v>
      </c>
      <c r="S605" s="350">
        <f t="shared" si="263"/>
        <v>123150094.18542388</v>
      </c>
      <c r="T605" s="350">
        <f t="shared" si="264"/>
        <v>165518415.86998975</v>
      </c>
      <c r="U605" s="350">
        <f t="shared" si="265"/>
        <v>208532633.70212883</v>
      </c>
      <c r="V605" s="350">
        <f t="shared" si="266"/>
        <v>618934235.84341466</v>
      </c>
      <c r="W605" s="365"/>
      <c r="X605" s="377">
        <f t="shared" si="244"/>
        <v>0</v>
      </c>
      <c r="Y605" s="377">
        <f t="shared" si="245"/>
        <v>0</v>
      </c>
      <c r="Z605" s="377">
        <f t="shared" si="246"/>
        <v>0</v>
      </c>
      <c r="AA605" s="377">
        <f t="shared" si="247"/>
        <v>0</v>
      </c>
      <c r="AB605" s="377">
        <f t="shared" si="248"/>
        <v>0</v>
      </c>
      <c r="AC605" s="377">
        <f t="shared" si="249"/>
        <v>0</v>
      </c>
      <c r="AD605" s="376"/>
      <c r="AE605" s="332">
        <v>590</v>
      </c>
      <c r="AF605" s="350">
        <v>130083970.99223363</v>
      </c>
      <c r="AG605" s="350">
        <v>131150919.78382245</v>
      </c>
      <c r="AH605" s="350">
        <v>132173161.86287391</v>
      </c>
      <c r="AI605" s="350">
        <v>133197833.06991906</v>
      </c>
      <c r="AJ605" s="350">
        <v>134228116.34570897</v>
      </c>
      <c r="AK605" s="348">
        <v>660834002.05455804</v>
      </c>
      <c r="AL605" s="369"/>
      <c r="AM605" s="350">
        <v>162548356.05280682</v>
      </c>
      <c r="AN605" s="350">
        <v>196735457.81660762</v>
      </c>
      <c r="AO605" s="350">
        <v>231378847.8843618</v>
      </c>
      <c r="AP605" s="350">
        <v>266539251.06659365</v>
      </c>
      <c r="AQ605" s="350">
        <v>302225659.5381828</v>
      </c>
      <c r="AR605" s="348">
        <v>1159427572.3585527</v>
      </c>
      <c r="AS605" s="369"/>
      <c r="AT605" s="350">
        <f t="shared" si="267"/>
        <v>32464385.06057319</v>
      </c>
      <c r="AU605" s="350">
        <f t="shared" si="250"/>
        <v>65584538.032785177</v>
      </c>
      <c r="AV605" s="350">
        <f t="shared" si="251"/>
        <v>99205686.021487892</v>
      </c>
      <c r="AW605" s="350">
        <f t="shared" si="252"/>
        <v>133341417.99667458</v>
      </c>
      <c r="AX605" s="350">
        <f t="shared" si="253"/>
        <v>167997543.19247383</v>
      </c>
      <c r="AY605" s="350">
        <f t="shared" si="254"/>
        <v>498593570.30399466</v>
      </c>
      <c r="AZ605" s="365"/>
      <c r="BA605" s="377">
        <f t="shared" si="255"/>
        <v>0</v>
      </c>
      <c r="BB605" s="377">
        <f t="shared" si="256"/>
        <v>0</v>
      </c>
      <c r="BC605" s="377">
        <f t="shared" si="257"/>
        <v>0</v>
      </c>
      <c r="BD605" s="377">
        <f t="shared" si="258"/>
        <v>0</v>
      </c>
      <c r="BE605" s="377">
        <f t="shared" si="259"/>
        <v>0</v>
      </c>
      <c r="BF605" s="377">
        <f t="shared" si="260"/>
        <v>0</v>
      </c>
      <c r="BG605" s="328"/>
    </row>
    <row r="606" spans="2:59">
      <c r="B606" s="332">
        <v>591</v>
      </c>
      <c r="C606" s="350">
        <v>124622984.1906939</v>
      </c>
      <c r="D606" s="350">
        <v>125645141.96595423</v>
      </c>
      <c r="E606" s="350">
        <v>126624469.8376741</v>
      </c>
      <c r="F606" s="350">
        <v>127606124.86144237</v>
      </c>
      <c r="G606" s="350">
        <v>128593156.35664758</v>
      </c>
      <c r="H606" s="348">
        <v>633091877.21241224</v>
      </c>
      <c r="I606" s="369"/>
      <c r="J606" s="350">
        <v>160084562.99040106</v>
      </c>
      <c r="K606" s="350">
        <v>197273761.03145352</v>
      </c>
      <c r="L606" s="350">
        <v>234967208.18995735</v>
      </c>
      <c r="M606" s="350">
        <v>273224904.45660591</v>
      </c>
      <c r="N606" s="350">
        <v>312056243.05208164</v>
      </c>
      <c r="O606" s="348">
        <v>1177606679.7204995</v>
      </c>
      <c r="P606" s="369"/>
      <c r="Q606" s="350">
        <f t="shared" si="261"/>
        <v>35461578.799707159</v>
      </c>
      <c r="R606" s="350">
        <f t="shared" si="262"/>
        <v>71628619.065499291</v>
      </c>
      <c r="S606" s="350">
        <f t="shared" si="263"/>
        <v>108342738.35228325</v>
      </c>
      <c r="T606" s="350">
        <f t="shared" si="264"/>
        <v>145618779.59516352</v>
      </c>
      <c r="U606" s="350">
        <f t="shared" si="265"/>
        <v>183463086.69543406</v>
      </c>
      <c r="V606" s="350">
        <f t="shared" si="266"/>
        <v>544514802.50808728</v>
      </c>
      <c r="W606" s="365"/>
      <c r="X606" s="377">
        <f t="shared" si="244"/>
        <v>0</v>
      </c>
      <c r="Y606" s="377">
        <f t="shared" si="245"/>
        <v>0</v>
      </c>
      <c r="Z606" s="377">
        <f t="shared" si="246"/>
        <v>0</v>
      </c>
      <c r="AA606" s="377">
        <f t="shared" si="247"/>
        <v>0</v>
      </c>
      <c r="AB606" s="377">
        <f t="shared" si="248"/>
        <v>0</v>
      </c>
      <c r="AC606" s="377">
        <f t="shared" si="249"/>
        <v>0</v>
      </c>
      <c r="AD606" s="376"/>
      <c r="AE606" s="332">
        <v>591</v>
      </c>
      <c r="AF606" s="350">
        <v>115277607.90658911</v>
      </c>
      <c r="AG606" s="350">
        <v>116223114.9011482</v>
      </c>
      <c r="AH606" s="350">
        <v>117129003.77181891</v>
      </c>
      <c r="AI606" s="350">
        <v>118037045.28329746</v>
      </c>
      <c r="AJ606" s="350">
        <v>118950060.0889903</v>
      </c>
      <c r="AK606" s="348">
        <v>585616831.95184398</v>
      </c>
      <c r="AL606" s="369"/>
      <c r="AM606" s="350">
        <v>141248447.61921513</v>
      </c>
      <c r="AN606" s="350">
        <v>168705481.84851417</v>
      </c>
      <c r="AO606" s="350">
        <v>196523934.42534277</v>
      </c>
      <c r="AP606" s="350">
        <v>224756447.9044942</v>
      </c>
      <c r="AQ606" s="350">
        <v>253410492.66259065</v>
      </c>
      <c r="AR606" s="348">
        <v>984644804.46015692</v>
      </c>
      <c r="AS606" s="369"/>
      <c r="AT606" s="350">
        <f t="shared" si="267"/>
        <v>25970839.712626025</v>
      </c>
      <c r="AU606" s="350">
        <f t="shared" si="250"/>
        <v>52482366.947365969</v>
      </c>
      <c r="AV606" s="350">
        <f t="shared" si="251"/>
        <v>79394930.653523862</v>
      </c>
      <c r="AW606" s="350">
        <f t="shared" si="252"/>
        <v>106719402.62119673</v>
      </c>
      <c r="AX606" s="350">
        <f t="shared" si="253"/>
        <v>134460432.57360035</v>
      </c>
      <c r="AY606" s="350">
        <f t="shared" si="254"/>
        <v>399027972.50831294</v>
      </c>
      <c r="AZ606" s="365"/>
      <c r="BA606" s="377">
        <f t="shared" si="255"/>
        <v>0</v>
      </c>
      <c r="BB606" s="377">
        <f t="shared" si="256"/>
        <v>0</v>
      </c>
      <c r="BC606" s="377">
        <f t="shared" si="257"/>
        <v>0</v>
      </c>
      <c r="BD606" s="377">
        <f t="shared" si="258"/>
        <v>0</v>
      </c>
      <c r="BE606" s="377">
        <f t="shared" si="259"/>
        <v>0</v>
      </c>
      <c r="BF606" s="377">
        <f t="shared" si="260"/>
        <v>0</v>
      </c>
      <c r="BG606" s="328"/>
    </row>
    <row r="607" spans="2:59">
      <c r="B607" s="332">
        <v>592</v>
      </c>
      <c r="C607" s="350">
        <v>132238276.36459073</v>
      </c>
      <c r="D607" s="350">
        <v>133322894.76986223</v>
      </c>
      <c r="E607" s="350">
        <v>134362066.0799785</v>
      </c>
      <c r="F607" s="350">
        <v>135403706.74659199</v>
      </c>
      <c r="G607" s="350">
        <v>136451052.42276183</v>
      </c>
      <c r="H607" s="348">
        <v>671777996.38378525</v>
      </c>
      <c r="I607" s="369"/>
      <c r="J607" s="350">
        <v>160754507.36845261</v>
      </c>
      <c r="K607" s="350">
        <v>190926399.54332244</v>
      </c>
      <c r="L607" s="350">
        <v>221492833.62526238</v>
      </c>
      <c r="M607" s="350">
        <v>252513662.13784674</v>
      </c>
      <c r="N607" s="350">
        <v>283997222.71939838</v>
      </c>
      <c r="O607" s="348">
        <v>1109684625.3942823</v>
      </c>
      <c r="P607" s="369"/>
      <c r="Q607" s="350">
        <f t="shared" si="261"/>
        <v>28516231.003861874</v>
      </c>
      <c r="R607" s="350">
        <f t="shared" si="262"/>
        <v>57603504.773460209</v>
      </c>
      <c r="S607" s="350">
        <f t="shared" si="263"/>
        <v>87130767.545283884</v>
      </c>
      <c r="T607" s="350">
        <f t="shared" si="264"/>
        <v>117109955.39125475</v>
      </c>
      <c r="U607" s="350">
        <f t="shared" si="265"/>
        <v>147546170.29663655</v>
      </c>
      <c r="V607" s="350">
        <f t="shared" si="266"/>
        <v>437906629.01049709</v>
      </c>
      <c r="W607" s="365"/>
      <c r="X607" s="377">
        <f t="shared" si="244"/>
        <v>0</v>
      </c>
      <c r="Y607" s="377">
        <f t="shared" si="245"/>
        <v>0</v>
      </c>
      <c r="Z607" s="377">
        <f t="shared" si="246"/>
        <v>0</v>
      </c>
      <c r="AA607" s="377">
        <f t="shared" si="247"/>
        <v>0</v>
      </c>
      <c r="AB607" s="377">
        <f t="shared" si="248"/>
        <v>0</v>
      </c>
      <c r="AC607" s="377">
        <f t="shared" si="249"/>
        <v>0</v>
      </c>
      <c r="AD607" s="376"/>
      <c r="AE607" s="332">
        <v>592</v>
      </c>
      <c r="AF607" s="350">
        <v>129256161.71630886</v>
      </c>
      <c r="AG607" s="350">
        <v>130316320.81582509</v>
      </c>
      <c r="AH607" s="350">
        <v>131332057.70081747</v>
      </c>
      <c r="AI607" s="350">
        <v>132350208.25567549</v>
      </c>
      <c r="AJ607" s="350">
        <v>133373935.16601908</v>
      </c>
      <c r="AK607" s="348">
        <v>656628683.65464592</v>
      </c>
      <c r="AL607" s="369"/>
      <c r="AM607" s="350">
        <v>168352782.42593408</v>
      </c>
      <c r="AN607" s="350">
        <v>209245710.49624065</v>
      </c>
      <c r="AO607" s="350">
        <v>250696725.59859854</v>
      </c>
      <c r="AP607" s="350">
        <v>292769025.73662359</v>
      </c>
      <c r="AQ607" s="350">
        <v>335472761.43415242</v>
      </c>
      <c r="AR607" s="348">
        <v>1256537005.6915491</v>
      </c>
      <c r="AS607" s="369"/>
      <c r="AT607" s="350">
        <f t="shared" si="267"/>
        <v>39096620.709625214</v>
      </c>
      <c r="AU607" s="350">
        <f t="shared" si="250"/>
        <v>78929389.680415556</v>
      </c>
      <c r="AV607" s="350">
        <f t="shared" si="251"/>
        <v>119364667.89778107</v>
      </c>
      <c r="AW607" s="350">
        <f t="shared" si="252"/>
        <v>160418817.48094809</v>
      </c>
      <c r="AX607" s="350">
        <f t="shared" si="253"/>
        <v>202098826.26813334</v>
      </c>
      <c r="AY607" s="350">
        <f t="shared" si="254"/>
        <v>599908322.03690314</v>
      </c>
      <c r="AZ607" s="365"/>
      <c r="BA607" s="377">
        <f t="shared" si="255"/>
        <v>0</v>
      </c>
      <c r="BB607" s="377">
        <f t="shared" si="256"/>
        <v>0</v>
      </c>
      <c r="BC607" s="377">
        <f t="shared" si="257"/>
        <v>0</v>
      </c>
      <c r="BD607" s="377">
        <f t="shared" si="258"/>
        <v>0</v>
      </c>
      <c r="BE607" s="377">
        <f t="shared" si="259"/>
        <v>0</v>
      </c>
      <c r="BF607" s="377">
        <f t="shared" si="260"/>
        <v>0</v>
      </c>
      <c r="BG607" s="328"/>
    </row>
    <row r="608" spans="2:59">
      <c r="B608" s="332">
        <v>593</v>
      </c>
      <c r="C608" s="350">
        <v>146291006.65888971</v>
      </c>
      <c r="D608" s="350">
        <v>147490885.56467992</v>
      </c>
      <c r="E608" s="350">
        <v>148640487.79201698</v>
      </c>
      <c r="F608" s="350">
        <v>149792821.7900463</v>
      </c>
      <c r="G608" s="350">
        <v>150951467.05901736</v>
      </c>
      <c r="H608" s="348">
        <v>743166668.86465025</v>
      </c>
      <c r="I608" s="369"/>
      <c r="J608" s="350">
        <v>181719569.93073884</v>
      </c>
      <c r="K608" s="350">
        <v>219032064.32351348</v>
      </c>
      <c r="L608" s="350">
        <v>256840528.21035331</v>
      </c>
      <c r="M608" s="350">
        <v>295212798.00329471</v>
      </c>
      <c r="N608" s="350">
        <v>334158788.0298692</v>
      </c>
      <c r="O608" s="348">
        <v>1286963748.4977694</v>
      </c>
      <c r="P608" s="369"/>
      <c r="Q608" s="350">
        <f t="shared" si="261"/>
        <v>35428563.271849126</v>
      </c>
      <c r="R608" s="350">
        <f t="shared" si="262"/>
        <v>71541178.758833557</v>
      </c>
      <c r="S608" s="350">
        <f t="shared" si="263"/>
        <v>108200040.41833633</v>
      </c>
      <c r="T608" s="350">
        <f t="shared" si="264"/>
        <v>145419976.2132484</v>
      </c>
      <c r="U608" s="350">
        <f t="shared" si="265"/>
        <v>183207320.97085184</v>
      </c>
      <c r="V608" s="350">
        <f t="shared" si="266"/>
        <v>543797079.63311911</v>
      </c>
      <c r="W608" s="365"/>
      <c r="X608" s="377">
        <f t="shared" si="244"/>
        <v>0</v>
      </c>
      <c r="Y608" s="377">
        <f t="shared" si="245"/>
        <v>0</v>
      </c>
      <c r="Z608" s="377">
        <f t="shared" si="246"/>
        <v>0</v>
      </c>
      <c r="AA608" s="377">
        <f t="shared" si="247"/>
        <v>0</v>
      </c>
      <c r="AB608" s="377">
        <f t="shared" si="248"/>
        <v>0</v>
      </c>
      <c r="AC608" s="377">
        <f t="shared" si="249"/>
        <v>0</v>
      </c>
      <c r="AD608" s="376"/>
      <c r="AE608" s="332">
        <v>593</v>
      </c>
      <c r="AF608" s="350">
        <v>121581472.84710987</v>
      </c>
      <c r="AG608" s="350">
        <v>122578684.14489195</v>
      </c>
      <c r="AH608" s="350">
        <v>123534110.83297169</v>
      </c>
      <c r="AI608" s="350">
        <v>124491807.87732168</v>
      </c>
      <c r="AJ608" s="350">
        <v>125454750.17655207</v>
      </c>
      <c r="AK608" s="348">
        <v>617640825.87884724</v>
      </c>
      <c r="AL608" s="369"/>
      <c r="AM608" s="350">
        <v>148042308.92735568</v>
      </c>
      <c r="AN608" s="350">
        <v>176022860.99293518</v>
      </c>
      <c r="AO608" s="350">
        <v>204369788.87188962</v>
      </c>
      <c r="AP608" s="350">
        <v>233138222.86309266</v>
      </c>
      <c r="AQ608" s="350">
        <v>262335870.98290551</v>
      </c>
      <c r="AR608" s="348">
        <v>1023909052.6381786</v>
      </c>
      <c r="AS608" s="369"/>
      <c r="AT608" s="350">
        <f t="shared" si="267"/>
        <v>26460836.080245808</v>
      </c>
      <c r="AU608" s="350">
        <f t="shared" si="250"/>
        <v>53444176.848043233</v>
      </c>
      <c r="AV608" s="350">
        <f t="shared" si="251"/>
        <v>80835678.038917929</v>
      </c>
      <c r="AW608" s="350">
        <f t="shared" si="252"/>
        <v>108646414.98577099</v>
      </c>
      <c r="AX608" s="350">
        <f t="shared" si="253"/>
        <v>136881120.80635345</v>
      </c>
      <c r="AY608" s="350">
        <f t="shared" si="254"/>
        <v>406268226.75933135</v>
      </c>
      <c r="AZ608" s="365"/>
      <c r="BA608" s="377">
        <f t="shared" si="255"/>
        <v>0</v>
      </c>
      <c r="BB608" s="377">
        <f t="shared" si="256"/>
        <v>0</v>
      </c>
      <c r="BC608" s="377">
        <f t="shared" si="257"/>
        <v>0</v>
      </c>
      <c r="BD608" s="377">
        <f t="shared" si="258"/>
        <v>0</v>
      </c>
      <c r="BE608" s="377">
        <f t="shared" si="259"/>
        <v>0</v>
      </c>
      <c r="BF608" s="377">
        <f t="shared" si="260"/>
        <v>0</v>
      </c>
      <c r="BG608" s="328"/>
    </row>
    <row r="609" spans="2:59">
      <c r="B609" s="332">
        <v>594</v>
      </c>
      <c r="C609" s="350">
        <v>123924950.82156923</v>
      </c>
      <c r="D609" s="350">
        <v>124941383.32680592</v>
      </c>
      <c r="E609" s="350">
        <v>125915225.82567734</v>
      </c>
      <c r="F609" s="350">
        <v>126891382.4418444</v>
      </c>
      <c r="G609" s="350">
        <v>127872885.41496754</v>
      </c>
      <c r="H609" s="348">
        <v>629545827.83086443</v>
      </c>
      <c r="I609" s="369"/>
      <c r="J609" s="350">
        <v>154194677.44483155</v>
      </c>
      <c r="K609" s="350">
        <v>186077680.0794313</v>
      </c>
      <c r="L609" s="350">
        <v>218384991.95267934</v>
      </c>
      <c r="M609" s="350">
        <v>251174186.70536172</v>
      </c>
      <c r="N609" s="350">
        <v>284453710.86769885</v>
      </c>
      <c r="O609" s="348">
        <v>1094285247.0500028</v>
      </c>
      <c r="P609" s="369"/>
      <c r="Q609" s="350">
        <f t="shared" si="261"/>
        <v>30269726.623262316</v>
      </c>
      <c r="R609" s="350">
        <f t="shared" si="262"/>
        <v>61136296.752625376</v>
      </c>
      <c r="S609" s="350">
        <f t="shared" si="263"/>
        <v>92469766.127002001</v>
      </c>
      <c r="T609" s="350">
        <f t="shared" si="264"/>
        <v>124282804.26351732</v>
      </c>
      <c r="U609" s="350">
        <f t="shared" si="265"/>
        <v>156580825.45273131</v>
      </c>
      <c r="V609" s="350">
        <f t="shared" si="266"/>
        <v>464739419.21913838</v>
      </c>
      <c r="W609" s="365"/>
      <c r="X609" s="377">
        <f t="shared" si="244"/>
        <v>0</v>
      </c>
      <c r="Y609" s="377">
        <f t="shared" si="245"/>
        <v>0</v>
      </c>
      <c r="Z609" s="377">
        <f t="shared" si="246"/>
        <v>0</v>
      </c>
      <c r="AA609" s="377">
        <f t="shared" si="247"/>
        <v>0</v>
      </c>
      <c r="AB609" s="377">
        <f t="shared" si="248"/>
        <v>0</v>
      </c>
      <c r="AC609" s="377">
        <f t="shared" si="249"/>
        <v>0</v>
      </c>
      <c r="AD609" s="376"/>
      <c r="AE609" s="332">
        <v>594</v>
      </c>
      <c r="AF609" s="350">
        <v>144889560.66098297</v>
      </c>
      <c r="AG609" s="350">
        <v>146077944.90603572</v>
      </c>
      <c r="AH609" s="350">
        <v>147216534.11570692</v>
      </c>
      <c r="AI609" s="350">
        <v>148357828.92611516</v>
      </c>
      <c r="AJ609" s="350">
        <v>149505374.54643193</v>
      </c>
      <c r="AK609" s="348">
        <v>736047243.1552726</v>
      </c>
      <c r="AL609" s="369"/>
      <c r="AM609" s="350">
        <v>174057695.23610446</v>
      </c>
      <c r="AN609" s="350">
        <v>204999480.85841128</v>
      </c>
      <c r="AO609" s="350">
        <v>236341537.17561755</v>
      </c>
      <c r="AP609" s="350">
        <v>268148573.82878411</v>
      </c>
      <c r="AQ609" s="350">
        <v>300429354.8262828</v>
      </c>
      <c r="AR609" s="348">
        <v>1183976641.9252002</v>
      </c>
      <c r="AS609" s="369"/>
      <c r="AT609" s="350">
        <f t="shared" si="267"/>
        <v>29168134.575121492</v>
      </c>
      <c r="AU609" s="350">
        <f t="shared" si="250"/>
        <v>58921535.952375561</v>
      </c>
      <c r="AV609" s="350">
        <f t="shared" si="251"/>
        <v>89125003.059910625</v>
      </c>
      <c r="AW609" s="350">
        <f t="shared" si="252"/>
        <v>119790744.90266895</v>
      </c>
      <c r="AX609" s="350">
        <f t="shared" si="253"/>
        <v>150923980.27985087</v>
      </c>
      <c r="AY609" s="350">
        <f t="shared" si="254"/>
        <v>447929398.76992762</v>
      </c>
      <c r="AZ609" s="365"/>
      <c r="BA609" s="377">
        <f t="shared" si="255"/>
        <v>0</v>
      </c>
      <c r="BB609" s="377">
        <f t="shared" si="256"/>
        <v>0</v>
      </c>
      <c r="BC609" s="377">
        <f t="shared" si="257"/>
        <v>0</v>
      </c>
      <c r="BD609" s="377">
        <f t="shared" si="258"/>
        <v>0</v>
      </c>
      <c r="BE609" s="377">
        <f t="shared" si="259"/>
        <v>0</v>
      </c>
      <c r="BF609" s="377">
        <f t="shared" si="260"/>
        <v>0</v>
      </c>
      <c r="BG609" s="328"/>
    </row>
    <row r="610" spans="2:59">
      <c r="B610" s="332">
        <v>595</v>
      </c>
      <c r="C610" s="350">
        <v>118877229.36290222</v>
      </c>
      <c r="D610" s="350">
        <v>119852260.4543481</v>
      </c>
      <c r="E610" s="350">
        <v>120786436.31912911</v>
      </c>
      <c r="F610" s="350">
        <v>121722832.04238652</v>
      </c>
      <c r="G610" s="350">
        <v>122664356.35434152</v>
      </c>
      <c r="H610" s="348">
        <v>603903114.53310752</v>
      </c>
      <c r="I610" s="369"/>
      <c r="J610" s="350">
        <v>149931843.69556972</v>
      </c>
      <c r="K610" s="350">
        <v>182574155.75245652</v>
      </c>
      <c r="L610" s="350">
        <v>215654623.83876088</v>
      </c>
      <c r="M610" s="350">
        <v>249229321.09397706</v>
      </c>
      <c r="N610" s="350">
        <v>283306710.98329484</v>
      </c>
      <c r="O610" s="348">
        <v>1080696655.364059</v>
      </c>
      <c r="P610" s="369"/>
      <c r="Q610" s="350">
        <f t="shared" si="261"/>
        <v>31054614.3326675</v>
      </c>
      <c r="R610" s="350">
        <f t="shared" si="262"/>
        <v>62721895.298108414</v>
      </c>
      <c r="S610" s="350">
        <f t="shared" si="263"/>
        <v>94868187.519631773</v>
      </c>
      <c r="T610" s="350">
        <f t="shared" si="264"/>
        <v>127506489.05159055</v>
      </c>
      <c r="U610" s="350">
        <f t="shared" si="265"/>
        <v>160642354.62895334</v>
      </c>
      <c r="V610" s="350">
        <f t="shared" si="266"/>
        <v>476793540.83095145</v>
      </c>
      <c r="W610" s="365"/>
      <c r="X610" s="377">
        <f t="shared" si="244"/>
        <v>0</v>
      </c>
      <c r="Y610" s="377">
        <f t="shared" si="245"/>
        <v>0</v>
      </c>
      <c r="Z610" s="377">
        <f t="shared" si="246"/>
        <v>0</v>
      </c>
      <c r="AA610" s="377">
        <f t="shared" si="247"/>
        <v>0</v>
      </c>
      <c r="AB610" s="377">
        <f t="shared" si="248"/>
        <v>0</v>
      </c>
      <c r="AC610" s="377">
        <f t="shared" si="249"/>
        <v>0</v>
      </c>
      <c r="AD610" s="376"/>
      <c r="AE610" s="332">
        <v>595</v>
      </c>
      <c r="AF610" s="350">
        <v>129408764.56319249</v>
      </c>
      <c r="AG610" s="350">
        <v>130470175.311331</v>
      </c>
      <c r="AH610" s="350">
        <v>131487111.39904052</v>
      </c>
      <c r="AI610" s="350">
        <v>132506464.00625068</v>
      </c>
      <c r="AJ610" s="350">
        <v>133531399.55252218</v>
      </c>
      <c r="AK610" s="348">
        <v>657403914.8323369</v>
      </c>
      <c r="AL610" s="369"/>
      <c r="AM610" s="350">
        <v>161932554.04990941</v>
      </c>
      <c r="AN610" s="350">
        <v>196146639.96441224</v>
      </c>
      <c r="AO610" s="350">
        <v>230817725.20536479</v>
      </c>
      <c r="AP610" s="350">
        <v>266006313.22786275</v>
      </c>
      <c r="AQ610" s="350">
        <v>301721386.02900612</v>
      </c>
      <c r="AR610" s="348">
        <v>1156624618.4765553</v>
      </c>
      <c r="AS610" s="369"/>
      <c r="AT610" s="350">
        <f t="shared" si="267"/>
        <v>32523789.486716926</v>
      </c>
      <c r="AU610" s="350">
        <f t="shared" si="250"/>
        <v>65676464.653081238</v>
      </c>
      <c r="AV610" s="350">
        <f t="shared" si="251"/>
        <v>99330613.806324273</v>
      </c>
      <c r="AW610" s="350">
        <f t="shared" si="252"/>
        <v>133499849.22161207</v>
      </c>
      <c r="AX610" s="350">
        <f t="shared" si="253"/>
        <v>168189986.47648394</v>
      </c>
      <c r="AY610" s="350">
        <f t="shared" si="254"/>
        <v>499220703.64421844</v>
      </c>
      <c r="AZ610" s="365"/>
      <c r="BA610" s="377">
        <f t="shared" si="255"/>
        <v>0</v>
      </c>
      <c r="BB610" s="377">
        <f t="shared" si="256"/>
        <v>0</v>
      </c>
      <c r="BC610" s="377">
        <f t="shared" si="257"/>
        <v>0</v>
      </c>
      <c r="BD610" s="377">
        <f t="shared" si="258"/>
        <v>0</v>
      </c>
      <c r="BE610" s="377">
        <f t="shared" si="259"/>
        <v>0</v>
      </c>
      <c r="BF610" s="377">
        <f t="shared" si="260"/>
        <v>0</v>
      </c>
      <c r="BG610" s="328"/>
    </row>
    <row r="611" spans="2:59">
      <c r="B611" s="332">
        <v>596</v>
      </c>
      <c r="C611" s="350">
        <v>115948698.33398025</v>
      </c>
      <c r="D611" s="350">
        <v>116899709.61254218</v>
      </c>
      <c r="E611" s="350">
        <v>117810872.1296775</v>
      </c>
      <c r="F611" s="350">
        <v>118724199.81925343</v>
      </c>
      <c r="G611" s="350">
        <v>119642529.75515486</v>
      </c>
      <c r="H611" s="348">
        <v>589026009.65060818</v>
      </c>
      <c r="I611" s="369"/>
      <c r="J611" s="350">
        <v>145278015.9453415</v>
      </c>
      <c r="K611" s="350">
        <v>176136362.86271638</v>
      </c>
      <c r="L611" s="350">
        <v>207407250.3943831</v>
      </c>
      <c r="M611" s="350">
        <v>239144968.36359692</v>
      </c>
      <c r="N611" s="350">
        <v>271357599.88237345</v>
      </c>
      <c r="O611" s="348">
        <v>1039324197.4484113</v>
      </c>
      <c r="P611" s="369"/>
      <c r="Q611" s="350">
        <f t="shared" si="261"/>
        <v>29329317.61136125</v>
      </c>
      <c r="R611" s="350">
        <f t="shared" si="262"/>
        <v>59236653.250174195</v>
      </c>
      <c r="S611" s="350">
        <f t="shared" si="263"/>
        <v>89596378.264705598</v>
      </c>
      <c r="T611" s="350">
        <f t="shared" si="264"/>
        <v>120420768.54434349</v>
      </c>
      <c r="U611" s="350">
        <f t="shared" si="265"/>
        <v>151715070.1272186</v>
      </c>
      <c r="V611" s="350">
        <f t="shared" si="266"/>
        <v>450298187.79780316</v>
      </c>
      <c r="W611" s="365"/>
      <c r="X611" s="377">
        <f t="shared" si="244"/>
        <v>0</v>
      </c>
      <c r="Y611" s="377">
        <f t="shared" si="245"/>
        <v>0</v>
      </c>
      <c r="Z611" s="377">
        <f t="shared" si="246"/>
        <v>0</v>
      </c>
      <c r="AA611" s="377">
        <f t="shared" si="247"/>
        <v>0</v>
      </c>
      <c r="AB611" s="377">
        <f t="shared" si="248"/>
        <v>0</v>
      </c>
      <c r="AC611" s="377">
        <f t="shared" si="249"/>
        <v>0</v>
      </c>
      <c r="AD611" s="376"/>
      <c r="AE611" s="332">
        <v>596</v>
      </c>
      <c r="AF611" s="350">
        <v>116626727.99132401</v>
      </c>
      <c r="AG611" s="350">
        <v>117583300.46945608</v>
      </c>
      <c r="AH611" s="350">
        <v>118499791.16377796</v>
      </c>
      <c r="AI611" s="350">
        <v>119418459.6917531</v>
      </c>
      <c r="AJ611" s="350">
        <v>120342159.71753669</v>
      </c>
      <c r="AK611" s="348">
        <v>592470439.03384781</v>
      </c>
      <c r="AL611" s="369"/>
      <c r="AM611" s="350">
        <v>146649737.94557595</v>
      </c>
      <c r="AN611" s="350">
        <v>178239054.69239381</v>
      </c>
      <c r="AO611" s="350">
        <v>210251660.17371601</v>
      </c>
      <c r="AP611" s="350">
        <v>242742381.24644548</v>
      </c>
      <c r="AQ611" s="350">
        <v>275719444.44576639</v>
      </c>
      <c r="AR611" s="348">
        <v>1053602278.5038977</v>
      </c>
      <c r="AS611" s="369"/>
      <c r="AT611" s="350">
        <f t="shared" si="267"/>
        <v>30023009.954251945</v>
      </c>
      <c r="AU611" s="350">
        <f t="shared" si="250"/>
        <v>60655754.222937733</v>
      </c>
      <c r="AV611" s="350">
        <f t="shared" si="251"/>
        <v>91751869.009938046</v>
      </c>
      <c r="AW611" s="350">
        <f t="shared" si="252"/>
        <v>123323921.55469237</v>
      </c>
      <c r="AX611" s="350">
        <f t="shared" si="253"/>
        <v>155377284.7282297</v>
      </c>
      <c r="AY611" s="350">
        <f t="shared" si="254"/>
        <v>461131839.47004986</v>
      </c>
      <c r="AZ611" s="365"/>
      <c r="BA611" s="377">
        <f t="shared" si="255"/>
        <v>0</v>
      </c>
      <c r="BB611" s="377">
        <f t="shared" si="256"/>
        <v>0</v>
      </c>
      <c r="BC611" s="377">
        <f t="shared" si="257"/>
        <v>0</v>
      </c>
      <c r="BD611" s="377">
        <f t="shared" si="258"/>
        <v>0</v>
      </c>
      <c r="BE611" s="377">
        <f t="shared" si="259"/>
        <v>0</v>
      </c>
      <c r="BF611" s="377">
        <f t="shared" si="260"/>
        <v>0</v>
      </c>
      <c r="BG611" s="328"/>
    </row>
    <row r="612" spans="2:59">
      <c r="B612" s="332">
        <v>597</v>
      </c>
      <c r="C612" s="350">
        <v>155179473.11210275</v>
      </c>
      <c r="D612" s="350">
        <v>156452255.2239452</v>
      </c>
      <c r="E612" s="350">
        <v>157671705.90653312</v>
      </c>
      <c r="F612" s="350">
        <v>158894054.33893073</v>
      </c>
      <c r="G612" s="350">
        <v>160123097.50753778</v>
      </c>
      <c r="H612" s="348">
        <v>788320586.08904958</v>
      </c>
      <c r="I612" s="369"/>
      <c r="J612" s="350">
        <v>192807401.94317904</v>
      </c>
      <c r="K612" s="350">
        <v>232477365.37568831</v>
      </c>
      <c r="L612" s="350">
        <v>272674820.09070593</v>
      </c>
      <c r="M612" s="350">
        <v>313471746.10809803</v>
      </c>
      <c r="N612" s="350">
        <v>354878675.02370554</v>
      </c>
      <c r="O612" s="348">
        <v>1366310008.5413768</v>
      </c>
      <c r="P612" s="369"/>
      <c r="Q612" s="350">
        <f t="shared" si="261"/>
        <v>37627928.831076294</v>
      </c>
      <c r="R612" s="350">
        <f t="shared" si="262"/>
        <v>76025110.151743114</v>
      </c>
      <c r="S612" s="350">
        <f t="shared" si="263"/>
        <v>115003114.18417281</v>
      </c>
      <c r="T612" s="350">
        <f t="shared" si="264"/>
        <v>154577691.7691673</v>
      </c>
      <c r="U612" s="350">
        <f t="shared" si="265"/>
        <v>194755577.51616776</v>
      </c>
      <c r="V612" s="350">
        <f t="shared" si="266"/>
        <v>577989422.45232725</v>
      </c>
      <c r="W612" s="365"/>
      <c r="X612" s="377">
        <f t="shared" si="244"/>
        <v>0</v>
      </c>
      <c r="Y612" s="377">
        <f t="shared" si="245"/>
        <v>0</v>
      </c>
      <c r="Z612" s="377">
        <f t="shared" si="246"/>
        <v>0</v>
      </c>
      <c r="AA612" s="377">
        <f t="shared" si="247"/>
        <v>0</v>
      </c>
      <c r="AB612" s="377">
        <f t="shared" si="248"/>
        <v>0</v>
      </c>
      <c r="AC612" s="377">
        <f t="shared" si="249"/>
        <v>0</v>
      </c>
      <c r="AD612" s="376"/>
      <c r="AE612" s="332">
        <v>597</v>
      </c>
      <c r="AF612" s="350">
        <v>149500534.8745468</v>
      </c>
      <c r="AG612" s="350">
        <v>150726738.33227944</v>
      </c>
      <c r="AH612" s="350">
        <v>151901562.07438824</v>
      </c>
      <c r="AI612" s="350">
        <v>153079177.52043688</v>
      </c>
      <c r="AJ612" s="350">
        <v>154263242.70254976</v>
      </c>
      <c r="AK612" s="348">
        <v>759471255.50420117</v>
      </c>
      <c r="AL612" s="369"/>
      <c r="AM612" s="350">
        <v>185723357.53277978</v>
      </c>
      <c r="AN612" s="350">
        <v>223879965.88289797</v>
      </c>
      <c r="AO612" s="350">
        <v>262543814.51613736</v>
      </c>
      <c r="AP612" s="350">
        <v>301784235.69269872</v>
      </c>
      <c r="AQ612" s="350">
        <v>341611365.54088199</v>
      </c>
      <c r="AR612" s="348">
        <v>1315542739.1653957</v>
      </c>
      <c r="AS612" s="369"/>
      <c r="AT612" s="350">
        <f t="shared" si="267"/>
        <v>36222822.658232987</v>
      </c>
      <c r="AU612" s="350">
        <f t="shared" si="250"/>
        <v>73153227.550618529</v>
      </c>
      <c r="AV612" s="350">
        <f t="shared" si="251"/>
        <v>110642252.44174913</v>
      </c>
      <c r="AW612" s="350">
        <f t="shared" si="252"/>
        <v>148705058.17226183</v>
      </c>
      <c r="AX612" s="350">
        <f t="shared" si="253"/>
        <v>187348122.83833224</v>
      </c>
      <c r="AY612" s="350">
        <f t="shared" si="254"/>
        <v>556071483.66119456</v>
      </c>
      <c r="AZ612" s="365"/>
      <c r="BA612" s="377">
        <f t="shared" si="255"/>
        <v>0</v>
      </c>
      <c r="BB612" s="377">
        <f t="shared" si="256"/>
        <v>0</v>
      </c>
      <c r="BC612" s="377">
        <f t="shared" si="257"/>
        <v>0</v>
      </c>
      <c r="BD612" s="377">
        <f t="shared" si="258"/>
        <v>0</v>
      </c>
      <c r="BE612" s="377">
        <f t="shared" si="259"/>
        <v>0</v>
      </c>
      <c r="BF612" s="377">
        <f t="shared" si="260"/>
        <v>0</v>
      </c>
      <c r="BG612" s="328"/>
    </row>
    <row r="613" spans="2:59">
      <c r="B613" s="332">
        <v>598</v>
      </c>
      <c r="C613" s="350">
        <v>137544225.28235939</v>
      </c>
      <c r="D613" s="350">
        <v>138672363.08316338</v>
      </c>
      <c r="E613" s="350">
        <v>139753230.26258367</v>
      </c>
      <c r="F613" s="350">
        <v>140836665.87934062</v>
      </c>
      <c r="G613" s="350">
        <v>141926035.41433394</v>
      </c>
      <c r="H613" s="348">
        <v>698732519.92178094</v>
      </c>
      <c r="I613" s="369"/>
      <c r="J613" s="350">
        <v>169469484.19242409</v>
      </c>
      <c r="K613" s="350">
        <v>203170266.92406654</v>
      </c>
      <c r="L613" s="350">
        <v>237316493.27977124</v>
      </c>
      <c r="M613" s="350">
        <v>271971365.75973815</v>
      </c>
      <c r="N613" s="350">
        <v>307143962.98967856</v>
      </c>
      <c r="O613" s="348">
        <v>1189071573.1456785</v>
      </c>
      <c r="P613" s="369"/>
      <c r="Q613" s="350">
        <f t="shared" si="261"/>
        <v>31925258.910064697</v>
      </c>
      <c r="R613" s="350">
        <f t="shared" si="262"/>
        <v>64497903.840903163</v>
      </c>
      <c r="S613" s="350">
        <f t="shared" si="263"/>
        <v>97563263.017187566</v>
      </c>
      <c r="T613" s="350">
        <f t="shared" si="264"/>
        <v>131134699.88039753</v>
      </c>
      <c r="U613" s="350">
        <f t="shared" si="265"/>
        <v>165217927.57534462</v>
      </c>
      <c r="V613" s="350">
        <f t="shared" si="266"/>
        <v>490339053.22389758</v>
      </c>
      <c r="W613" s="365"/>
      <c r="X613" s="377">
        <f t="shared" si="244"/>
        <v>0</v>
      </c>
      <c r="Y613" s="377">
        <f t="shared" si="245"/>
        <v>0</v>
      </c>
      <c r="Z613" s="377">
        <f t="shared" si="246"/>
        <v>0</v>
      </c>
      <c r="AA613" s="377">
        <f t="shared" si="247"/>
        <v>0</v>
      </c>
      <c r="AB613" s="377">
        <f t="shared" si="248"/>
        <v>0</v>
      </c>
      <c r="AC613" s="377">
        <f t="shared" si="249"/>
        <v>0</v>
      </c>
      <c r="AD613" s="376"/>
      <c r="AE613" s="332">
        <v>598</v>
      </c>
      <c r="AF613" s="350">
        <v>119780748.89388502</v>
      </c>
      <c r="AG613" s="350">
        <v>120763190.65295124</v>
      </c>
      <c r="AH613" s="350">
        <v>121704466.66755679</v>
      </c>
      <c r="AI613" s="350">
        <v>122647979.41254513</v>
      </c>
      <c r="AJ613" s="350">
        <v>123596659.72577393</v>
      </c>
      <c r="AK613" s="348">
        <v>608493045.35271215</v>
      </c>
      <c r="AL613" s="369"/>
      <c r="AM613" s="350">
        <v>152171503.88374898</v>
      </c>
      <c r="AN613" s="350">
        <v>186166078.8006407</v>
      </c>
      <c r="AO613" s="350">
        <v>220618833.81051078</v>
      </c>
      <c r="AP613" s="350">
        <v>255586727.70983797</v>
      </c>
      <c r="AQ613" s="350">
        <v>291078482.37281734</v>
      </c>
      <c r="AR613" s="348">
        <v>1105621626.5775557</v>
      </c>
      <c r="AS613" s="369"/>
      <c r="AT613" s="350">
        <f t="shared" si="267"/>
        <v>32390754.989863962</v>
      </c>
      <c r="AU613" s="350">
        <f t="shared" si="250"/>
        <v>65402888.147689462</v>
      </c>
      <c r="AV613" s="350">
        <f t="shared" si="251"/>
        <v>98914367.142953992</v>
      </c>
      <c r="AW613" s="350">
        <f t="shared" si="252"/>
        <v>132938748.29729284</v>
      </c>
      <c r="AX613" s="350">
        <f t="shared" si="253"/>
        <v>167481822.64704341</v>
      </c>
      <c r="AY613" s="350">
        <f t="shared" si="254"/>
        <v>497128581.2248435</v>
      </c>
      <c r="AZ613" s="365"/>
      <c r="BA613" s="377">
        <f t="shared" si="255"/>
        <v>0</v>
      </c>
      <c r="BB613" s="377">
        <f t="shared" si="256"/>
        <v>0</v>
      </c>
      <c r="BC613" s="377">
        <f t="shared" si="257"/>
        <v>0</v>
      </c>
      <c r="BD613" s="377">
        <f t="shared" si="258"/>
        <v>0</v>
      </c>
      <c r="BE613" s="377">
        <f t="shared" si="259"/>
        <v>0</v>
      </c>
      <c r="BF613" s="377">
        <f t="shared" si="260"/>
        <v>0</v>
      </c>
      <c r="BG613" s="328"/>
    </row>
    <row r="614" spans="2:59">
      <c r="B614" s="332">
        <v>599</v>
      </c>
      <c r="C614" s="350">
        <v>121712225.44777179</v>
      </c>
      <c r="D614" s="350">
        <v>122710509.17844629</v>
      </c>
      <c r="E614" s="350">
        <v>123666963.36291412</v>
      </c>
      <c r="F614" s="350">
        <v>124625690.34526592</v>
      </c>
      <c r="G614" s="350">
        <v>125589668.22341275</v>
      </c>
      <c r="H614" s="348">
        <v>618305056.55781078</v>
      </c>
      <c r="I614" s="369"/>
      <c r="J614" s="350">
        <v>151641531.81699398</v>
      </c>
      <c r="K614" s="350">
        <v>183157196.15475526</v>
      </c>
      <c r="L614" s="350">
        <v>215092647.26924598</v>
      </c>
      <c r="M614" s="350">
        <v>247504514.42310202</v>
      </c>
      <c r="N614" s="350">
        <v>280401128.80045778</v>
      </c>
      <c r="O614" s="348">
        <v>1077797018.464555</v>
      </c>
      <c r="P614" s="369"/>
      <c r="Q614" s="350">
        <f t="shared" si="261"/>
        <v>29929306.369222194</v>
      </c>
      <c r="R614" s="350">
        <f t="shared" si="262"/>
        <v>60446686.976308972</v>
      </c>
      <c r="S614" s="350">
        <f t="shared" si="263"/>
        <v>91425683.906331867</v>
      </c>
      <c r="T614" s="350">
        <f t="shared" si="264"/>
        <v>122878824.0778361</v>
      </c>
      <c r="U614" s="350">
        <f t="shared" si="265"/>
        <v>154811460.57704502</v>
      </c>
      <c r="V614" s="350">
        <f t="shared" si="266"/>
        <v>459491961.90674424</v>
      </c>
      <c r="W614" s="365"/>
      <c r="X614" s="377">
        <f t="shared" si="244"/>
        <v>0</v>
      </c>
      <c r="Y614" s="377">
        <f t="shared" si="245"/>
        <v>0</v>
      </c>
      <c r="Z614" s="377">
        <f t="shared" si="246"/>
        <v>0</v>
      </c>
      <c r="AA614" s="377">
        <f t="shared" si="247"/>
        <v>0</v>
      </c>
      <c r="AB614" s="377">
        <f t="shared" si="248"/>
        <v>0</v>
      </c>
      <c r="AC614" s="377">
        <f t="shared" si="249"/>
        <v>0</v>
      </c>
      <c r="AD614" s="376"/>
      <c r="AE614" s="332">
        <v>599</v>
      </c>
      <c r="AF614" s="350">
        <v>140845112.28967613</v>
      </c>
      <c r="AG614" s="350">
        <v>142000323.96727496</v>
      </c>
      <c r="AH614" s="350">
        <v>143107130.58851379</v>
      </c>
      <c r="AI614" s="350">
        <v>144216567.28632867</v>
      </c>
      <c r="AJ614" s="350">
        <v>145332080.30889368</v>
      </c>
      <c r="AK614" s="348">
        <v>715501214.44068718</v>
      </c>
      <c r="AL614" s="369"/>
      <c r="AM614" s="350">
        <v>174669570.5642629</v>
      </c>
      <c r="AN614" s="350">
        <v>210311398.50567046</v>
      </c>
      <c r="AO614" s="350">
        <v>246426476.5944151</v>
      </c>
      <c r="AP614" s="350">
        <v>283079997.06256491</v>
      </c>
      <c r="AQ614" s="350">
        <v>320281455.54818153</v>
      </c>
      <c r="AR614" s="348">
        <v>1234768898.275095</v>
      </c>
      <c r="AS614" s="369"/>
      <c r="AT614" s="350">
        <f t="shared" si="267"/>
        <v>33824458.274586767</v>
      </c>
      <c r="AU614" s="350">
        <f t="shared" si="250"/>
        <v>68311074.538395494</v>
      </c>
      <c r="AV614" s="350">
        <f t="shared" si="251"/>
        <v>103319346.00590131</v>
      </c>
      <c r="AW614" s="350">
        <f t="shared" si="252"/>
        <v>138863429.77623624</v>
      </c>
      <c r="AX614" s="350">
        <f t="shared" si="253"/>
        <v>174949375.23928785</v>
      </c>
      <c r="AY614" s="350">
        <f t="shared" si="254"/>
        <v>519267683.83440781</v>
      </c>
      <c r="AZ614" s="365"/>
      <c r="BA614" s="377">
        <f t="shared" si="255"/>
        <v>0</v>
      </c>
      <c r="BB614" s="377">
        <f t="shared" si="256"/>
        <v>0</v>
      </c>
      <c r="BC614" s="377">
        <f t="shared" si="257"/>
        <v>0</v>
      </c>
      <c r="BD614" s="377">
        <f t="shared" si="258"/>
        <v>0</v>
      </c>
      <c r="BE614" s="377">
        <f t="shared" si="259"/>
        <v>0</v>
      </c>
      <c r="BF614" s="377">
        <f t="shared" si="260"/>
        <v>0</v>
      </c>
      <c r="BG614" s="328"/>
    </row>
    <row r="615" spans="2:59">
      <c r="B615" s="332">
        <v>600</v>
      </c>
      <c r="C615" s="350">
        <v>124349085.67470492</v>
      </c>
      <c r="D615" s="350">
        <v>125368996.93420759</v>
      </c>
      <c r="E615" s="350">
        <v>126346172.42246088</v>
      </c>
      <c r="F615" s="350">
        <v>127325669.94810815</v>
      </c>
      <c r="G615" s="350">
        <v>128310532.12869193</v>
      </c>
      <c r="H615" s="348">
        <v>631700457.10817349</v>
      </c>
      <c r="I615" s="369"/>
      <c r="J615" s="350">
        <v>149086832.59176221</v>
      </c>
      <c r="K615" s="350">
        <v>175352360.32306403</v>
      </c>
      <c r="L615" s="350">
        <v>201957036.18387064</v>
      </c>
      <c r="M615" s="350">
        <v>228956273.18437159</v>
      </c>
      <c r="N615" s="350">
        <v>256357541.80613765</v>
      </c>
      <c r="O615" s="348">
        <v>1011710044.0892062</v>
      </c>
      <c r="P615" s="369"/>
      <c r="Q615" s="350">
        <f t="shared" si="261"/>
        <v>24737746.917057291</v>
      </c>
      <c r="R615" s="350">
        <f t="shared" si="262"/>
        <v>49983363.388856441</v>
      </c>
      <c r="S615" s="350">
        <f t="shared" si="263"/>
        <v>75610863.76140976</v>
      </c>
      <c r="T615" s="350">
        <f t="shared" si="264"/>
        <v>101630603.23626344</v>
      </c>
      <c r="U615" s="350">
        <f t="shared" si="265"/>
        <v>128047009.67744572</v>
      </c>
      <c r="V615" s="350">
        <f t="shared" si="266"/>
        <v>380009586.98103273</v>
      </c>
      <c r="W615" s="365"/>
      <c r="X615" s="377">
        <f t="shared" si="244"/>
        <v>0</v>
      </c>
      <c r="Y615" s="377">
        <f t="shared" si="245"/>
        <v>0</v>
      </c>
      <c r="Z615" s="377">
        <f t="shared" si="246"/>
        <v>0</v>
      </c>
      <c r="AA615" s="377">
        <f t="shared" si="247"/>
        <v>0</v>
      </c>
      <c r="AB615" s="377">
        <f t="shared" si="248"/>
        <v>0</v>
      </c>
      <c r="AC615" s="377">
        <f t="shared" si="249"/>
        <v>0</v>
      </c>
      <c r="AD615" s="376"/>
      <c r="AE615" s="332">
        <v>600</v>
      </c>
      <c r="AF615" s="350">
        <v>133474487.79603836</v>
      </c>
      <c r="AG615" s="350">
        <v>134569245.60805514</v>
      </c>
      <c r="AH615" s="350">
        <v>135618131.46896651</v>
      </c>
      <c r="AI615" s="350">
        <v>136669509.77081636</v>
      </c>
      <c r="AJ615" s="350">
        <v>137726646.41472375</v>
      </c>
      <c r="AK615" s="348">
        <v>678058021.05860007</v>
      </c>
      <c r="AL615" s="369"/>
      <c r="AM615" s="350">
        <v>169874838.39369529</v>
      </c>
      <c r="AN615" s="350">
        <v>208092022.73760939</v>
      </c>
      <c r="AO615" s="350">
        <v>246824864.80354548</v>
      </c>
      <c r="AP615" s="350">
        <v>286136964.74006635</v>
      </c>
      <c r="AQ615" s="350">
        <v>326038099.97660244</v>
      </c>
      <c r="AR615" s="348">
        <v>1236966790.6515188</v>
      </c>
      <c r="AS615" s="369"/>
      <c r="AT615" s="350">
        <f t="shared" si="267"/>
        <v>36400350.597656935</v>
      </c>
      <c r="AU615" s="350">
        <f t="shared" si="250"/>
        <v>73522777.129554242</v>
      </c>
      <c r="AV615" s="350">
        <f t="shared" si="251"/>
        <v>111206733.33457896</v>
      </c>
      <c r="AW615" s="350">
        <f t="shared" si="252"/>
        <v>149467454.96924999</v>
      </c>
      <c r="AX615" s="350">
        <f t="shared" si="253"/>
        <v>188311453.56187868</v>
      </c>
      <c r="AY615" s="350">
        <f t="shared" si="254"/>
        <v>558908769.59291875</v>
      </c>
      <c r="AZ615" s="365"/>
      <c r="BA615" s="377">
        <f t="shared" si="255"/>
        <v>0</v>
      </c>
      <c r="BB615" s="377">
        <f t="shared" si="256"/>
        <v>0</v>
      </c>
      <c r="BC615" s="377">
        <f t="shared" si="257"/>
        <v>0</v>
      </c>
      <c r="BD615" s="377">
        <f t="shared" si="258"/>
        <v>0</v>
      </c>
      <c r="BE615" s="377">
        <f t="shared" si="259"/>
        <v>0</v>
      </c>
      <c r="BF615" s="377">
        <f t="shared" si="260"/>
        <v>0</v>
      </c>
      <c r="BG615" s="328"/>
    </row>
    <row r="616" spans="2:59">
      <c r="B616" s="332">
        <v>601</v>
      </c>
      <c r="C616" s="350">
        <v>127907898.2983221</v>
      </c>
      <c r="D616" s="350">
        <v>128956998.94064647</v>
      </c>
      <c r="E616" s="350">
        <v>129962140.73395309</v>
      </c>
      <c r="F616" s="350">
        <v>130969671.02027698</v>
      </c>
      <c r="G616" s="350">
        <v>131982719.49545045</v>
      </c>
      <c r="H616" s="348">
        <v>649779428.48864901</v>
      </c>
      <c r="I616" s="369"/>
      <c r="J616" s="350">
        <v>164571759.4148725</v>
      </c>
      <c r="K616" s="350">
        <v>203018718.75177053</v>
      </c>
      <c r="L616" s="350">
        <v>241987418.31249642</v>
      </c>
      <c r="M616" s="350">
        <v>281539551.86272526</v>
      </c>
      <c r="N616" s="350">
        <v>321684808.78689557</v>
      </c>
      <c r="O616" s="348">
        <v>1212802257.1287603</v>
      </c>
      <c r="P616" s="369"/>
      <c r="Q616" s="350">
        <f t="shared" si="261"/>
        <v>36663861.116550401</v>
      </c>
      <c r="R616" s="350">
        <f t="shared" si="262"/>
        <v>74061719.811124057</v>
      </c>
      <c r="S616" s="350">
        <f t="shared" si="263"/>
        <v>112025277.57854334</v>
      </c>
      <c r="T616" s="350">
        <f t="shared" si="264"/>
        <v>150569880.84244829</v>
      </c>
      <c r="U616" s="350">
        <f t="shared" si="265"/>
        <v>189702089.29144514</v>
      </c>
      <c r="V616" s="350">
        <f t="shared" si="266"/>
        <v>563022828.64011133</v>
      </c>
      <c r="W616" s="365"/>
      <c r="X616" s="377">
        <f t="shared" si="244"/>
        <v>0</v>
      </c>
      <c r="Y616" s="377">
        <f t="shared" si="245"/>
        <v>0</v>
      </c>
      <c r="Z616" s="377">
        <f t="shared" si="246"/>
        <v>0</v>
      </c>
      <c r="AA616" s="377">
        <f t="shared" si="247"/>
        <v>0</v>
      </c>
      <c r="AB616" s="377">
        <f t="shared" si="248"/>
        <v>0</v>
      </c>
      <c r="AC616" s="377">
        <f t="shared" si="249"/>
        <v>0</v>
      </c>
      <c r="AD616" s="376"/>
      <c r="AE616" s="332">
        <v>601</v>
      </c>
      <c r="AF616" s="350">
        <v>140429997.72411883</v>
      </c>
      <c r="AG616" s="350">
        <v>141581804.63185471</v>
      </c>
      <c r="AH616" s="350">
        <v>142685349.14806008</v>
      </c>
      <c r="AI616" s="350">
        <v>143791515.98918393</v>
      </c>
      <c r="AJ616" s="350">
        <v>144903741.24622971</v>
      </c>
      <c r="AK616" s="348">
        <v>713392408.73944736</v>
      </c>
      <c r="AL616" s="369"/>
      <c r="AM616" s="350">
        <v>175092124.21640372</v>
      </c>
      <c r="AN616" s="350">
        <v>211593412.68800208</v>
      </c>
      <c r="AO616" s="350">
        <v>248581150.00786722</v>
      </c>
      <c r="AP616" s="350">
        <v>286120729.08334094</v>
      </c>
      <c r="AQ616" s="350">
        <v>324221786.55248123</v>
      </c>
      <c r="AR616" s="348">
        <v>1245609202.5480952</v>
      </c>
      <c r="AS616" s="369"/>
      <c r="AT616" s="350">
        <f t="shared" si="267"/>
        <v>34662126.492284894</v>
      </c>
      <c r="AU616" s="350">
        <f t="shared" si="250"/>
        <v>70011608.056147367</v>
      </c>
      <c r="AV616" s="350">
        <f t="shared" si="251"/>
        <v>105895800.85980713</v>
      </c>
      <c r="AW616" s="350">
        <f t="shared" si="252"/>
        <v>142329213.09415701</v>
      </c>
      <c r="AX616" s="350">
        <f t="shared" si="253"/>
        <v>179318045.30625153</v>
      </c>
      <c r="AY616" s="350">
        <f t="shared" si="254"/>
        <v>532216793.80864787</v>
      </c>
      <c r="AZ616" s="365"/>
      <c r="BA616" s="377">
        <f t="shared" si="255"/>
        <v>0</v>
      </c>
      <c r="BB616" s="377">
        <f t="shared" si="256"/>
        <v>0</v>
      </c>
      <c r="BC616" s="377">
        <f t="shared" si="257"/>
        <v>0</v>
      </c>
      <c r="BD616" s="377">
        <f t="shared" si="258"/>
        <v>0</v>
      </c>
      <c r="BE616" s="377">
        <f t="shared" si="259"/>
        <v>0</v>
      </c>
      <c r="BF616" s="377">
        <f t="shared" si="260"/>
        <v>0</v>
      </c>
      <c r="BG616" s="328"/>
    </row>
    <row r="617" spans="2:59">
      <c r="B617" s="332">
        <v>602</v>
      </c>
      <c r="C617" s="350">
        <v>132313133.19132239</v>
      </c>
      <c r="D617" s="350">
        <v>133398365.57232216</v>
      </c>
      <c r="E617" s="350">
        <v>134438125.13168702</v>
      </c>
      <c r="F617" s="350">
        <v>135480355.44539088</v>
      </c>
      <c r="G617" s="350">
        <v>136528293.99811631</v>
      </c>
      <c r="H617" s="348">
        <v>672158273.33883882</v>
      </c>
      <c r="I617" s="369"/>
      <c r="J617" s="350">
        <v>166745662.34060723</v>
      </c>
      <c r="K617" s="350">
        <v>202952009.42712215</v>
      </c>
      <c r="L617" s="350">
        <v>239644143.23197928</v>
      </c>
      <c r="M617" s="350">
        <v>276884419.74306297</v>
      </c>
      <c r="N617" s="350">
        <v>314682236.80330157</v>
      </c>
      <c r="O617" s="348">
        <v>1200908471.5460732</v>
      </c>
      <c r="P617" s="369"/>
      <c r="Q617" s="350">
        <f t="shared" si="261"/>
        <v>34432529.14928484</v>
      </c>
      <c r="R617" s="350">
        <f t="shared" si="262"/>
        <v>69553643.854799986</v>
      </c>
      <c r="S617" s="350">
        <f t="shared" si="263"/>
        <v>105206018.10029227</v>
      </c>
      <c r="T617" s="350">
        <f t="shared" si="264"/>
        <v>141404064.29767209</v>
      </c>
      <c r="U617" s="350">
        <f t="shared" si="265"/>
        <v>178153942.80518526</v>
      </c>
      <c r="V617" s="350">
        <f t="shared" si="266"/>
        <v>528750198.20723438</v>
      </c>
      <c r="W617" s="365"/>
      <c r="X617" s="377">
        <f t="shared" si="244"/>
        <v>0</v>
      </c>
      <c r="Y617" s="377">
        <f t="shared" si="245"/>
        <v>0</v>
      </c>
      <c r="Z617" s="377">
        <f t="shared" si="246"/>
        <v>0</v>
      </c>
      <c r="AA617" s="377">
        <f t="shared" si="247"/>
        <v>0</v>
      </c>
      <c r="AB617" s="377">
        <f t="shared" si="248"/>
        <v>0</v>
      </c>
      <c r="AC617" s="377">
        <f t="shared" si="249"/>
        <v>0</v>
      </c>
      <c r="AD617" s="376"/>
      <c r="AE617" s="332">
        <v>602</v>
      </c>
      <c r="AF617" s="350">
        <v>125845907.99723043</v>
      </c>
      <c r="AG617" s="350">
        <v>126878096.1941302</v>
      </c>
      <c r="AH617" s="350">
        <v>127867034.19817446</v>
      </c>
      <c r="AI617" s="350">
        <v>128858322.1905814</v>
      </c>
      <c r="AJ617" s="350">
        <v>129855039.41367328</v>
      </c>
      <c r="AK617" s="348">
        <v>639304399.99378967</v>
      </c>
      <c r="AL617" s="369"/>
      <c r="AM617" s="350">
        <v>162394455.47421053</v>
      </c>
      <c r="AN617" s="350">
        <v>200686719.77411509</v>
      </c>
      <c r="AO617" s="350">
        <v>239499339.46453628</v>
      </c>
      <c r="AP617" s="350">
        <v>278893211.76319313</v>
      </c>
      <c r="AQ617" s="350">
        <v>318877951.89242947</v>
      </c>
      <c r="AR617" s="348">
        <v>1200351678.3684845</v>
      </c>
      <c r="AS617" s="369"/>
      <c r="AT617" s="350">
        <f t="shared" si="267"/>
        <v>36548547.476980105</v>
      </c>
      <c r="AU617" s="350">
        <f t="shared" si="250"/>
        <v>73808623.579984888</v>
      </c>
      <c r="AV617" s="350">
        <f t="shared" si="251"/>
        <v>111632305.26636182</v>
      </c>
      <c r="AW617" s="350">
        <f t="shared" si="252"/>
        <v>150034889.57261175</v>
      </c>
      <c r="AX617" s="350">
        <f t="shared" si="253"/>
        <v>189022912.47875619</v>
      </c>
      <c r="AY617" s="350">
        <f t="shared" si="254"/>
        <v>561047278.37469482</v>
      </c>
      <c r="AZ617" s="365"/>
      <c r="BA617" s="377">
        <f t="shared" si="255"/>
        <v>0</v>
      </c>
      <c r="BB617" s="377">
        <f t="shared" si="256"/>
        <v>0</v>
      </c>
      <c r="BC617" s="377">
        <f t="shared" si="257"/>
        <v>0</v>
      </c>
      <c r="BD617" s="377">
        <f t="shared" si="258"/>
        <v>0</v>
      </c>
      <c r="BE617" s="377">
        <f t="shared" si="259"/>
        <v>0</v>
      </c>
      <c r="BF617" s="377">
        <f t="shared" si="260"/>
        <v>0</v>
      </c>
      <c r="BG617" s="328"/>
    </row>
    <row r="618" spans="2:59">
      <c r="B618" s="332">
        <v>603</v>
      </c>
      <c r="C618" s="350">
        <v>131927138.79025172</v>
      </c>
      <c r="D618" s="350">
        <v>133009205.24499136</v>
      </c>
      <c r="E618" s="350">
        <v>134045931.53502995</v>
      </c>
      <c r="F618" s="350">
        <v>135085121.37152636</v>
      </c>
      <c r="G618" s="350">
        <v>136130002.79451522</v>
      </c>
      <c r="H618" s="348">
        <v>670197399.73631465</v>
      </c>
      <c r="I618" s="369"/>
      <c r="J618" s="350">
        <v>165084893.00499094</v>
      </c>
      <c r="K618" s="350">
        <v>199993569.85681558</v>
      </c>
      <c r="L618" s="350">
        <v>235368587.4290641</v>
      </c>
      <c r="M618" s="350">
        <v>271271628.58295894</v>
      </c>
      <c r="N618" s="350">
        <v>307711854.52530712</v>
      </c>
      <c r="O618" s="348">
        <v>1179430533.3991368</v>
      </c>
      <c r="P618" s="369"/>
      <c r="Q618" s="350">
        <f t="shared" si="261"/>
        <v>33157754.214739218</v>
      </c>
      <c r="R618" s="350">
        <f t="shared" si="262"/>
        <v>66984364.611824214</v>
      </c>
      <c r="S618" s="350">
        <f t="shared" si="263"/>
        <v>101322655.89403415</v>
      </c>
      <c r="T618" s="350">
        <f t="shared" si="264"/>
        <v>136186507.21143258</v>
      </c>
      <c r="U618" s="350">
        <f t="shared" si="265"/>
        <v>171581851.7307919</v>
      </c>
      <c r="V618" s="350">
        <f t="shared" si="266"/>
        <v>509233133.66282213</v>
      </c>
      <c r="W618" s="365"/>
      <c r="X618" s="377">
        <f t="shared" si="244"/>
        <v>0</v>
      </c>
      <c r="Y618" s="377">
        <f t="shared" si="245"/>
        <v>0</v>
      </c>
      <c r="Z618" s="377">
        <f t="shared" si="246"/>
        <v>0</v>
      </c>
      <c r="AA618" s="377">
        <f t="shared" si="247"/>
        <v>0</v>
      </c>
      <c r="AB618" s="377">
        <f t="shared" si="248"/>
        <v>0</v>
      </c>
      <c r="AC618" s="377">
        <f t="shared" si="249"/>
        <v>0</v>
      </c>
      <c r="AD618" s="376"/>
      <c r="AE618" s="332">
        <v>603</v>
      </c>
      <c r="AF618" s="350">
        <v>128173534.60383245</v>
      </c>
      <c r="AG618" s="350">
        <v>129224813.99526024</v>
      </c>
      <c r="AH618" s="350">
        <v>130232043.24490103</v>
      </c>
      <c r="AI618" s="350">
        <v>131241665.94792867</v>
      </c>
      <c r="AJ618" s="350">
        <v>132256818.29985903</v>
      </c>
      <c r="AK618" s="348">
        <v>651128876.09178138</v>
      </c>
      <c r="AL618" s="369"/>
      <c r="AM618" s="350">
        <v>160115325.48493457</v>
      </c>
      <c r="AN618" s="350">
        <v>193746417.29287133</v>
      </c>
      <c r="AO618" s="350">
        <v>227826277.14149258</v>
      </c>
      <c r="AP618" s="350">
        <v>262414718.44852665</v>
      </c>
      <c r="AQ618" s="350">
        <v>297520592.03217345</v>
      </c>
      <c r="AR618" s="348">
        <v>1141623330.3999987</v>
      </c>
      <c r="AS618" s="369"/>
      <c r="AT618" s="350">
        <f t="shared" si="267"/>
        <v>31941790.881102115</v>
      </c>
      <c r="AU618" s="350">
        <f t="shared" si="250"/>
        <v>64521603.297611088</v>
      </c>
      <c r="AV618" s="350">
        <f t="shared" si="251"/>
        <v>97594233.896591544</v>
      </c>
      <c r="AW618" s="350">
        <f t="shared" si="252"/>
        <v>131173052.50059798</v>
      </c>
      <c r="AX618" s="350">
        <f t="shared" si="253"/>
        <v>165263773.73231441</v>
      </c>
      <c r="AY618" s="350">
        <f t="shared" si="254"/>
        <v>490494454.30821729</v>
      </c>
      <c r="AZ618" s="365"/>
      <c r="BA618" s="377">
        <f t="shared" si="255"/>
        <v>0</v>
      </c>
      <c r="BB618" s="377">
        <f t="shared" si="256"/>
        <v>0</v>
      </c>
      <c r="BC618" s="377">
        <f t="shared" si="257"/>
        <v>0</v>
      </c>
      <c r="BD618" s="377">
        <f t="shared" si="258"/>
        <v>0</v>
      </c>
      <c r="BE618" s="377">
        <f t="shared" si="259"/>
        <v>0</v>
      </c>
      <c r="BF618" s="377">
        <f t="shared" si="260"/>
        <v>0</v>
      </c>
      <c r="BG618" s="328"/>
    </row>
    <row r="619" spans="2:59">
      <c r="B619" s="332">
        <v>604</v>
      </c>
      <c r="C619" s="350">
        <v>117606924.41556546</v>
      </c>
      <c r="D619" s="350">
        <v>118571536.46523263</v>
      </c>
      <c r="E619" s="350">
        <v>119495729.86130135</v>
      </c>
      <c r="F619" s="350">
        <v>120422119.39475864</v>
      </c>
      <c r="G619" s="350">
        <v>121353582.71355349</v>
      </c>
      <c r="H619" s="348">
        <v>597449892.85041165</v>
      </c>
      <c r="I619" s="369"/>
      <c r="J619" s="350">
        <v>147265252.1502167</v>
      </c>
      <c r="K619" s="350">
        <v>178468266.99028793</v>
      </c>
      <c r="L619" s="350">
        <v>210088258.34900093</v>
      </c>
      <c r="M619" s="350">
        <v>242180254.36909002</v>
      </c>
      <c r="N619" s="350">
        <v>274752436.90983367</v>
      </c>
      <c r="O619" s="348">
        <v>1052754468.7684293</v>
      </c>
      <c r="P619" s="369"/>
      <c r="Q619" s="350">
        <f t="shared" si="261"/>
        <v>29658327.734651238</v>
      </c>
      <c r="R619" s="350">
        <f t="shared" si="262"/>
        <v>59896730.525055304</v>
      </c>
      <c r="S619" s="350">
        <f t="shared" si="263"/>
        <v>90592528.487699583</v>
      </c>
      <c r="T619" s="350">
        <f t="shared" si="264"/>
        <v>121758134.97433138</v>
      </c>
      <c r="U619" s="350">
        <f t="shared" si="265"/>
        <v>153398854.19628018</v>
      </c>
      <c r="V619" s="350">
        <f t="shared" si="266"/>
        <v>455304575.91801763</v>
      </c>
      <c r="W619" s="365"/>
      <c r="X619" s="377">
        <f t="shared" si="244"/>
        <v>0</v>
      </c>
      <c r="Y619" s="377">
        <f t="shared" si="245"/>
        <v>0</v>
      </c>
      <c r="Z619" s="377">
        <f t="shared" si="246"/>
        <v>0</v>
      </c>
      <c r="AA619" s="377">
        <f t="shared" si="247"/>
        <v>0</v>
      </c>
      <c r="AB619" s="377">
        <f t="shared" si="248"/>
        <v>0</v>
      </c>
      <c r="AC619" s="377">
        <f t="shared" si="249"/>
        <v>0</v>
      </c>
      <c r="AD619" s="376"/>
      <c r="AE619" s="332">
        <v>604</v>
      </c>
      <c r="AF619" s="350">
        <v>122195627.37941971</v>
      </c>
      <c r="AG619" s="350">
        <v>123197875.97296616</v>
      </c>
      <c r="AH619" s="350">
        <v>124158128.88676134</v>
      </c>
      <c r="AI619" s="350">
        <v>125120663.62526488</v>
      </c>
      <c r="AJ619" s="350">
        <v>126088470.11443783</v>
      </c>
      <c r="AK619" s="348">
        <v>620760765.97884989</v>
      </c>
      <c r="AL619" s="369"/>
      <c r="AM619" s="350">
        <v>153844701.12621239</v>
      </c>
      <c r="AN619" s="350">
        <v>187134454.22978875</v>
      </c>
      <c r="AO619" s="350">
        <v>220870611.13588282</v>
      </c>
      <c r="AP619" s="350">
        <v>255110696.99700189</v>
      </c>
      <c r="AQ619" s="350">
        <v>289863364.94747543</v>
      </c>
      <c r="AR619" s="348">
        <v>1106823828.4363613</v>
      </c>
      <c r="AS619" s="369"/>
      <c r="AT619" s="350">
        <f t="shared" si="267"/>
        <v>31649073.746792674</v>
      </c>
      <c r="AU619" s="350">
        <f t="shared" si="250"/>
        <v>63936578.256822586</v>
      </c>
      <c r="AV619" s="350">
        <f t="shared" si="251"/>
        <v>96712482.249121487</v>
      </c>
      <c r="AW619" s="350">
        <f t="shared" si="252"/>
        <v>129990033.371737</v>
      </c>
      <c r="AX619" s="350">
        <f t="shared" si="253"/>
        <v>163774894.83303761</v>
      </c>
      <c r="AY619" s="350">
        <f t="shared" si="254"/>
        <v>486063062.45751143</v>
      </c>
      <c r="AZ619" s="365"/>
      <c r="BA619" s="377">
        <f t="shared" si="255"/>
        <v>0</v>
      </c>
      <c r="BB619" s="377">
        <f t="shared" si="256"/>
        <v>0</v>
      </c>
      <c r="BC619" s="377">
        <f t="shared" si="257"/>
        <v>0</v>
      </c>
      <c r="BD619" s="377">
        <f t="shared" si="258"/>
        <v>0</v>
      </c>
      <c r="BE619" s="377">
        <f t="shared" si="259"/>
        <v>0</v>
      </c>
      <c r="BF619" s="377">
        <f t="shared" si="260"/>
        <v>0</v>
      </c>
      <c r="BG619" s="328"/>
    </row>
    <row r="620" spans="2:59">
      <c r="B620" s="332">
        <v>605</v>
      </c>
      <c r="C620" s="350">
        <v>136089089.65087658</v>
      </c>
      <c r="D620" s="350">
        <v>137205292.42854315</v>
      </c>
      <c r="E620" s="350">
        <v>138274724.67972526</v>
      </c>
      <c r="F620" s="350">
        <v>139346698.19571337</v>
      </c>
      <c r="G620" s="350">
        <v>140424542.85263222</v>
      </c>
      <c r="H620" s="348">
        <v>691340347.80749059</v>
      </c>
      <c r="I620" s="369"/>
      <c r="J620" s="350">
        <v>175672758.37113833</v>
      </c>
      <c r="K620" s="350">
        <v>217140578.71311611</v>
      </c>
      <c r="L620" s="350">
        <v>259171996.33678183</v>
      </c>
      <c r="M620" s="350">
        <v>301832890.24196202</v>
      </c>
      <c r="N620" s="350">
        <v>345133668.64861196</v>
      </c>
      <c r="O620" s="348">
        <v>1298951892.3116102</v>
      </c>
      <c r="P620" s="369"/>
      <c r="Q620" s="350">
        <f t="shared" si="261"/>
        <v>39583668.720261753</v>
      </c>
      <c r="R620" s="350">
        <f t="shared" si="262"/>
        <v>79935286.284572959</v>
      </c>
      <c r="S620" s="350">
        <f t="shared" si="263"/>
        <v>120897271.65705657</v>
      </c>
      <c r="T620" s="350">
        <f t="shared" si="264"/>
        <v>162486192.04624864</v>
      </c>
      <c r="U620" s="350">
        <f t="shared" si="265"/>
        <v>204709125.79597974</v>
      </c>
      <c r="V620" s="350">
        <f t="shared" si="266"/>
        <v>607611544.50411963</v>
      </c>
      <c r="W620" s="365"/>
      <c r="X620" s="377">
        <f t="shared" si="244"/>
        <v>0</v>
      </c>
      <c r="Y620" s="377">
        <f t="shared" si="245"/>
        <v>0</v>
      </c>
      <c r="Z620" s="377">
        <f t="shared" si="246"/>
        <v>0</v>
      </c>
      <c r="AA620" s="377">
        <f t="shared" si="247"/>
        <v>0</v>
      </c>
      <c r="AB620" s="377">
        <f t="shared" si="248"/>
        <v>0</v>
      </c>
      <c r="AC620" s="377">
        <f t="shared" si="249"/>
        <v>0</v>
      </c>
      <c r="AD620" s="376"/>
      <c r="AE620" s="332">
        <v>605</v>
      </c>
      <c r="AF620" s="350">
        <v>146789005.97195292</v>
      </c>
      <c r="AG620" s="350">
        <v>147992969.46834436</v>
      </c>
      <c r="AH620" s="350">
        <v>149146485.13597134</v>
      </c>
      <c r="AI620" s="350">
        <v>150302741.87369972</v>
      </c>
      <c r="AJ620" s="350">
        <v>151465331.36700293</v>
      </c>
      <c r="AK620" s="348">
        <v>745696533.8169713</v>
      </c>
      <c r="AL620" s="369"/>
      <c r="AM620" s="350">
        <v>183810688.13305092</v>
      </c>
      <c r="AN620" s="350">
        <v>222755502.6031042</v>
      </c>
      <c r="AO620" s="350">
        <v>262220746.4267101</v>
      </c>
      <c r="AP620" s="350">
        <v>302275103.47784001</v>
      </c>
      <c r="AQ620" s="350">
        <v>342928785.79293334</v>
      </c>
      <c r="AR620" s="348">
        <v>1313990826.4336386</v>
      </c>
      <c r="AS620" s="369"/>
      <c r="AT620" s="350">
        <f t="shared" si="267"/>
        <v>37021682.161098003</v>
      </c>
      <c r="AU620" s="350">
        <f t="shared" si="250"/>
        <v>74762533.134759843</v>
      </c>
      <c r="AV620" s="350">
        <f t="shared" si="251"/>
        <v>113074261.29073876</v>
      </c>
      <c r="AW620" s="350">
        <f t="shared" si="252"/>
        <v>151972361.60414028</v>
      </c>
      <c r="AX620" s="350">
        <f t="shared" si="253"/>
        <v>191463454.42593041</v>
      </c>
      <c r="AY620" s="350">
        <f t="shared" si="254"/>
        <v>568294292.61666727</v>
      </c>
      <c r="AZ620" s="365"/>
      <c r="BA620" s="377">
        <f t="shared" si="255"/>
        <v>0</v>
      </c>
      <c r="BB620" s="377">
        <f t="shared" si="256"/>
        <v>0</v>
      </c>
      <c r="BC620" s="377">
        <f t="shared" si="257"/>
        <v>0</v>
      </c>
      <c r="BD620" s="377">
        <f t="shared" si="258"/>
        <v>0</v>
      </c>
      <c r="BE620" s="377">
        <f t="shared" si="259"/>
        <v>0</v>
      </c>
      <c r="BF620" s="377">
        <f t="shared" si="260"/>
        <v>0</v>
      </c>
      <c r="BG620" s="328"/>
    </row>
    <row r="621" spans="2:59">
      <c r="B621" s="332">
        <v>606</v>
      </c>
      <c r="C621" s="350">
        <v>126777570.44109823</v>
      </c>
      <c r="D621" s="350">
        <v>127817400.13380317</v>
      </c>
      <c r="E621" s="350">
        <v>128813659.44381872</v>
      </c>
      <c r="F621" s="350">
        <v>129812286.13963115</v>
      </c>
      <c r="G621" s="350">
        <v>130816382.25980985</v>
      </c>
      <c r="H621" s="348">
        <v>644037298.41816115</v>
      </c>
      <c r="I621" s="369"/>
      <c r="J621" s="350">
        <v>159018118.41774273</v>
      </c>
      <c r="K621" s="350">
        <v>192910819.15653849</v>
      </c>
      <c r="L621" s="350">
        <v>227256883.47432864</v>
      </c>
      <c r="M621" s="350">
        <v>262115742.25290033</v>
      </c>
      <c r="N621" s="350">
        <v>297496260.76979893</v>
      </c>
      <c r="O621" s="348">
        <v>1138797824.0713091</v>
      </c>
      <c r="P621" s="369"/>
      <c r="Q621" s="350">
        <f t="shared" si="261"/>
        <v>32240547.976644501</v>
      </c>
      <c r="R621" s="350">
        <f t="shared" si="262"/>
        <v>65093419.022735313</v>
      </c>
      <c r="S621" s="350">
        <f t="shared" si="263"/>
        <v>98443224.030509919</v>
      </c>
      <c r="T621" s="350">
        <f t="shared" si="264"/>
        <v>132303456.11326918</v>
      </c>
      <c r="U621" s="350">
        <f t="shared" si="265"/>
        <v>166679878.50998908</v>
      </c>
      <c r="V621" s="350">
        <f t="shared" si="266"/>
        <v>494760525.65314794</v>
      </c>
      <c r="W621" s="365"/>
      <c r="X621" s="377">
        <f t="shared" si="244"/>
        <v>0</v>
      </c>
      <c r="Y621" s="377">
        <f t="shared" si="245"/>
        <v>0</v>
      </c>
      <c r="Z621" s="377">
        <f t="shared" si="246"/>
        <v>0</v>
      </c>
      <c r="AA621" s="377">
        <f t="shared" si="247"/>
        <v>0</v>
      </c>
      <c r="AB621" s="377">
        <f t="shared" si="248"/>
        <v>0</v>
      </c>
      <c r="AC621" s="377">
        <f t="shared" si="249"/>
        <v>0</v>
      </c>
      <c r="AD621" s="376"/>
      <c r="AE621" s="332">
        <v>606</v>
      </c>
      <c r="AF621" s="350">
        <v>121635176.57661457</v>
      </c>
      <c r="AG621" s="350">
        <v>122632828.35241142</v>
      </c>
      <c r="AH621" s="350">
        <v>123588677.06183386</v>
      </c>
      <c r="AI621" s="350">
        <v>124546797.13036525</v>
      </c>
      <c r="AJ621" s="350">
        <v>125510164.77065748</v>
      </c>
      <c r="AK621" s="348">
        <v>617913643.89188266</v>
      </c>
      <c r="AL621" s="369"/>
      <c r="AM621" s="350">
        <v>151153512.8877877</v>
      </c>
      <c r="AN621" s="350">
        <v>182271036.1134032</v>
      </c>
      <c r="AO621" s="350">
        <v>213802369.69556212</v>
      </c>
      <c r="AP621" s="350">
        <v>245803944.16331699</v>
      </c>
      <c r="AQ621" s="350">
        <v>278284018.59768629</v>
      </c>
      <c r="AR621" s="348">
        <v>1071314881.4577563</v>
      </c>
      <c r="AS621" s="369"/>
      <c r="AT621" s="350">
        <f t="shared" si="267"/>
        <v>29518336.311173126</v>
      </c>
      <c r="AU621" s="350">
        <f t="shared" si="250"/>
        <v>59638207.760991782</v>
      </c>
      <c r="AV621" s="350">
        <f t="shared" si="251"/>
        <v>90213692.633728266</v>
      </c>
      <c r="AW621" s="350">
        <f t="shared" si="252"/>
        <v>121257147.03295174</v>
      </c>
      <c r="AX621" s="350">
        <f t="shared" si="253"/>
        <v>152773853.82702881</v>
      </c>
      <c r="AY621" s="350">
        <f t="shared" si="254"/>
        <v>453401237.56587362</v>
      </c>
      <c r="AZ621" s="365"/>
      <c r="BA621" s="377">
        <f t="shared" si="255"/>
        <v>0</v>
      </c>
      <c r="BB621" s="377">
        <f t="shared" si="256"/>
        <v>0</v>
      </c>
      <c r="BC621" s="377">
        <f t="shared" si="257"/>
        <v>0</v>
      </c>
      <c r="BD621" s="377">
        <f t="shared" si="258"/>
        <v>0</v>
      </c>
      <c r="BE621" s="377">
        <f t="shared" si="259"/>
        <v>0</v>
      </c>
      <c r="BF621" s="377">
        <f t="shared" si="260"/>
        <v>0</v>
      </c>
      <c r="BG621" s="328"/>
    </row>
    <row r="622" spans="2:59">
      <c r="B622" s="332">
        <v>607</v>
      </c>
      <c r="C622" s="350">
        <v>145574281.24410072</v>
      </c>
      <c r="D622" s="350">
        <v>146768281.5677</v>
      </c>
      <c r="E622" s="350">
        <v>147912251.53402489</v>
      </c>
      <c r="F622" s="350">
        <v>149058939.88724276</v>
      </c>
      <c r="G622" s="350">
        <v>150211908.59051123</v>
      </c>
      <c r="H622" s="348">
        <v>739525662.82357955</v>
      </c>
      <c r="I622" s="369"/>
      <c r="J622" s="350">
        <v>185760580.63130119</v>
      </c>
      <c r="K622" s="350">
        <v>227928504.34602711</v>
      </c>
      <c r="L622" s="350">
        <v>270666182.34506577</v>
      </c>
      <c r="M622" s="350">
        <v>314043183.24764132</v>
      </c>
      <c r="N622" s="350">
        <v>358070256.34169239</v>
      </c>
      <c r="O622" s="348">
        <v>1356468706.9117279</v>
      </c>
      <c r="P622" s="369"/>
      <c r="Q622" s="350">
        <f t="shared" si="261"/>
        <v>40186299.387200475</v>
      </c>
      <c r="R622" s="350">
        <f t="shared" si="262"/>
        <v>81160222.778327107</v>
      </c>
      <c r="S622" s="350">
        <f t="shared" si="263"/>
        <v>122753930.81104088</v>
      </c>
      <c r="T622" s="350">
        <f t="shared" si="264"/>
        <v>164984243.36039856</v>
      </c>
      <c r="U622" s="350">
        <f t="shared" si="265"/>
        <v>207858347.75118116</v>
      </c>
      <c r="V622" s="350">
        <f t="shared" si="266"/>
        <v>616943044.08814836</v>
      </c>
      <c r="W622" s="365"/>
      <c r="X622" s="377">
        <f t="shared" si="244"/>
        <v>0</v>
      </c>
      <c r="Y622" s="377">
        <f t="shared" si="245"/>
        <v>0</v>
      </c>
      <c r="Z622" s="377">
        <f t="shared" si="246"/>
        <v>0</v>
      </c>
      <c r="AA622" s="377">
        <f t="shared" si="247"/>
        <v>0</v>
      </c>
      <c r="AB622" s="377">
        <f t="shared" si="248"/>
        <v>0</v>
      </c>
      <c r="AC622" s="377">
        <f t="shared" si="249"/>
        <v>0</v>
      </c>
      <c r="AD622" s="376"/>
      <c r="AE622" s="332">
        <v>607</v>
      </c>
      <c r="AF622" s="350">
        <v>132670941.27814496</v>
      </c>
      <c r="AG622" s="350">
        <v>133759108.40124202</v>
      </c>
      <c r="AH622" s="350">
        <v>134801679.73272443</v>
      </c>
      <c r="AI622" s="350">
        <v>135846728.50008881</v>
      </c>
      <c r="AJ622" s="350">
        <v>136897500.94299287</v>
      </c>
      <c r="AK622" s="348">
        <v>673975958.85519314</v>
      </c>
      <c r="AL622" s="369"/>
      <c r="AM622" s="350">
        <v>166909279.63470861</v>
      </c>
      <c r="AN622" s="350">
        <v>202916079.16152635</v>
      </c>
      <c r="AO622" s="350">
        <v>239405477.55037522</v>
      </c>
      <c r="AP622" s="350">
        <v>276439878.91335535</v>
      </c>
      <c r="AQ622" s="350">
        <v>314028654.43264616</v>
      </c>
      <c r="AR622" s="348">
        <v>1199699369.6926117</v>
      </c>
      <c r="AS622" s="369"/>
      <c r="AT622" s="350">
        <f t="shared" si="267"/>
        <v>34238338.356563658</v>
      </c>
      <c r="AU622" s="350">
        <f t="shared" si="250"/>
        <v>69156970.760284334</v>
      </c>
      <c r="AV622" s="350">
        <f t="shared" si="251"/>
        <v>104603797.81765079</v>
      </c>
      <c r="AW622" s="350">
        <f t="shared" si="252"/>
        <v>140593150.41326654</v>
      </c>
      <c r="AX622" s="350">
        <f t="shared" si="253"/>
        <v>177131153.48965329</v>
      </c>
      <c r="AY622" s="350">
        <f t="shared" si="254"/>
        <v>525723410.83741856</v>
      </c>
      <c r="AZ622" s="365"/>
      <c r="BA622" s="377">
        <f t="shared" si="255"/>
        <v>0</v>
      </c>
      <c r="BB622" s="377">
        <f t="shared" si="256"/>
        <v>0</v>
      </c>
      <c r="BC622" s="377">
        <f t="shared" si="257"/>
        <v>0</v>
      </c>
      <c r="BD622" s="377">
        <f t="shared" si="258"/>
        <v>0</v>
      </c>
      <c r="BE622" s="377">
        <f t="shared" si="259"/>
        <v>0</v>
      </c>
      <c r="BF622" s="377">
        <f t="shared" si="260"/>
        <v>0</v>
      </c>
      <c r="BG622" s="328"/>
    </row>
    <row r="623" spans="2:59">
      <c r="B623" s="332">
        <v>608</v>
      </c>
      <c r="C623" s="350">
        <v>132674418.3759474</v>
      </c>
      <c r="D623" s="350">
        <v>133762614.01820233</v>
      </c>
      <c r="E623" s="350">
        <v>134805212.67384818</v>
      </c>
      <c r="F623" s="350">
        <v>135850288.83030573</v>
      </c>
      <c r="G623" s="350">
        <v>136901088.81231159</v>
      </c>
      <c r="H623" s="348">
        <v>673993622.71061516</v>
      </c>
      <c r="I623" s="369"/>
      <c r="J623" s="350">
        <v>166230238.02809167</v>
      </c>
      <c r="K623" s="350">
        <v>201543507.12737107</v>
      </c>
      <c r="L623" s="350">
        <v>237328883.98035416</v>
      </c>
      <c r="M623" s="350">
        <v>273648488.42240536</v>
      </c>
      <c r="N623" s="350">
        <v>310511570.00889772</v>
      </c>
      <c r="O623" s="348">
        <v>1189262687.5671201</v>
      </c>
      <c r="P623" s="369"/>
      <c r="Q623" s="350">
        <f t="shared" si="261"/>
        <v>33555819.652144268</v>
      </c>
      <c r="R623" s="350">
        <f t="shared" si="262"/>
        <v>67780893.109168738</v>
      </c>
      <c r="S623" s="350">
        <f t="shared" si="263"/>
        <v>102523671.30650598</v>
      </c>
      <c r="T623" s="350">
        <f t="shared" si="264"/>
        <v>137798199.59209964</v>
      </c>
      <c r="U623" s="350">
        <f t="shared" si="265"/>
        <v>173610481.19658613</v>
      </c>
      <c r="V623" s="350">
        <f t="shared" si="266"/>
        <v>515269064.85650492</v>
      </c>
      <c r="W623" s="365"/>
      <c r="X623" s="377">
        <f t="shared" si="244"/>
        <v>0</v>
      </c>
      <c r="Y623" s="377">
        <f t="shared" si="245"/>
        <v>0</v>
      </c>
      <c r="Z623" s="377">
        <f t="shared" si="246"/>
        <v>0</v>
      </c>
      <c r="AA623" s="377">
        <f t="shared" si="247"/>
        <v>0</v>
      </c>
      <c r="AB623" s="377">
        <f t="shared" si="248"/>
        <v>0</v>
      </c>
      <c r="AC623" s="377">
        <f t="shared" si="249"/>
        <v>0</v>
      </c>
      <c r="AD623" s="376"/>
      <c r="AE623" s="332">
        <v>608</v>
      </c>
      <c r="AF623" s="350">
        <v>130025209.45149778</v>
      </c>
      <c r="AG623" s="350">
        <v>131091676.28090167</v>
      </c>
      <c r="AH623" s="350">
        <v>132113456.5926877</v>
      </c>
      <c r="AI623" s="350">
        <v>133137664.93518148</v>
      </c>
      <c r="AJ623" s="350">
        <v>134167482.81133592</v>
      </c>
      <c r="AK623" s="348">
        <v>660535490.07160461</v>
      </c>
      <c r="AL623" s="369"/>
      <c r="AM623" s="350">
        <v>168058232.70694411</v>
      </c>
      <c r="AN623" s="350">
        <v>207901322.23641503</v>
      </c>
      <c r="AO623" s="350">
        <v>248286271.97581992</v>
      </c>
      <c r="AP623" s="350">
        <v>289276114.99897486</v>
      </c>
      <c r="AQ623" s="350">
        <v>330880834.74181634</v>
      </c>
      <c r="AR623" s="348">
        <v>1244402776.6599703</v>
      </c>
      <c r="AS623" s="369"/>
      <c r="AT623" s="350">
        <f t="shared" si="267"/>
        <v>38033023.25544633</v>
      </c>
      <c r="AU623" s="350">
        <f t="shared" si="250"/>
        <v>76809645.955513358</v>
      </c>
      <c r="AV623" s="350">
        <f t="shared" si="251"/>
        <v>116172815.38313222</v>
      </c>
      <c r="AW623" s="350">
        <f t="shared" si="252"/>
        <v>156138450.06379336</v>
      </c>
      <c r="AX623" s="350">
        <f t="shared" si="253"/>
        <v>196713351.93048042</v>
      </c>
      <c r="AY623" s="350">
        <f t="shared" si="254"/>
        <v>583867286.58836567</v>
      </c>
      <c r="AZ623" s="365"/>
      <c r="BA623" s="377">
        <f t="shared" si="255"/>
        <v>0</v>
      </c>
      <c r="BB623" s="377">
        <f t="shared" si="256"/>
        <v>0</v>
      </c>
      <c r="BC623" s="377">
        <f t="shared" si="257"/>
        <v>0</v>
      </c>
      <c r="BD623" s="377">
        <f t="shared" si="258"/>
        <v>0</v>
      </c>
      <c r="BE623" s="377">
        <f t="shared" si="259"/>
        <v>0</v>
      </c>
      <c r="BF623" s="377">
        <f t="shared" si="260"/>
        <v>0</v>
      </c>
      <c r="BG623" s="328"/>
    </row>
    <row r="624" spans="2:59">
      <c r="B624" s="332">
        <v>609</v>
      </c>
      <c r="C624" s="350">
        <v>129921293.19717509</v>
      </c>
      <c r="D624" s="350">
        <v>130986907.70541188</v>
      </c>
      <c r="E624" s="350">
        <v>132007871.40953241</v>
      </c>
      <c r="F624" s="350">
        <v>133031261.20387658</v>
      </c>
      <c r="G624" s="350">
        <v>134060256.04873751</v>
      </c>
      <c r="H624" s="348">
        <v>660007589.56473351</v>
      </c>
      <c r="I624" s="369"/>
      <c r="J624" s="350">
        <v>168401103.02244097</v>
      </c>
      <c r="K624" s="350">
        <v>208691452.76792508</v>
      </c>
      <c r="L624" s="350">
        <v>249530473.293589</v>
      </c>
      <c r="M624" s="350">
        <v>290981346.60777563</v>
      </c>
      <c r="N624" s="350">
        <v>333054132.37735265</v>
      </c>
      <c r="O624" s="348">
        <v>1250658508.0690835</v>
      </c>
      <c r="P624" s="369"/>
      <c r="Q624" s="350">
        <f t="shared" si="261"/>
        <v>38479809.825265884</v>
      </c>
      <c r="R624" s="350">
        <f t="shared" si="262"/>
        <v>77704545.062513202</v>
      </c>
      <c r="S624" s="350">
        <f t="shared" si="263"/>
        <v>117522601.88405658</v>
      </c>
      <c r="T624" s="350">
        <f t="shared" si="264"/>
        <v>157950085.40389904</v>
      </c>
      <c r="U624" s="350">
        <f t="shared" si="265"/>
        <v>198993876.32861513</v>
      </c>
      <c r="V624" s="350">
        <f t="shared" si="266"/>
        <v>590650918.50434995</v>
      </c>
      <c r="W624" s="365"/>
      <c r="X624" s="377">
        <f t="shared" si="244"/>
        <v>0</v>
      </c>
      <c r="Y624" s="377">
        <f t="shared" si="245"/>
        <v>0</v>
      </c>
      <c r="Z624" s="377">
        <f t="shared" si="246"/>
        <v>0</v>
      </c>
      <c r="AA624" s="377">
        <f t="shared" si="247"/>
        <v>0</v>
      </c>
      <c r="AB624" s="377">
        <f t="shared" si="248"/>
        <v>0</v>
      </c>
      <c r="AC624" s="377">
        <f t="shared" si="249"/>
        <v>0</v>
      </c>
      <c r="AD624" s="376"/>
      <c r="AE624" s="332">
        <v>609</v>
      </c>
      <c r="AF624" s="350">
        <v>138532475.11818552</v>
      </c>
      <c r="AG624" s="350">
        <v>139668718.54461026</v>
      </c>
      <c r="AH624" s="350">
        <v>140757351.71210033</v>
      </c>
      <c r="AI624" s="350">
        <v>141848571.7710481</v>
      </c>
      <c r="AJ624" s="350">
        <v>142945768.38320076</v>
      </c>
      <c r="AK624" s="348">
        <v>703752885.529145</v>
      </c>
      <c r="AL624" s="369"/>
      <c r="AM624" s="350">
        <v>179444601.12573865</v>
      </c>
      <c r="AN624" s="350">
        <v>222297603.29358619</v>
      </c>
      <c r="AO624" s="350">
        <v>265734017.49573037</v>
      </c>
      <c r="AP624" s="350">
        <v>309821164.70517421</v>
      </c>
      <c r="AQ624" s="350">
        <v>354569752.1474368</v>
      </c>
      <c r="AR624" s="348">
        <v>1331867138.7676663</v>
      </c>
      <c r="AS624" s="369"/>
      <c r="AT624" s="350">
        <f t="shared" si="267"/>
        <v>40912126.00755313</v>
      </c>
      <c r="AU624" s="350">
        <f t="shared" si="250"/>
        <v>82628884.748975933</v>
      </c>
      <c r="AV624" s="350">
        <f t="shared" si="251"/>
        <v>124976665.78363004</v>
      </c>
      <c r="AW624" s="350">
        <f t="shared" si="252"/>
        <v>167972592.93412611</v>
      </c>
      <c r="AX624" s="350">
        <f t="shared" si="253"/>
        <v>211623983.76423603</v>
      </c>
      <c r="AY624" s="350">
        <f t="shared" si="254"/>
        <v>628114253.23852134</v>
      </c>
      <c r="AZ624" s="365"/>
      <c r="BA624" s="377">
        <f t="shared" si="255"/>
        <v>0</v>
      </c>
      <c r="BB624" s="377">
        <f t="shared" si="256"/>
        <v>0</v>
      </c>
      <c r="BC624" s="377">
        <f t="shared" si="257"/>
        <v>0</v>
      </c>
      <c r="BD624" s="377">
        <f t="shared" si="258"/>
        <v>0</v>
      </c>
      <c r="BE624" s="377">
        <f t="shared" si="259"/>
        <v>0</v>
      </c>
      <c r="BF624" s="377">
        <f t="shared" si="260"/>
        <v>0</v>
      </c>
      <c r="BG624" s="328"/>
    </row>
    <row r="625" spans="2:59">
      <c r="B625" s="332">
        <v>610</v>
      </c>
      <c r="C625" s="350">
        <v>132360502.85241643</v>
      </c>
      <c r="D625" s="350">
        <v>133446123.75939891</v>
      </c>
      <c r="E625" s="350">
        <v>134486255.56494036</v>
      </c>
      <c r="F625" s="350">
        <v>135528859.00938004</v>
      </c>
      <c r="G625" s="350">
        <v>136577172.73645812</v>
      </c>
      <c r="H625" s="348">
        <v>672398913.92259383</v>
      </c>
      <c r="I625" s="369"/>
      <c r="J625" s="350">
        <v>166189218.32768843</v>
      </c>
      <c r="K625" s="350">
        <v>201781322.64659008</v>
      </c>
      <c r="L625" s="350">
        <v>237849900.76512966</v>
      </c>
      <c r="M625" s="350">
        <v>274457073.16734815</v>
      </c>
      <c r="N625" s="350">
        <v>311612131.0182721</v>
      </c>
      <c r="O625" s="348">
        <v>1191889645.9250283</v>
      </c>
      <c r="P625" s="369"/>
      <c r="Q625" s="350">
        <f t="shared" si="261"/>
        <v>33828715.475272</v>
      </c>
      <c r="R625" s="350">
        <f t="shared" si="262"/>
        <v>68335198.887191176</v>
      </c>
      <c r="S625" s="350">
        <f t="shared" si="263"/>
        <v>103363645.20018929</v>
      </c>
      <c r="T625" s="350">
        <f t="shared" si="264"/>
        <v>138928214.1579681</v>
      </c>
      <c r="U625" s="350">
        <f t="shared" si="265"/>
        <v>175034958.28181398</v>
      </c>
      <c r="V625" s="350">
        <f t="shared" si="266"/>
        <v>519490732.00243449</v>
      </c>
      <c r="W625" s="365"/>
      <c r="X625" s="377">
        <f t="shared" si="244"/>
        <v>0</v>
      </c>
      <c r="Y625" s="377">
        <f t="shared" si="245"/>
        <v>0</v>
      </c>
      <c r="Z625" s="377">
        <f t="shared" si="246"/>
        <v>0</v>
      </c>
      <c r="AA625" s="377">
        <f t="shared" si="247"/>
        <v>0</v>
      </c>
      <c r="AB625" s="377">
        <f t="shared" si="248"/>
        <v>0</v>
      </c>
      <c r="AC625" s="377">
        <f t="shared" si="249"/>
        <v>0</v>
      </c>
      <c r="AD625" s="376"/>
      <c r="AE625" s="332">
        <v>610</v>
      </c>
      <c r="AF625" s="350">
        <v>111424328.13212693</v>
      </c>
      <c r="AG625" s="350">
        <v>112338230.52415387</v>
      </c>
      <c r="AH625" s="350">
        <v>113213839.07129377</v>
      </c>
      <c r="AI625" s="350">
        <v>114091528.30487478</v>
      </c>
      <c r="AJ625" s="350">
        <v>114974024.59488662</v>
      </c>
      <c r="AK625" s="348">
        <v>566041950.62733603</v>
      </c>
      <c r="AL625" s="369"/>
      <c r="AM625" s="350">
        <v>143287534.34193081</v>
      </c>
      <c r="AN625" s="350">
        <v>176688963.28045961</v>
      </c>
      <c r="AO625" s="350">
        <v>210543514.98694521</v>
      </c>
      <c r="AP625" s="350">
        <v>244904900.24812865</v>
      </c>
      <c r="AQ625" s="350">
        <v>279781544.14552629</v>
      </c>
      <c r="AR625" s="348">
        <v>1055206457.0029906</v>
      </c>
      <c r="AS625" s="369"/>
      <c r="AT625" s="350">
        <f t="shared" si="267"/>
        <v>31863206.209803879</v>
      </c>
      <c r="AU625" s="350">
        <f t="shared" si="250"/>
        <v>64350732.756305739</v>
      </c>
      <c r="AV625" s="350">
        <f t="shared" si="251"/>
        <v>97329675.915651441</v>
      </c>
      <c r="AW625" s="350">
        <f t="shared" si="252"/>
        <v>130813371.94325387</v>
      </c>
      <c r="AX625" s="350">
        <f t="shared" si="253"/>
        <v>164807519.55063969</v>
      </c>
      <c r="AY625" s="350">
        <f t="shared" si="254"/>
        <v>489164506.37565458</v>
      </c>
      <c r="AZ625" s="365"/>
      <c r="BA625" s="377">
        <f t="shared" si="255"/>
        <v>0</v>
      </c>
      <c r="BB625" s="377">
        <f t="shared" si="256"/>
        <v>0</v>
      </c>
      <c r="BC625" s="377">
        <f t="shared" si="257"/>
        <v>0</v>
      </c>
      <c r="BD625" s="377">
        <f t="shared" si="258"/>
        <v>0</v>
      </c>
      <c r="BE625" s="377">
        <f t="shared" si="259"/>
        <v>0</v>
      </c>
      <c r="BF625" s="377">
        <f t="shared" si="260"/>
        <v>0</v>
      </c>
      <c r="BG625" s="328"/>
    </row>
    <row r="626" spans="2:59">
      <c r="B626" s="332">
        <v>611</v>
      </c>
      <c r="C626" s="350">
        <v>128240793.60702005</v>
      </c>
      <c r="D626" s="350">
        <v>129292624.65682378</v>
      </c>
      <c r="E626" s="350">
        <v>130300382.44954893</v>
      </c>
      <c r="F626" s="350">
        <v>131310534.95162451</v>
      </c>
      <c r="G626" s="350">
        <v>132326220.00428349</v>
      </c>
      <c r="H626" s="348">
        <v>651470555.66930079</v>
      </c>
      <c r="I626" s="369"/>
      <c r="J626" s="350">
        <v>162401844.10065368</v>
      </c>
      <c r="K626" s="350">
        <v>198313878.94789532</v>
      </c>
      <c r="L626" s="350">
        <v>234709160.80436301</v>
      </c>
      <c r="M626" s="350">
        <v>271648457.30452907</v>
      </c>
      <c r="N626" s="350">
        <v>309141020.51913989</v>
      </c>
      <c r="O626" s="348">
        <v>1176214361.6765809</v>
      </c>
      <c r="P626" s="369"/>
      <c r="Q626" s="350">
        <f t="shared" si="261"/>
        <v>34161050.493633628</v>
      </c>
      <c r="R626" s="350">
        <f t="shared" si="262"/>
        <v>69021254.291071534</v>
      </c>
      <c r="S626" s="350">
        <f t="shared" si="263"/>
        <v>104408778.35481408</v>
      </c>
      <c r="T626" s="350">
        <f t="shared" si="264"/>
        <v>140337922.35290456</v>
      </c>
      <c r="U626" s="350">
        <f t="shared" si="265"/>
        <v>176814800.5148564</v>
      </c>
      <c r="V626" s="350">
        <f t="shared" si="266"/>
        <v>524743806.00728011</v>
      </c>
      <c r="W626" s="365"/>
      <c r="X626" s="377">
        <f t="shared" si="244"/>
        <v>0</v>
      </c>
      <c r="Y626" s="377">
        <f t="shared" si="245"/>
        <v>0</v>
      </c>
      <c r="Z626" s="377">
        <f t="shared" si="246"/>
        <v>0</v>
      </c>
      <c r="AA626" s="377">
        <f t="shared" si="247"/>
        <v>0</v>
      </c>
      <c r="AB626" s="377">
        <f t="shared" si="248"/>
        <v>0</v>
      </c>
      <c r="AC626" s="377">
        <f t="shared" si="249"/>
        <v>0</v>
      </c>
      <c r="AD626" s="376"/>
      <c r="AE626" s="332">
        <v>611</v>
      </c>
      <c r="AF626" s="350">
        <v>135661718.72172827</v>
      </c>
      <c r="AG626" s="350">
        <v>136774416.2028318</v>
      </c>
      <c r="AH626" s="350">
        <v>137840490.03449613</v>
      </c>
      <c r="AI626" s="350">
        <v>138909097.15043902</v>
      </c>
      <c r="AJ626" s="350">
        <v>139983556.96972185</v>
      </c>
      <c r="AK626" s="348">
        <v>689169279.07921696</v>
      </c>
      <c r="AL626" s="369"/>
      <c r="AM626" s="350">
        <v>168078328.4257611</v>
      </c>
      <c r="AN626" s="350">
        <v>202255463.97419322</v>
      </c>
      <c r="AO626" s="350">
        <v>236886124.88947558</v>
      </c>
      <c r="AP626" s="350">
        <v>272033036.68993235</v>
      </c>
      <c r="AQ626" s="350">
        <v>307705318.41514438</v>
      </c>
      <c r="AR626" s="348">
        <v>1186958272.3945067</v>
      </c>
      <c r="AS626" s="369"/>
      <c r="AT626" s="350">
        <f t="shared" si="267"/>
        <v>32416609.704032838</v>
      </c>
      <c r="AU626" s="350">
        <f t="shared" si="250"/>
        <v>65481047.771361411</v>
      </c>
      <c r="AV626" s="350">
        <f t="shared" si="251"/>
        <v>99045634.854979455</v>
      </c>
      <c r="AW626" s="350">
        <f t="shared" si="252"/>
        <v>133123939.53949332</v>
      </c>
      <c r="AX626" s="350">
        <f t="shared" si="253"/>
        <v>167721761.44542253</v>
      </c>
      <c r="AY626" s="350">
        <f t="shared" si="254"/>
        <v>497788993.31528974</v>
      </c>
      <c r="AZ626" s="365"/>
      <c r="BA626" s="377">
        <f t="shared" si="255"/>
        <v>0</v>
      </c>
      <c r="BB626" s="377">
        <f t="shared" si="256"/>
        <v>0</v>
      </c>
      <c r="BC626" s="377">
        <f t="shared" si="257"/>
        <v>0</v>
      </c>
      <c r="BD626" s="377">
        <f t="shared" si="258"/>
        <v>0</v>
      </c>
      <c r="BE626" s="377">
        <f t="shared" si="259"/>
        <v>0</v>
      </c>
      <c r="BF626" s="377">
        <f t="shared" si="260"/>
        <v>0</v>
      </c>
      <c r="BG626" s="328"/>
    </row>
    <row r="627" spans="2:59">
      <c r="B627" s="332">
        <v>612</v>
      </c>
      <c r="C627" s="350">
        <v>127506533.78613189</v>
      </c>
      <c r="D627" s="350">
        <v>128552342.43653747</v>
      </c>
      <c r="E627" s="350">
        <v>129554330.17719436</v>
      </c>
      <c r="F627" s="350">
        <v>130558698.91597295</v>
      </c>
      <c r="G627" s="350">
        <v>131568568.52797636</v>
      </c>
      <c r="H627" s="348">
        <v>647740473.84381306</v>
      </c>
      <c r="I627" s="369"/>
      <c r="J627" s="350">
        <v>159845884.46305087</v>
      </c>
      <c r="K627" s="350">
        <v>193870489.49165353</v>
      </c>
      <c r="L627" s="350">
        <v>228350124.00682274</v>
      </c>
      <c r="M627" s="350">
        <v>263344525.78281868</v>
      </c>
      <c r="N627" s="350">
        <v>298862599.44906455</v>
      </c>
      <c r="O627" s="348">
        <v>1144273623.1934104</v>
      </c>
      <c r="P627" s="369"/>
      <c r="Q627" s="350">
        <f t="shared" si="261"/>
        <v>32339350.676918983</v>
      </c>
      <c r="R627" s="350">
        <f t="shared" si="262"/>
        <v>65318147.055116057</v>
      </c>
      <c r="S627" s="350">
        <f t="shared" si="263"/>
        <v>98795793.829628378</v>
      </c>
      <c r="T627" s="350">
        <f t="shared" si="264"/>
        <v>132785826.86684573</v>
      </c>
      <c r="U627" s="350">
        <f t="shared" si="265"/>
        <v>167294030.92108819</v>
      </c>
      <c r="V627" s="350">
        <f t="shared" si="266"/>
        <v>496533149.34959733</v>
      </c>
      <c r="W627" s="365"/>
      <c r="X627" s="377">
        <f t="shared" si="244"/>
        <v>0</v>
      </c>
      <c r="Y627" s="377">
        <f t="shared" si="245"/>
        <v>0</v>
      </c>
      <c r="Z627" s="377">
        <f t="shared" si="246"/>
        <v>0</v>
      </c>
      <c r="AA627" s="377">
        <f t="shared" si="247"/>
        <v>0</v>
      </c>
      <c r="AB627" s="377">
        <f t="shared" si="248"/>
        <v>0</v>
      </c>
      <c r="AC627" s="377">
        <f t="shared" si="249"/>
        <v>0</v>
      </c>
      <c r="AD627" s="376"/>
      <c r="AE627" s="332">
        <v>612</v>
      </c>
      <c r="AF627" s="350">
        <v>133886990.84659913</v>
      </c>
      <c r="AG627" s="350">
        <v>134985132.00883168</v>
      </c>
      <c r="AH627" s="350">
        <v>136037259.45264372</v>
      </c>
      <c r="AI627" s="350">
        <v>137091887.04028568</v>
      </c>
      <c r="AJ627" s="350">
        <v>138152290.76614764</v>
      </c>
      <c r="AK627" s="348">
        <v>680153560.11450791</v>
      </c>
      <c r="AL627" s="369"/>
      <c r="AM627" s="350">
        <v>172267254.89525571</v>
      </c>
      <c r="AN627" s="350">
        <v>212502123.94158912</v>
      </c>
      <c r="AO627" s="350">
        <v>253282975.86496785</v>
      </c>
      <c r="AP627" s="350">
        <v>294674388.72654921</v>
      </c>
      <c r="AQ627" s="350">
        <v>336686503.48258102</v>
      </c>
      <c r="AR627" s="348">
        <v>1269413246.910943</v>
      </c>
      <c r="AS627" s="369"/>
      <c r="AT627" s="350">
        <f t="shared" si="267"/>
        <v>38380264.048656583</v>
      </c>
      <c r="AU627" s="350">
        <f t="shared" si="250"/>
        <v>77516991.932757437</v>
      </c>
      <c r="AV627" s="350">
        <f t="shared" si="251"/>
        <v>117245716.41232413</v>
      </c>
      <c r="AW627" s="350">
        <f t="shared" si="252"/>
        <v>157582501.68626353</v>
      </c>
      <c r="AX627" s="350">
        <f t="shared" si="253"/>
        <v>198534212.71643338</v>
      </c>
      <c r="AY627" s="350">
        <f t="shared" si="254"/>
        <v>589259686.79643512</v>
      </c>
      <c r="AZ627" s="365"/>
      <c r="BA627" s="377">
        <f t="shared" si="255"/>
        <v>0</v>
      </c>
      <c r="BB627" s="377">
        <f t="shared" si="256"/>
        <v>0</v>
      </c>
      <c r="BC627" s="377">
        <f t="shared" si="257"/>
        <v>0</v>
      </c>
      <c r="BD627" s="377">
        <f t="shared" si="258"/>
        <v>0</v>
      </c>
      <c r="BE627" s="377">
        <f t="shared" si="259"/>
        <v>0</v>
      </c>
      <c r="BF627" s="377">
        <f t="shared" si="260"/>
        <v>0</v>
      </c>
      <c r="BG627" s="328"/>
    </row>
    <row r="628" spans="2:59">
      <c r="B628" s="332">
        <v>613</v>
      </c>
      <c r="C628" s="350">
        <v>129878969.01263075</v>
      </c>
      <c r="D628" s="350">
        <v>130944236.37788591</v>
      </c>
      <c r="E628" s="350">
        <v>131964867.48482266</v>
      </c>
      <c r="F628" s="350">
        <v>132987923.89164083</v>
      </c>
      <c r="G628" s="350">
        <v>134016583.52303031</v>
      </c>
      <c r="H628" s="348">
        <v>659792580.29001045</v>
      </c>
      <c r="I628" s="369"/>
      <c r="J628" s="350">
        <v>169673992.20850438</v>
      </c>
      <c r="K628" s="350">
        <v>211322927.81777924</v>
      </c>
      <c r="L628" s="350">
        <v>253541112.70519772</v>
      </c>
      <c r="M628" s="350">
        <v>296392265.01919222</v>
      </c>
      <c r="N628" s="350">
        <v>339886681.35586476</v>
      </c>
      <c r="O628" s="348">
        <v>1270816979.1065383</v>
      </c>
      <c r="P628" s="369"/>
      <c r="Q628" s="350">
        <f t="shared" si="261"/>
        <v>39795023.195873633</v>
      </c>
      <c r="R628" s="350">
        <f t="shared" si="262"/>
        <v>80378691.439893335</v>
      </c>
      <c r="S628" s="350">
        <f t="shared" si="263"/>
        <v>121576245.22037506</v>
      </c>
      <c r="T628" s="350">
        <f t="shared" si="264"/>
        <v>163404341.12755138</v>
      </c>
      <c r="U628" s="350">
        <f t="shared" si="265"/>
        <v>205870097.83283445</v>
      </c>
      <c r="V628" s="350">
        <f t="shared" si="266"/>
        <v>611024398.81652784</v>
      </c>
      <c r="W628" s="365"/>
      <c r="X628" s="377">
        <f t="shared" si="244"/>
        <v>0</v>
      </c>
      <c r="Y628" s="377">
        <f t="shared" si="245"/>
        <v>0</v>
      </c>
      <c r="Z628" s="377">
        <f t="shared" si="246"/>
        <v>0</v>
      </c>
      <c r="AA628" s="377">
        <f t="shared" si="247"/>
        <v>0</v>
      </c>
      <c r="AB628" s="377">
        <f t="shared" si="248"/>
        <v>0</v>
      </c>
      <c r="AC628" s="377">
        <f t="shared" si="249"/>
        <v>0</v>
      </c>
      <c r="AD628" s="376"/>
      <c r="AE628" s="332">
        <v>613</v>
      </c>
      <c r="AF628" s="350">
        <v>145096263.37380263</v>
      </c>
      <c r="AG628" s="350">
        <v>146286342.99460363</v>
      </c>
      <c r="AH628" s="350">
        <v>147426556.54130337</v>
      </c>
      <c r="AI628" s="350">
        <v>148569479.5486111</v>
      </c>
      <c r="AJ628" s="350">
        <v>149718662.28337371</v>
      </c>
      <c r="AK628" s="348">
        <v>737097304.74169457</v>
      </c>
      <c r="AL628" s="369"/>
      <c r="AM628" s="350">
        <v>186594482.938972</v>
      </c>
      <c r="AN628" s="350">
        <v>230099421.70620835</v>
      </c>
      <c r="AO628" s="350">
        <v>274194563.9905771</v>
      </c>
      <c r="AP628" s="350">
        <v>318949854.48627365</v>
      </c>
      <c r="AQ628" s="350">
        <v>364376265.92616969</v>
      </c>
      <c r="AR628" s="348">
        <v>1374214589.0482008</v>
      </c>
      <c r="AS628" s="369"/>
      <c r="AT628" s="350">
        <f t="shared" si="267"/>
        <v>41498219.565169364</v>
      </c>
      <c r="AU628" s="350">
        <f t="shared" si="250"/>
        <v>83813078.711604714</v>
      </c>
      <c r="AV628" s="350">
        <f t="shared" si="251"/>
        <v>126768007.44927374</v>
      </c>
      <c r="AW628" s="350">
        <f t="shared" si="252"/>
        <v>170380374.93766254</v>
      </c>
      <c r="AX628" s="350">
        <f t="shared" si="253"/>
        <v>214657603.64279598</v>
      </c>
      <c r="AY628" s="350">
        <f t="shared" si="254"/>
        <v>637117284.30650628</v>
      </c>
      <c r="AZ628" s="365"/>
      <c r="BA628" s="377">
        <f t="shared" si="255"/>
        <v>0</v>
      </c>
      <c r="BB628" s="377">
        <f t="shared" si="256"/>
        <v>0</v>
      </c>
      <c r="BC628" s="377">
        <f t="shared" si="257"/>
        <v>0</v>
      </c>
      <c r="BD628" s="377">
        <f t="shared" si="258"/>
        <v>0</v>
      </c>
      <c r="BE628" s="377">
        <f t="shared" si="259"/>
        <v>0</v>
      </c>
      <c r="BF628" s="377">
        <f t="shared" si="260"/>
        <v>0</v>
      </c>
      <c r="BG628" s="328"/>
    </row>
    <row r="629" spans="2:59">
      <c r="B629" s="332">
        <v>614</v>
      </c>
      <c r="C629" s="350">
        <v>122135967.95479089</v>
      </c>
      <c r="D629" s="350">
        <v>123137727.22170834</v>
      </c>
      <c r="E629" s="350">
        <v>124097511.31237483</v>
      </c>
      <c r="F629" s="350">
        <v>125059576.1136972</v>
      </c>
      <c r="G629" s="350">
        <v>126026910.09186843</v>
      </c>
      <c r="H629" s="348">
        <v>620457692.69443965</v>
      </c>
      <c r="I629" s="369"/>
      <c r="J629" s="350">
        <v>153098787.6178602</v>
      </c>
      <c r="K629" s="350">
        <v>185660893.5123919</v>
      </c>
      <c r="L629" s="350">
        <v>218658411.79421479</v>
      </c>
      <c r="M629" s="350">
        <v>252148557.24289337</v>
      </c>
      <c r="N629" s="350">
        <v>286139854.60577077</v>
      </c>
      <c r="O629" s="348">
        <v>1095706504.7731309</v>
      </c>
      <c r="P629" s="369"/>
      <c r="Q629" s="350">
        <f t="shared" si="261"/>
        <v>30962819.663069308</v>
      </c>
      <c r="R629" s="350">
        <f t="shared" si="262"/>
        <v>62523166.290683553</v>
      </c>
      <c r="S629" s="350">
        <f t="shared" si="263"/>
        <v>94560900.481839955</v>
      </c>
      <c r="T629" s="350">
        <f t="shared" si="264"/>
        <v>127088981.12919617</v>
      </c>
      <c r="U629" s="350">
        <f t="shared" si="265"/>
        <v>160112944.51390234</v>
      </c>
      <c r="V629" s="350">
        <f t="shared" si="266"/>
        <v>475248812.07869124</v>
      </c>
      <c r="W629" s="365"/>
      <c r="X629" s="377">
        <f t="shared" si="244"/>
        <v>0</v>
      </c>
      <c r="Y629" s="377">
        <f t="shared" si="245"/>
        <v>0</v>
      </c>
      <c r="Z629" s="377">
        <f t="shared" si="246"/>
        <v>0</v>
      </c>
      <c r="AA629" s="377">
        <f t="shared" si="247"/>
        <v>0</v>
      </c>
      <c r="AB629" s="377">
        <f t="shared" si="248"/>
        <v>0</v>
      </c>
      <c r="AC629" s="377">
        <f t="shared" si="249"/>
        <v>0</v>
      </c>
      <c r="AD629" s="376"/>
      <c r="AE629" s="332">
        <v>614</v>
      </c>
      <c r="AF629" s="350">
        <v>145961506.83477485</v>
      </c>
      <c r="AG629" s="350">
        <v>147158683.18285191</v>
      </c>
      <c r="AH629" s="350">
        <v>148305696.09359077</v>
      </c>
      <c r="AI629" s="350">
        <v>149455434.62209439</v>
      </c>
      <c r="AJ629" s="350">
        <v>150611470.20629358</v>
      </c>
      <c r="AK629" s="348">
        <v>741492790.93960547</v>
      </c>
      <c r="AL629" s="369"/>
      <c r="AM629" s="350">
        <v>180901173.18092829</v>
      </c>
      <c r="AN629" s="350">
        <v>217720877.67380512</v>
      </c>
      <c r="AO629" s="350">
        <v>255029255.56520295</v>
      </c>
      <c r="AP629" s="350">
        <v>292893819.71281064</v>
      </c>
      <c r="AQ629" s="350">
        <v>331324390.22347867</v>
      </c>
      <c r="AR629" s="348">
        <v>1277869516.3562257</v>
      </c>
      <c r="AS629" s="369"/>
      <c r="AT629" s="350">
        <f t="shared" si="267"/>
        <v>34939666.346153438</v>
      </c>
      <c r="AU629" s="350">
        <f t="shared" si="250"/>
        <v>70562194.490953207</v>
      </c>
      <c r="AV629" s="350">
        <f t="shared" si="251"/>
        <v>106723559.47161219</v>
      </c>
      <c r="AW629" s="350">
        <f t="shared" si="252"/>
        <v>143438385.09071624</v>
      </c>
      <c r="AX629" s="350">
        <f t="shared" si="253"/>
        <v>180712920.01718509</v>
      </c>
      <c r="AY629" s="350">
        <f t="shared" si="254"/>
        <v>536376725.41662025</v>
      </c>
      <c r="AZ629" s="365"/>
      <c r="BA629" s="377">
        <f t="shared" si="255"/>
        <v>0</v>
      </c>
      <c r="BB629" s="377">
        <f t="shared" si="256"/>
        <v>0</v>
      </c>
      <c r="BC629" s="377">
        <f t="shared" si="257"/>
        <v>0</v>
      </c>
      <c r="BD629" s="377">
        <f t="shared" si="258"/>
        <v>0</v>
      </c>
      <c r="BE629" s="377">
        <f t="shared" si="259"/>
        <v>0</v>
      </c>
      <c r="BF629" s="377">
        <f t="shared" si="260"/>
        <v>0</v>
      </c>
      <c r="BG629" s="328"/>
    </row>
    <row r="630" spans="2:59">
      <c r="B630" s="332">
        <v>615</v>
      </c>
      <c r="C630" s="350">
        <v>120612347.42344433</v>
      </c>
      <c r="D630" s="350">
        <v>121601609.95404319</v>
      </c>
      <c r="E630" s="350">
        <v>122549420.93989314</v>
      </c>
      <c r="F630" s="350">
        <v>123499484.18501276</v>
      </c>
      <c r="G630" s="350">
        <v>124454750.87510753</v>
      </c>
      <c r="H630" s="348">
        <v>612717613.37750101</v>
      </c>
      <c r="I630" s="369"/>
      <c r="J630" s="350">
        <v>154402875.15280715</v>
      </c>
      <c r="K630" s="350">
        <v>189862325.57511485</v>
      </c>
      <c r="L630" s="350">
        <v>225801739.55736819</v>
      </c>
      <c r="M630" s="350">
        <v>262278964.81063071</v>
      </c>
      <c r="N630" s="350">
        <v>299302998.61509025</v>
      </c>
      <c r="O630" s="348">
        <v>1131648903.7110109</v>
      </c>
      <c r="P630" s="369"/>
      <c r="Q630" s="350">
        <f t="shared" si="261"/>
        <v>33790527.729362816</v>
      </c>
      <c r="R630" s="350">
        <f t="shared" si="262"/>
        <v>68260715.621071652</v>
      </c>
      <c r="S630" s="350">
        <f t="shared" si="263"/>
        <v>103252318.61747505</v>
      </c>
      <c r="T630" s="350">
        <f t="shared" si="264"/>
        <v>138779480.62561795</v>
      </c>
      <c r="U630" s="350">
        <f t="shared" si="265"/>
        <v>174848247.73998272</v>
      </c>
      <c r="V630" s="350">
        <f t="shared" si="266"/>
        <v>518931290.33350992</v>
      </c>
      <c r="W630" s="365"/>
      <c r="X630" s="377">
        <f t="shared" si="244"/>
        <v>0</v>
      </c>
      <c r="Y630" s="377">
        <f t="shared" si="245"/>
        <v>0</v>
      </c>
      <c r="Z630" s="377">
        <f t="shared" si="246"/>
        <v>0</v>
      </c>
      <c r="AA630" s="377">
        <f t="shared" si="247"/>
        <v>0</v>
      </c>
      <c r="AB630" s="377">
        <f t="shared" si="248"/>
        <v>0</v>
      </c>
      <c r="AC630" s="377">
        <f t="shared" si="249"/>
        <v>0</v>
      </c>
      <c r="AD630" s="376"/>
      <c r="AE630" s="332">
        <v>615</v>
      </c>
      <c r="AF630" s="350">
        <v>137414828.49504524</v>
      </c>
      <c r="AG630" s="350">
        <v>138541904.98333848</v>
      </c>
      <c r="AH630" s="350">
        <v>139621755.32079217</v>
      </c>
      <c r="AI630" s="350">
        <v>140704171.67928672</v>
      </c>
      <c r="AJ630" s="350">
        <v>141792516.37359518</v>
      </c>
      <c r="AK630" s="348">
        <v>698075176.8520577</v>
      </c>
      <c r="AL630" s="369"/>
      <c r="AM630" s="350">
        <v>176509136.14443594</v>
      </c>
      <c r="AN630" s="350">
        <v>217510174.11168456</v>
      </c>
      <c r="AO630" s="350">
        <v>259067138.40672082</v>
      </c>
      <c r="AP630" s="350">
        <v>301246184.77242589</v>
      </c>
      <c r="AQ630" s="350">
        <v>344057669.59579849</v>
      </c>
      <c r="AR630" s="348">
        <v>1298390303.0310657</v>
      </c>
      <c r="AS630" s="369"/>
      <c r="AT630" s="350">
        <f t="shared" si="267"/>
        <v>39094307.649390697</v>
      </c>
      <c r="AU630" s="350">
        <f t="shared" si="250"/>
        <v>78968269.128346086</v>
      </c>
      <c r="AV630" s="350">
        <f t="shared" si="251"/>
        <v>119445383.08592865</v>
      </c>
      <c r="AW630" s="350">
        <f t="shared" si="252"/>
        <v>160542013.09313917</v>
      </c>
      <c r="AX630" s="350">
        <f t="shared" si="253"/>
        <v>202265153.22220331</v>
      </c>
      <c r="AY630" s="350">
        <f t="shared" si="254"/>
        <v>600315126.17900801</v>
      </c>
      <c r="AZ630" s="365"/>
      <c r="BA630" s="377">
        <f t="shared" si="255"/>
        <v>0</v>
      </c>
      <c r="BB630" s="377">
        <f t="shared" si="256"/>
        <v>0</v>
      </c>
      <c r="BC630" s="377">
        <f t="shared" si="257"/>
        <v>0</v>
      </c>
      <c r="BD630" s="377">
        <f t="shared" si="258"/>
        <v>0</v>
      </c>
      <c r="BE630" s="377">
        <f t="shared" si="259"/>
        <v>0</v>
      </c>
      <c r="BF630" s="377">
        <f t="shared" si="260"/>
        <v>0</v>
      </c>
      <c r="BG630" s="328"/>
    </row>
    <row r="631" spans="2:59">
      <c r="B631" s="332">
        <v>616</v>
      </c>
      <c r="C631" s="350">
        <v>121741738.19859263</v>
      </c>
      <c r="D631" s="350">
        <v>122740263.9928633</v>
      </c>
      <c r="E631" s="350">
        <v>123696950.09810913</v>
      </c>
      <c r="F631" s="350">
        <v>124655909.55234641</v>
      </c>
      <c r="G631" s="350">
        <v>125620121.17561466</v>
      </c>
      <c r="H631" s="348">
        <v>618454983.01752615</v>
      </c>
      <c r="I631" s="369"/>
      <c r="J631" s="350">
        <v>155209444.7492255</v>
      </c>
      <c r="K631" s="350">
        <v>190343569.97852853</v>
      </c>
      <c r="L631" s="350">
        <v>225952207.01578924</v>
      </c>
      <c r="M631" s="350">
        <v>262093477.3877883</v>
      </c>
      <c r="N631" s="350">
        <v>298776347.44203436</v>
      </c>
      <c r="O631" s="348">
        <v>1132375046.5733659</v>
      </c>
      <c r="P631" s="369"/>
      <c r="Q631" s="350">
        <f t="shared" si="261"/>
        <v>33467706.550632864</v>
      </c>
      <c r="R631" s="350">
        <f t="shared" si="262"/>
        <v>67603305.985665232</v>
      </c>
      <c r="S631" s="350">
        <f t="shared" si="263"/>
        <v>102255256.91768011</v>
      </c>
      <c r="T631" s="350">
        <f t="shared" si="264"/>
        <v>137437567.83544189</v>
      </c>
      <c r="U631" s="350">
        <f t="shared" si="265"/>
        <v>173156226.26641971</v>
      </c>
      <c r="V631" s="350">
        <f t="shared" si="266"/>
        <v>513920063.55583978</v>
      </c>
      <c r="W631" s="365"/>
      <c r="X631" s="377">
        <f t="shared" si="244"/>
        <v>0</v>
      </c>
      <c r="Y631" s="377">
        <f t="shared" si="245"/>
        <v>0</v>
      </c>
      <c r="Z631" s="377">
        <f t="shared" si="246"/>
        <v>0</v>
      </c>
      <c r="AA631" s="377">
        <f t="shared" si="247"/>
        <v>0</v>
      </c>
      <c r="AB631" s="377">
        <f t="shared" si="248"/>
        <v>0</v>
      </c>
      <c r="AC631" s="377">
        <f t="shared" si="249"/>
        <v>0</v>
      </c>
      <c r="AD631" s="376"/>
      <c r="AE631" s="332">
        <v>616</v>
      </c>
      <c r="AF631" s="350">
        <v>150923521.62879172</v>
      </c>
      <c r="AG631" s="350">
        <v>152161396.42455557</v>
      </c>
      <c r="AH631" s="350">
        <v>153347402.45858723</v>
      </c>
      <c r="AI631" s="350">
        <v>154536226.76875621</v>
      </c>
      <c r="AJ631" s="350">
        <v>155731562.20533153</v>
      </c>
      <c r="AK631" s="348">
        <v>766700109.48602223</v>
      </c>
      <c r="AL631" s="369"/>
      <c r="AM631" s="350">
        <v>184707271.10077578</v>
      </c>
      <c r="AN631" s="350">
        <v>220411543.24926615</v>
      </c>
      <c r="AO631" s="350">
        <v>256585305.84698829</v>
      </c>
      <c r="AP631" s="350">
        <v>293297387.17522812</v>
      </c>
      <c r="AQ631" s="350">
        <v>330557525.44277447</v>
      </c>
      <c r="AR631" s="348">
        <v>1285559032.8150327</v>
      </c>
      <c r="AS631" s="369"/>
      <c r="AT631" s="350">
        <f t="shared" si="267"/>
        <v>33783749.471984059</v>
      </c>
      <c r="AU631" s="350">
        <f t="shared" si="250"/>
        <v>68250146.824710578</v>
      </c>
      <c r="AV631" s="350">
        <f t="shared" si="251"/>
        <v>103237903.38840106</v>
      </c>
      <c r="AW631" s="350">
        <f t="shared" si="252"/>
        <v>138761160.40647191</v>
      </c>
      <c r="AX631" s="350">
        <f t="shared" si="253"/>
        <v>174825963.23744294</v>
      </c>
      <c r="AY631" s="350">
        <f t="shared" si="254"/>
        <v>518858923.32901049</v>
      </c>
      <c r="AZ631" s="365"/>
      <c r="BA631" s="377">
        <f t="shared" si="255"/>
        <v>0</v>
      </c>
      <c r="BB631" s="377">
        <f t="shared" si="256"/>
        <v>0</v>
      </c>
      <c r="BC631" s="377">
        <f t="shared" si="257"/>
        <v>0</v>
      </c>
      <c r="BD631" s="377">
        <f t="shared" si="258"/>
        <v>0</v>
      </c>
      <c r="BE631" s="377">
        <f t="shared" si="259"/>
        <v>0</v>
      </c>
      <c r="BF631" s="377">
        <f t="shared" si="260"/>
        <v>0</v>
      </c>
      <c r="BG631" s="328"/>
    </row>
    <row r="632" spans="2:59">
      <c r="B632" s="332">
        <v>617</v>
      </c>
      <c r="C632" s="350">
        <v>120387846.23246486</v>
      </c>
      <c r="D632" s="350">
        <v>121375267.40418918</v>
      </c>
      <c r="E632" s="350">
        <v>122321314.18679047</v>
      </c>
      <c r="F632" s="350">
        <v>123269609.03642997</v>
      </c>
      <c r="G632" s="350">
        <v>124223097.64563823</v>
      </c>
      <c r="H632" s="348">
        <v>611577134.50551271</v>
      </c>
      <c r="I632" s="369"/>
      <c r="J632" s="350">
        <v>154584037.22091806</v>
      </c>
      <c r="K632" s="350">
        <v>190434719.63898629</v>
      </c>
      <c r="L632" s="350">
        <v>226771379.02619004</v>
      </c>
      <c r="M632" s="350">
        <v>263651950.39374018</v>
      </c>
      <c r="N632" s="350">
        <v>301085494.9462117</v>
      </c>
      <c r="O632" s="348">
        <v>1136527581.2260461</v>
      </c>
      <c r="P632" s="369"/>
      <c r="Q632" s="350">
        <f t="shared" si="261"/>
        <v>34196190.988453194</v>
      </c>
      <c r="R632" s="350">
        <f t="shared" si="262"/>
        <v>69059452.234797105</v>
      </c>
      <c r="S632" s="350">
        <f t="shared" si="263"/>
        <v>104450064.83939958</v>
      </c>
      <c r="T632" s="350">
        <f t="shared" si="264"/>
        <v>140382341.35731021</v>
      </c>
      <c r="U632" s="350">
        <f t="shared" si="265"/>
        <v>176862397.30057347</v>
      </c>
      <c r="V632" s="350">
        <f t="shared" si="266"/>
        <v>524950446.72053337</v>
      </c>
      <c r="W632" s="365"/>
      <c r="X632" s="377">
        <f t="shared" si="244"/>
        <v>0</v>
      </c>
      <c r="Y632" s="377">
        <f t="shared" si="245"/>
        <v>0</v>
      </c>
      <c r="Z632" s="377">
        <f t="shared" si="246"/>
        <v>0</v>
      </c>
      <c r="AA632" s="377">
        <f t="shared" si="247"/>
        <v>0</v>
      </c>
      <c r="AB632" s="377">
        <f t="shared" si="248"/>
        <v>0</v>
      </c>
      <c r="AC632" s="377">
        <f t="shared" si="249"/>
        <v>0</v>
      </c>
      <c r="AD632" s="376"/>
      <c r="AE632" s="332">
        <v>617</v>
      </c>
      <c r="AF632" s="350">
        <v>132840801.13990307</v>
      </c>
      <c r="AG632" s="350">
        <v>133930361.4536666</v>
      </c>
      <c r="AH632" s="350">
        <v>134974267.59909192</v>
      </c>
      <c r="AI632" s="350">
        <v>136020654.35228381</v>
      </c>
      <c r="AJ632" s="350">
        <v>137072772.1090914</v>
      </c>
      <c r="AK632" s="348">
        <v>674838856.65403676</v>
      </c>
      <c r="AL632" s="369"/>
      <c r="AM632" s="350">
        <v>166493336.00512424</v>
      </c>
      <c r="AN632" s="350">
        <v>201887360.45260671</v>
      </c>
      <c r="AO632" s="350">
        <v>237754627.47204348</v>
      </c>
      <c r="AP632" s="350">
        <v>274157356.59943199</v>
      </c>
      <c r="AQ632" s="350">
        <v>311104815.82499152</v>
      </c>
      <c r="AR632" s="348">
        <v>1191397496.354198</v>
      </c>
      <c r="AS632" s="369"/>
      <c r="AT632" s="350">
        <f t="shared" si="267"/>
        <v>33652534.865221173</v>
      </c>
      <c r="AU632" s="350">
        <f t="shared" si="250"/>
        <v>67956998.99894011</v>
      </c>
      <c r="AV632" s="350">
        <f t="shared" si="251"/>
        <v>102780359.87295157</v>
      </c>
      <c r="AW632" s="350">
        <f t="shared" si="252"/>
        <v>138136702.24714819</v>
      </c>
      <c r="AX632" s="350">
        <f t="shared" si="253"/>
        <v>174032043.71590012</v>
      </c>
      <c r="AY632" s="350">
        <f t="shared" si="254"/>
        <v>516558639.70016122</v>
      </c>
      <c r="AZ632" s="365"/>
      <c r="BA632" s="377">
        <f t="shared" si="255"/>
        <v>0</v>
      </c>
      <c r="BB632" s="377">
        <f t="shared" si="256"/>
        <v>0</v>
      </c>
      <c r="BC632" s="377">
        <f t="shared" si="257"/>
        <v>0</v>
      </c>
      <c r="BD632" s="377">
        <f t="shared" si="258"/>
        <v>0</v>
      </c>
      <c r="BE632" s="377">
        <f t="shared" si="259"/>
        <v>0</v>
      </c>
      <c r="BF632" s="377">
        <f t="shared" si="260"/>
        <v>0</v>
      </c>
      <c r="BG632" s="328"/>
    </row>
    <row r="633" spans="2:59">
      <c r="B633" s="332">
        <v>618</v>
      </c>
      <c r="C633" s="350">
        <v>124794189.12020287</v>
      </c>
      <c r="D633" s="350">
        <v>125817751.11837596</v>
      </c>
      <c r="E633" s="350">
        <v>126798424.37401789</v>
      </c>
      <c r="F633" s="350">
        <v>127781427.97870994</v>
      </c>
      <c r="G633" s="350">
        <v>128769815.44094372</v>
      </c>
      <c r="H633" s="348">
        <v>633961608.0322504</v>
      </c>
      <c r="I633" s="369"/>
      <c r="J633" s="350">
        <v>157151749.60185969</v>
      </c>
      <c r="K633" s="350">
        <v>191178651.86413494</v>
      </c>
      <c r="L633" s="350">
        <v>225661889.80311799</v>
      </c>
      <c r="M633" s="350">
        <v>260660226.33056968</v>
      </c>
      <c r="N633" s="350">
        <v>296182503.87849689</v>
      </c>
      <c r="O633" s="348">
        <v>1130835021.4781792</v>
      </c>
      <c r="P633" s="369"/>
      <c r="Q633" s="350">
        <f t="shared" si="261"/>
        <v>32357560.48165682</v>
      </c>
      <c r="R633" s="350">
        <f t="shared" si="262"/>
        <v>65360900.745758981</v>
      </c>
      <c r="S633" s="350">
        <f t="shared" si="263"/>
        <v>98863465.429100096</v>
      </c>
      <c r="T633" s="350">
        <f t="shared" si="264"/>
        <v>132878798.35185975</v>
      </c>
      <c r="U633" s="350">
        <f t="shared" si="265"/>
        <v>167412688.43755317</v>
      </c>
      <c r="V633" s="350">
        <f t="shared" si="266"/>
        <v>496873413.44592881</v>
      </c>
      <c r="W633" s="365"/>
      <c r="X633" s="377">
        <f t="shared" si="244"/>
        <v>0</v>
      </c>
      <c r="Y633" s="377">
        <f t="shared" si="245"/>
        <v>0</v>
      </c>
      <c r="Z633" s="377">
        <f t="shared" si="246"/>
        <v>0</v>
      </c>
      <c r="AA633" s="377">
        <f t="shared" si="247"/>
        <v>0</v>
      </c>
      <c r="AB633" s="377">
        <f t="shared" si="248"/>
        <v>0</v>
      </c>
      <c r="AC633" s="377">
        <f t="shared" si="249"/>
        <v>0</v>
      </c>
      <c r="AD633" s="376"/>
      <c r="AE633" s="332">
        <v>618</v>
      </c>
      <c r="AF633" s="350">
        <v>116928044.08486667</v>
      </c>
      <c r="AG633" s="350">
        <v>117887087.95774043</v>
      </c>
      <c r="AH633" s="350">
        <v>118805946.49175516</v>
      </c>
      <c r="AI633" s="350">
        <v>119726988.48606068</v>
      </c>
      <c r="AJ633" s="350">
        <v>120653074.97752129</v>
      </c>
      <c r="AK633" s="348">
        <v>594001141.99794424</v>
      </c>
      <c r="AL633" s="369"/>
      <c r="AM633" s="350">
        <v>145205891.59585658</v>
      </c>
      <c r="AN633" s="350">
        <v>175015027.49343723</v>
      </c>
      <c r="AO633" s="350">
        <v>205220382.08412582</v>
      </c>
      <c r="AP633" s="350">
        <v>235876160.79056206</v>
      </c>
      <c r="AQ633" s="350">
        <v>266990284.89656046</v>
      </c>
      <c r="AR633" s="348">
        <v>1028307746.8605422</v>
      </c>
      <c r="AS633" s="369"/>
      <c r="AT633" s="350">
        <f t="shared" si="267"/>
        <v>28277847.510989904</v>
      </c>
      <c r="AU633" s="350">
        <f t="shared" si="250"/>
        <v>57127939.535696805</v>
      </c>
      <c r="AV633" s="350">
        <f t="shared" si="251"/>
        <v>86414435.592370659</v>
      </c>
      <c r="AW633" s="350">
        <f t="shared" si="252"/>
        <v>116149172.30450138</v>
      </c>
      <c r="AX633" s="350">
        <f t="shared" si="253"/>
        <v>146337209.91903919</v>
      </c>
      <c r="AY633" s="350">
        <f t="shared" si="254"/>
        <v>434306604.86259794</v>
      </c>
      <c r="AZ633" s="365"/>
      <c r="BA633" s="377">
        <f t="shared" si="255"/>
        <v>0</v>
      </c>
      <c r="BB633" s="377">
        <f t="shared" si="256"/>
        <v>0</v>
      </c>
      <c r="BC633" s="377">
        <f t="shared" si="257"/>
        <v>0</v>
      </c>
      <c r="BD633" s="377">
        <f t="shared" si="258"/>
        <v>0</v>
      </c>
      <c r="BE633" s="377">
        <f t="shared" si="259"/>
        <v>0</v>
      </c>
      <c r="BF633" s="377">
        <f t="shared" si="260"/>
        <v>0</v>
      </c>
      <c r="BG633" s="328"/>
    </row>
    <row r="634" spans="2:59">
      <c r="B634" s="332">
        <v>619</v>
      </c>
      <c r="C634" s="350">
        <v>133573198.20763463</v>
      </c>
      <c r="D634" s="350">
        <v>134668765.64249408</v>
      </c>
      <c r="E634" s="350">
        <v>135718427.20186853</v>
      </c>
      <c r="F634" s="350">
        <v>136770583.04545411</v>
      </c>
      <c r="G634" s="350">
        <v>137828501.48965129</v>
      </c>
      <c r="H634" s="348">
        <v>678559475.58710265</v>
      </c>
      <c r="I634" s="369"/>
      <c r="J634" s="350">
        <v>171234977.35896268</v>
      </c>
      <c r="K634" s="350">
        <v>210719603.09583932</v>
      </c>
      <c r="L634" s="350">
        <v>250739003.0793483</v>
      </c>
      <c r="M634" s="350">
        <v>291357340.1088475</v>
      </c>
      <c r="N634" s="350">
        <v>332584616.65614593</v>
      </c>
      <c r="O634" s="348">
        <v>1256635540.2991438</v>
      </c>
      <c r="P634" s="369"/>
      <c r="Q634" s="350">
        <f t="shared" si="261"/>
        <v>37661779.151328057</v>
      </c>
      <c r="R634" s="350">
        <f t="shared" si="262"/>
        <v>76050837.453345239</v>
      </c>
      <c r="S634" s="350">
        <f t="shared" si="263"/>
        <v>115020575.87747976</v>
      </c>
      <c r="T634" s="350">
        <f t="shared" si="264"/>
        <v>154586757.06339338</v>
      </c>
      <c r="U634" s="350">
        <f t="shared" si="265"/>
        <v>194756115.16649464</v>
      </c>
      <c r="V634" s="350">
        <f t="shared" si="266"/>
        <v>578076064.71204114</v>
      </c>
      <c r="W634" s="365"/>
      <c r="X634" s="377">
        <f t="shared" si="244"/>
        <v>0</v>
      </c>
      <c r="Y634" s="377">
        <f t="shared" si="245"/>
        <v>0</v>
      </c>
      <c r="Z634" s="377">
        <f t="shared" si="246"/>
        <v>0</v>
      </c>
      <c r="AA634" s="377">
        <f t="shared" si="247"/>
        <v>0</v>
      </c>
      <c r="AB634" s="377">
        <f t="shared" si="248"/>
        <v>0</v>
      </c>
      <c r="AC634" s="377">
        <f t="shared" si="249"/>
        <v>0</v>
      </c>
      <c r="AD634" s="376"/>
      <c r="AE634" s="332">
        <v>619</v>
      </c>
      <c r="AF634" s="350">
        <v>127872789.91569036</v>
      </c>
      <c r="AG634" s="350">
        <v>128921602.59904382</v>
      </c>
      <c r="AH634" s="350">
        <v>129926468.4992809</v>
      </c>
      <c r="AI634" s="350">
        <v>130933722.23693752</v>
      </c>
      <c r="AJ634" s="350">
        <v>131946492.64880168</v>
      </c>
      <c r="AK634" s="348">
        <v>649601075.89975429</v>
      </c>
      <c r="AL634" s="369"/>
      <c r="AM634" s="350">
        <v>157146292.11256751</v>
      </c>
      <c r="AN634" s="350">
        <v>188044865.96824905</v>
      </c>
      <c r="AO634" s="350">
        <v>219351011.21918523</v>
      </c>
      <c r="AP634" s="350">
        <v>251123314.97694129</v>
      </c>
      <c r="AQ634" s="350">
        <v>283370142.03231841</v>
      </c>
      <c r="AR634" s="348">
        <v>1099035626.3092616</v>
      </c>
      <c r="AS634" s="369"/>
      <c r="AT634" s="350">
        <f t="shared" si="267"/>
        <v>29273502.196877152</v>
      </c>
      <c r="AU634" s="350">
        <f t="shared" si="250"/>
        <v>59123263.369205236</v>
      </c>
      <c r="AV634" s="350">
        <f t="shared" si="251"/>
        <v>89424542.719904333</v>
      </c>
      <c r="AW634" s="350">
        <f t="shared" si="252"/>
        <v>120189592.74000376</v>
      </c>
      <c r="AX634" s="350">
        <f t="shared" si="253"/>
        <v>151423649.38351673</v>
      </c>
      <c r="AY634" s="350">
        <f t="shared" si="254"/>
        <v>449434550.40950727</v>
      </c>
      <c r="AZ634" s="365"/>
      <c r="BA634" s="377">
        <f t="shared" si="255"/>
        <v>0</v>
      </c>
      <c r="BB634" s="377">
        <f t="shared" si="256"/>
        <v>0</v>
      </c>
      <c r="BC634" s="377">
        <f t="shared" si="257"/>
        <v>0</v>
      </c>
      <c r="BD634" s="377">
        <f t="shared" si="258"/>
        <v>0</v>
      </c>
      <c r="BE634" s="377">
        <f t="shared" si="259"/>
        <v>0</v>
      </c>
      <c r="BF634" s="377">
        <f t="shared" si="260"/>
        <v>0</v>
      </c>
      <c r="BG634" s="328"/>
    </row>
    <row r="635" spans="2:59">
      <c r="B635" s="332">
        <v>620</v>
      </c>
      <c r="C635" s="350">
        <v>115681995.09635527</v>
      </c>
      <c r="D635" s="350">
        <v>116630818.87483606</v>
      </c>
      <c r="E635" s="350">
        <v>117539885.55133833</v>
      </c>
      <c r="F635" s="350">
        <v>118451112.41998801</v>
      </c>
      <c r="G635" s="350">
        <v>119367330.0288808</v>
      </c>
      <c r="H635" s="348">
        <v>587671141.97139847</v>
      </c>
      <c r="I635" s="369"/>
      <c r="J635" s="350">
        <v>145763118.02086908</v>
      </c>
      <c r="K635" s="350">
        <v>177372819.91874453</v>
      </c>
      <c r="L635" s="350">
        <v>209406546.40334603</v>
      </c>
      <c r="M635" s="350">
        <v>241918804.60220423</v>
      </c>
      <c r="N635" s="350">
        <v>274917803.57802606</v>
      </c>
      <c r="O635" s="348">
        <v>1049379092.5231899</v>
      </c>
      <c r="P635" s="369"/>
      <c r="Q635" s="350">
        <f t="shared" si="261"/>
        <v>30081122.924513802</v>
      </c>
      <c r="R635" s="350">
        <f t="shared" si="262"/>
        <v>60742001.043908477</v>
      </c>
      <c r="S635" s="350">
        <f t="shared" si="263"/>
        <v>91866660.852007702</v>
      </c>
      <c r="T635" s="350">
        <f t="shared" si="264"/>
        <v>123467692.18221623</v>
      </c>
      <c r="U635" s="350">
        <f t="shared" si="265"/>
        <v>155550473.54914525</v>
      </c>
      <c r="V635" s="350">
        <f t="shared" si="266"/>
        <v>461707950.55179143</v>
      </c>
      <c r="W635" s="365"/>
      <c r="X635" s="377">
        <f t="shared" si="244"/>
        <v>0</v>
      </c>
      <c r="Y635" s="377">
        <f t="shared" si="245"/>
        <v>0</v>
      </c>
      <c r="Z635" s="377">
        <f t="shared" si="246"/>
        <v>0</v>
      </c>
      <c r="AA635" s="377">
        <f t="shared" si="247"/>
        <v>0</v>
      </c>
      <c r="AB635" s="377">
        <f t="shared" si="248"/>
        <v>0</v>
      </c>
      <c r="AC635" s="377">
        <f t="shared" si="249"/>
        <v>0</v>
      </c>
      <c r="AD635" s="376"/>
      <c r="AE635" s="332">
        <v>620</v>
      </c>
      <c r="AF635" s="350">
        <v>120031448.18427944</v>
      </c>
      <c r="AG635" s="350">
        <v>121015946.17904405</v>
      </c>
      <c r="AH635" s="350">
        <v>121959192.27006924</v>
      </c>
      <c r="AI635" s="350">
        <v>122904679.77292007</v>
      </c>
      <c r="AJ635" s="350">
        <v>123855345.65965322</v>
      </c>
      <c r="AK635" s="348">
        <v>609766612.06596601</v>
      </c>
      <c r="AL635" s="369"/>
      <c r="AM635" s="350">
        <v>146226556.81236693</v>
      </c>
      <c r="AN635" s="350">
        <v>173923537.173453</v>
      </c>
      <c r="AO635" s="350">
        <v>201983328.99892369</v>
      </c>
      <c r="AP635" s="350">
        <v>230460389.72197068</v>
      </c>
      <c r="AQ635" s="350">
        <v>259362341.91878569</v>
      </c>
      <c r="AR635" s="348">
        <v>1011956154.6255</v>
      </c>
      <c r="AS635" s="369"/>
      <c r="AT635" s="350">
        <f t="shared" si="267"/>
        <v>26195108.628087491</v>
      </c>
      <c r="AU635" s="350">
        <f t="shared" si="250"/>
        <v>52907590.99440895</v>
      </c>
      <c r="AV635" s="350">
        <f t="shared" si="251"/>
        <v>80024136.728854448</v>
      </c>
      <c r="AW635" s="350">
        <f t="shared" si="252"/>
        <v>107555709.94905061</v>
      </c>
      <c r="AX635" s="350">
        <f t="shared" si="253"/>
        <v>135506996.25913247</v>
      </c>
      <c r="AY635" s="350">
        <f t="shared" si="254"/>
        <v>402189542.55953395</v>
      </c>
      <c r="AZ635" s="365"/>
      <c r="BA635" s="377">
        <f t="shared" si="255"/>
        <v>0</v>
      </c>
      <c r="BB635" s="377">
        <f t="shared" si="256"/>
        <v>0</v>
      </c>
      <c r="BC635" s="377">
        <f t="shared" si="257"/>
        <v>0</v>
      </c>
      <c r="BD635" s="377">
        <f t="shared" si="258"/>
        <v>0</v>
      </c>
      <c r="BE635" s="377">
        <f t="shared" si="259"/>
        <v>0</v>
      </c>
      <c r="BF635" s="377">
        <f t="shared" si="260"/>
        <v>0</v>
      </c>
      <c r="BG635" s="328"/>
    </row>
    <row r="636" spans="2:59">
      <c r="B636" s="332">
        <v>621</v>
      </c>
      <c r="C636" s="350">
        <v>121321211.82554501</v>
      </c>
      <c r="D636" s="350">
        <v>122316288.46230517</v>
      </c>
      <c r="E636" s="350">
        <v>123269669.93477723</v>
      </c>
      <c r="F636" s="350">
        <v>124225316.90352547</v>
      </c>
      <c r="G636" s="350">
        <v>125186197.89900097</v>
      </c>
      <c r="H636" s="348">
        <v>616318685.02515388</v>
      </c>
      <c r="I636" s="369"/>
      <c r="J636" s="350">
        <v>156663329.60899767</v>
      </c>
      <c r="K636" s="350">
        <v>193698126.71096414</v>
      </c>
      <c r="L636" s="350">
        <v>231236379.23804682</v>
      </c>
      <c r="M636" s="350">
        <v>269336840.47922993</v>
      </c>
      <c r="N636" s="350">
        <v>308008800.65844828</v>
      </c>
      <c r="O636" s="348">
        <v>1158943476.6956868</v>
      </c>
      <c r="P636" s="369"/>
      <c r="Q636" s="350">
        <f t="shared" si="261"/>
        <v>35342117.78345266</v>
      </c>
      <c r="R636" s="350">
        <f t="shared" si="262"/>
        <v>71381838.24865897</v>
      </c>
      <c r="S636" s="350">
        <f t="shared" si="263"/>
        <v>107966709.30326959</v>
      </c>
      <c r="T636" s="350">
        <f t="shared" si="264"/>
        <v>145111523.57570446</v>
      </c>
      <c r="U636" s="350">
        <f t="shared" si="265"/>
        <v>182822602.75944731</v>
      </c>
      <c r="V636" s="350">
        <f t="shared" si="266"/>
        <v>542624791.67053294</v>
      </c>
      <c r="W636" s="365"/>
      <c r="X636" s="377">
        <f t="shared" si="244"/>
        <v>0</v>
      </c>
      <c r="Y636" s="377">
        <f t="shared" si="245"/>
        <v>0</v>
      </c>
      <c r="Z636" s="377">
        <f t="shared" si="246"/>
        <v>0</v>
      </c>
      <c r="AA636" s="377">
        <f t="shared" si="247"/>
        <v>0</v>
      </c>
      <c r="AB636" s="377">
        <f t="shared" si="248"/>
        <v>0</v>
      </c>
      <c r="AC636" s="377">
        <f t="shared" si="249"/>
        <v>0</v>
      </c>
      <c r="AD636" s="376"/>
      <c r="AE636" s="332">
        <v>621</v>
      </c>
      <c r="AF636" s="350">
        <v>96374790.997674137</v>
      </c>
      <c r="AG636" s="350">
        <v>97165257.079008102</v>
      </c>
      <c r="AH636" s="350">
        <v>97922601.47713922</v>
      </c>
      <c r="AI636" s="350">
        <v>98681745.533605665</v>
      </c>
      <c r="AJ636" s="350">
        <v>99445047.380983755</v>
      </c>
      <c r="AK636" s="348">
        <v>489589442.46841091</v>
      </c>
      <c r="AL636" s="369"/>
      <c r="AM636" s="350">
        <v>124275802.92131776</v>
      </c>
      <c r="AN636" s="350">
        <v>153520706.17971432</v>
      </c>
      <c r="AO636" s="350">
        <v>183162901.69770047</v>
      </c>
      <c r="AP636" s="350">
        <v>213248989.08140892</v>
      </c>
      <c r="AQ636" s="350">
        <v>243786317.5680342</v>
      </c>
      <c r="AR636" s="348">
        <v>917994717.44817567</v>
      </c>
      <c r="AS636" s="369"/>
      <c r="AT636" s="350">
        <f t="shared" si="267"/>
        <v>27901011.923643619</v>
      </c>
      <c r="AU636" s="350">
        <f t="shared" si="250"/>
        <v>56355449.10070622</v>
      </c>
      <c r="AV636" s="350">
        <f t="shared" si="251"/>
        <v>85240300.220561251</v>
      </c>
      <c r="AW636" s="350">
        <f t="shared" si="252"/>
        <v>114567243.54780325</v>
      </c>
      <c r="AX636" s="350">
        <f t="shared" si="253"/>
        <v>144341270.18705046</v>
      </c>
      <c r="AY636" s="350">
        <f t="shared" si="254"/>
        <v>428405274.97976476</v>
      </c>
      <c r="AZ636" s="365"/>
      <c r="BA636" s="377">
        <f t="shared" si="255"/>
        <v>0</v>
      </c>
      <c r="BB636" s="377">
        <f t="shared" si="256"/>
        <v>0</v>
      </c>
      <c r="BC636" s="377">
        <f t="shared" si="257"/>
        <v>0</v>
      </c>
      <c r="BD636" s="377">
        <f t="shared" si="258"/>
        <v>0</v>
      </c>
      <c r="BE636" s="377">
        <f t="shared" si="259"/>
        <v>0</v>
      </c>
      <c r="BF636" s="377">
        <f t="shared" si="260"/>
        <v>0</v>
      </c>
      <c r="BG636" s="328"/>
    </row>
    <row r="637" spans="2:59">
      <c r="B637" s="332">
        <v>622</v>
      </c>
      <c r="C637" s="350">
        <v>150737801.43690217</v>
      </c>
      <c r="D637" s="350">
        <v>151974152.95556438</v>
      </c>
      <c r="E637" s="350">
        <v>153158699.54002947</v>
      </c>
      <c r="F637" s="350">
        <v>154346060.93257883</v>
      </c>
      <c r="G637" s="350">
        <v>155539925.4392139</v>
      </c>
      <c r="H637" s="348">
        <v>765756640.30428874</v>
      </c>
      <c r="I637" s="369"/>
      <c r="J637" s="350">
        <v>190094942.50369141</v>
      </c>
      <c r="K637" s="350">
        <v>231470444.29079345</v>
      </c>
      <c r="L637" s="350">
        <v>273401303.65952623</v>
      </c>
      <c r="M637" s="350">
        <v>315958613.77608287</v>
      </c>
      <c r="N637" s="350">
        <v>359153103.59969598</v>
      </c>
      <c r="O637" s="348">
        <v>1370078407.8297899</v>
      </c>
      <c r="P637" s="369"/>
      <c r="Q637" s="350">
        <f t="shared" si="261"/>
        <v>39357141.06678924</v>
      </c>
      <c r="R637" s="350">
        <f t="shared" si="262"/>
        <v>79496291.335229069</v>
      </c>
      <c r="S637" s="350">
        <f t="shared" si="263"/>
        <v>120242604.11949676</v>
      </c>
      <c r="T637" s="350">
        <f t="shared" si="264"/>
        <v>161612552.84350404</v>
      </c>
      <c r="U637" s="350">
        <f t="shared" si="265"/>
        <v>203613178.16048208</v>
      </c>
      <c r="V637" s="350">
        <f t="shared" si="266"/>
        <v>604321767.52550113</v>
      </c>
      <c r="W637" s="365"/>
      <c r="X637" s="377">
        <f t="shared" si="244"/>
        <v>0</v>
      </c>
      <c r="Y637" s="377">
        <f t="shared" si="245"/>
        <v>0</v>
      </c>
      <c r="Z637" s="377">
        <f t="shared" si="246"/>
        <v>0</v>
      </c>
      <c r="AA637" s="377">
        <f t="shared" si="247"/>
        <v>0</v>
      </c>
      <c r="AB637" s="377">
        <f t="shared" si="248"/>
        <v>0</v>
      </c>
      <c r="AC637" s="377">
        <f t="shared" si="249"/>
        <v>0</v>
      </c>
      <c r="AD637" s="376"/>
      <c r="AE637" s="332">
        <v>622</v>
      </c>
      <c r="AF637" s="350">
        <v>126500539.49830908</v>
      </c>
      <c r="AG637" s="350">
        <v>127538096.98309025</v>
      </c>
      <c r="AH637" s="350">
        <v>128532179.29401237</v>
      </c>
      <c r="AI637" s="350">
        <v>129528623.81758347</v>
      </c>
      <c r="AJ637" s="350">
        <v>130530525.81388161</v>
      </c>
      <c r="AK637" s="348">
        <v>642629965.4068768</v>
      </c>
      <c r="AL637" s="369"/>
      <c r="AM637" s="350">
        <v>155823987.35546613</v>
      </c>
      <c r="AN637" s="350">
        <v>186780361.30256343</v>
      </c>
      <c r="AO637" s="350">
        <v>218145831.19146273</v>
      </c>
      <c r="AP637" s="350">
        <v>249978508.81176382</v>
      </c>
      <c r="AQ637" s="350">
        <v>282286737.07785797</v>
      </c>
      <c r="AR637" s="348">
        <v>1093015425.739114</v>
      </c>
      <c r="AS637" s="369"/>
      <c r="AT637" s="350">
        <f t="shared" si="267"/>
        <v>29323447.857157052</v>
      </c>
      <c r="AU637" s="350">
        <f t="shared" si="250"/>
        <v>59242264.319473177</v>
      </c>
      <c r="AV637" s="350">
        <f t="shared" si="251"/>
        <v>89613651.897450358</v>
      </c>
      <c r="AW637" s="350">
        <f t="shared" si="252"/>
        <v>120449884.99418035</v>
      </c>
      <c r="AX637" s="350">
        <f t="shared" si="253"/>
        <v>151756211.26397637</v>
      </c>
      <c r="AY637" s="350">
        <f t="shared" si="254"/>
        <v>450385460.33223724</v>
      </c>
      <c r="AZ637" s="365"/>
      <c r="BA637" s="377">
        <f t="shared" si="255"/>
        <v>0</v>
      </c>
      <c r="BB637" s="377">
        <f t="shared" si="256"/>
        <v>0</v>
      </c>
      <c r="BC637" s="377">
        <f t="shared" si="257"/>
        <v>0</v>
      </c>
      <c r="BD637" s="377">
        <f t="shared" si="258"/>
        <v>0</v>
      </c>
      <c r="BE637" s="377">
        <f t="shared" si="259"/>
        <v>0</v>
      </c>
      <c r="BF637" s="377">
        <f t="shared" si="260"/>
        <v>0</v>
      </c>
      <c r="BG637" s="328"/>
    </row>
    <row r="638" spans="2:59">
      <c r="B638" s="332">
        <v>623</v>
      </c>
      <c r="C638" s="350">
        <v>155934358.30273247</v>
      </c>
      <c r="D638" s="350">
        <v>157213331.9832654</v>
      </c>
      <c r="E638" s="350">
        <v>158438714.79877356</v>
      </c>
      <c r="F638" s="350">
        <v>159667009.46046877</v>
      </c>
      <c r="G638" s="350">
        <v>160902031.42554948</v>
      </c>
      <c r="H638" s="348">
        <v>792155445.97078967</v>
      </c>
      <c r="I638" s="369"/>
      <c r="J638" s="350">
        <v>198205735.90228838</v>
      </c>
      <c r="K638" s="350">
        <v>242573850.43468696</v>
      </c>
      <c r="L638" s="350">
        <v>287540149.23714632</v>
      </c>
      <c r="M638" s="350">
        <v>333178827.00416696</v>
      </c>
      <c r="N638" s="350">
        <v>379501257.79686356</v>
      </c>
      <c r="O638" s="348">
        <v>1440999820.3751521</v>
      </c>
      <c r="P638" s="369"/>
      <c r="Q638" s="350">
        <f t="shared" si="261"/>
        <v>42271377.59955591</v>
      </c>
      <c r="R638" s="350">
        <f t="shared" si="262"/>
        <v>85360518.451421559</v>
      </c>
      <c r="S638" s="350">
        <f t="shared" si="263"/>
        <v>129101434.43837276</v>
      </c>
      <c r="T638" s="350">
        <f t="shared" si="264"/>
        <v>173511817.54369819</v>
      </c>
      <c r="U638" s="350">
        <f t="shared" si="265"/>
        <v>218599226.37131408</v>
      </c>
      <c r="V638" s="350">
        <f t="shared" si="266"/>
        <v>648844374.40436244</v>
      </c>
      <c r="W638" s="365"/>
      <c r="X638" s="377">
        <f t="shared" si="244"/>
        <v>0</v>
      </c>
      <c r="Y638" s="377">
        <f t="shared" si="245"/>
        <v>0</v>
      </c>
      <c r="Z638" s="377">
        <f t="shared" si="246"/>
        <v>0</v>
      </c>
      <c r="AA638" s="377">
        <f t="shared" si="247"/>
        <v>0</v>
      </c>
      <c r="AB638" s="377">
        <f t="shared" si="248"/>
        <v>0</v>
      </c>
      <c r="AC638" s="377">
        <f t="shared" si="249"/>
        <v>0</v>
      </c>
      <c r="AD638" s="376"/>
      <c r="AE638" s="332">
        <v>623</v>
      </c>
      <c r="AF638" s="350">
        <v>137968624.10272214</v>
      </c>
      <c r="AG638" s="350">
        <v>139100242.82285142</v>
      </c>
      <c r="AH638" s="350">
        <v>140184445.06599376</v>
      </c>
      <c r="AI638" s="350">
        <v>141271223.67150033</v>
      </c>
      <c r="AJ638" s="350">
        <v>142363954.50461167</v>
      </c>
      <c r="AK638" s="348">
        <v>700888490.16767931</v>
      </c>
      <c r="AL638" s="369"/>
      <c r="AM638" s="350">
        <v>172919562.14657</v>
      </c>
      <c r="AN638" s="350">
        <v>209678908.55145729</v>
      </c>
      <c r="AO638" s="350">
        <v>246929751.05475304</v>
      </c>
      <c r="AP638" s="350">
        <v>284736710.66646135</v>
      </c>
      <c r="AQ638" s="350">
        <v>323109412.97609901</v>
      </c>
      <c r="AR638" s="348">
        <v>1237374345.3953407</v>
      </c>
      <c r="AS638" s="369"/>
      <c r="AT638" s="350">
        <f t="shared" si="267"/>
        <v>34950938.043847859</v>
      </c>
      <c r="AU638" s="350">
        <f t="shared" si="250"/>
        <v>70578665.728605866</v>
      </c>
      <c r="AV638" s="350">
        <f t="shared" si="251"/>
        <v>106745305.98875928</v>
      </c>
      <c r="AW638" s="350">
        <f t="shared" si="252"/>
        <v>143465486.99496102</v>
      </c>
      <c r="AX638" s="350">
        <f t="shared" si="253"/>
        <v>180745458.47148734</v>
      </c>
      <c r="AY638" s="350">
        <f t="shared" si="254"/>
        <v>536485855.22766137</v>
      </c>
      <c r="AZ638" s="365"/>
      <c r="BA638" s="377">
        <f t="shared" si="255"/>
        <v>0</v>
      </c>
      <c r="BB638" s="377">
        <f t="shared" si="256"/>
        <v>0</v>
      </c>
      <c r="BC638" s="377">
        <f t="shared" si="257"/>
        <v>0</v>
      </c>
      <c r="BD638" s="377">
        <f t="shared" si="258"/>
        <v>0</v>
      </c>
      <c r="BE638" s="377">
        <f t="shared" si="259"/>
        <v>0</v>
      </c>
      <c r="BF638" s="377">
        <f t="shared" si="260"/>
        <v>0</v>
      </c>
      <c r="BG638" s="328"/>
    </row>
    <row r="639" spans="2:59">
      <c r="B639" s="332">
        <v>624</v>
      </c>
      <c r="C639" s="350">
        <v>101705524.7009961</v>
      </c>
      <c r="D639" s="350">
        <v>102539713.46268538</v>
      </c>
      <c r="E639" s="350">
        <v>103338948.49701235</v>
      </c>
      <c r="F639" s="350">
        <v>104140082.73333383</v>
      </c>
      <c r="G639" s="350">
        <v>104945604.73850948</v>
      </c>
      <c r="H639" s="348">
        <v>516669874.13253713</v>
      </c>
      <c r="I639" s="369"/>
      <c r="J639" s="350">
        <v>130738785.56288433</v>
      </c>
      <c r="K639" s="350">
        <v>161156682.21009976</v>
      </c>
      <c r="L639" s="350">
        <v>191987109.14169705</v>
      </c>
      <c r="M639" s="350">
        <v>223279070.0530456</v>
      </c>
      <c r="N639" s="350">
        <v>255040243.27656052</v>
      </c>
      <c r="O639" s="348">
        <v>962201890.24428725</v>
      </c>
      <c r="P639" s="369"/>
      <c r="Q639" s="350">
        <f t="shared" si="261"/>
        <v>29033260.86188823</v>
      </c>
      <c r="R639" s="350">
        <f t="shared" si="262"/>
        <v>58616968.74741438</v>
      </c>
      <c r="S639" s="350">
        <f t="shared" si="263"/>
        <v>88648160.644684702</v>
      </c>
      <c r="T639" s="350">
        <f t="shared" si="264"/>
        <v>119138987.31971177</v>
      </c>
      <c r="U639" s="350">
        <f t="shared" si="265"/>
        <v>150094638.53805104</v>
      </c>
      <c r="V639" s="350">
        <f t="shared" si="266"/>
        <v>445532016.11175013</v>
      </c>
      <c r="W639" s="365"/>
      <c r="X639" s="377">
        <f t="shared" si="244"/>
        <v>0</v>
      </c>
      <c r="Y639" s="377">
        <f t="shared" si="245"/>
        <v>0</v>
      </c>
      <c r="Z639" s="377">
        <f t="shared" si="246"/>
        <v>0</v>
      </c>
      <c r="AA639" s="377">
        <f t="shared" si="247"/>
        <v>0</v>
      </c>
      <c r="AB639" s="377">
        <f t="shared" si="248"/>
        <v>0</v>
      </c>
      <c r="AC639" s="377">
        <f t="shared" si="249"/>
        <v>0</v>
      </c>
      <c r="AD639" s="376"/>
      <c r="AE639" s="332">
        <v>624</v>
      </c>
      <c r="AF639" s="350">
        <v>135200505.35488433</v>
      </c>
      <c r="AG639" s="350">
        <v>136309419.96373492</v>
      </c>
      <c r="AH639" s="350">
        <v>137371869.43101817</v>
      </c>
      <c r="AI639" s="350">
        <v>138436843.5700947</v>
      </c>
      <c r="AJ639" s="350">
        <v>139507650.51489338</v>
      </c>
      <c r="AK639" s="348">
        <v>686826288.8346256</v>
      </c>
      <c r="AL639" s="369"/>
      <c r="AM639" s="350">
        <v>173691237.0896785</v>
      </c>
      <c r="AN639" s="350">
        <v>214046238.57417262</v>
      </c>
      <c r="AO639" s="350">
        <v>254948424.19754109</v>
      </c>
      <c r="AP639" s="350">
        <v>296462894.02611774</v>
      </c>
      <c r="AQ639" s="350">
        <v>338599840.41313142</v>
      </c>
      <c r="AR639" s="348">
        <v>1277748634.3006415</v>
      </c>
      <c r="AS639" s="369"/>
      <c r="AT639" s="350">
        <f t="shared" si="267"/>
        <v>38490731.73479417</v>
      </c>
      <c r="AU639" s="350">
        <f t="shared" si="250"/>
        <v>77736818.610437691</v>
      </c>
      <c r="AV639" s="350">
        <f t="shared" si="251"/>
        <v>117576554.76652291</v>
      </c>
      <c r="AW639" s="350">
        <f t="shared" si="252"/>
        <v>158026050.45602304</v>
      </c>
      <c r="AX639" s="350">
        <f t="shared" si="253"/>
        <v>199092189.89823803</v>
      </c>
      <c r="AY639" s="350">
        <f t="shared" si="254"/>
        <v>590922345.46601593</v>
      </c>
      <c r="AZ639" s="365"/>
      <c r="BA639" s="377">
        <f t="shared" si="255"/>
        <v>0</v>
      </c>
      <c r="BB639" s="377">
        <f t="shared" si="256"/>
        <v>0</v>
      </c>
      <c r="BC639" s="377">
        <f t="shared" si="257"/>
        <v>0</v>
      </c>
      <c r="BD639" s="377">
        <f t="shared" si="258"/>
        <v>0</v>
      </c>
      <c r="BE639" s="377">
        <f t="shared" si="259"/>
        <v>0</v>
      </c>
      <c r="BF639" s="377">
        <f t="shared" si="260"/>
        <v>0</v>
      </c>
      <c r="BG639" s="328"/>
    </row>
    <row r="640" spans="2:59">
      <c r="B640" s="332">
        <v>625</v>
      </c>
      <c r="C640" s="350">
        <v>129895776.80723962</v>
      </c>
      <c r="D640" s="350">
        <v>130961182.03003408</v>
      </c>
      <c r="E640" s="350">
        <v>131981945.218078</v>
      </c>
      <c r="F640" s="350">
        <v>133005134.01986426</v>
      </c>
      <c r="G640" s="350">
        <v>134033926.77134188</v>
      </c>
      <c r="H640" s="348">
        <v>659877964.84655786</v>
      </c>
      <c r="I640" s="369"/>
      <c r="J640" s="350">
        <v>171796580.4780207</v>
      </c>
      <c r="K640" s="350">
        <v>215551892.80143175</v>
      </c>
      <c r="L640" s="350">
        <v>259908289.39263463</v>
      </c>
      <c r="M640" s="350">
        <v>304930373.59170848</v>
      </c>
      <c r="N640" s="350">
        <v>350628812.79526776</v>
      </c>
      <c r="O640" s="348">
        <v>1302815949.0590634</v>
      </c>
      <c r="P640" s="369"/>
      <c r="Q640" s="350">
        <f t="shared" si="261"/>
        <v>41900803.670781076</v>
      </c>
      <c r="R640" s="350">
        <f t="shared" si="262"/>
        <v>84590710.771397665</v>
      </c>
      <c r="S640" s="350">
        <f t="shared" si="263"/>
        <v>127926344.17455663</v>
      </c>
      <c r="T640" s="350">
        <f t="shared" si="264"/>
        <v>171925239.57184422</v>
      </c>
      <c r="U640" s="350">
        <f t="shared" si="265"/>
        <v>216594886.0239259</v>
      </c>
      <c r="V640" s="350">
        <f t="shared" si="266"/>
        <v>642937984.21250558</v>
      </c>
      <c r="W640" s="365"/>
      <c r="X640" s="377">
        <f t="shared" si="244"/>
        <v>0</v>
      </c>
      <c r="Y640" s="377">
        <f t="shared" si="245"/>
        <v>0</v>
      </c>
      <c r="Z640" s="377">
        <f t="shared" si="246"/>
        <v>0</v>
      </c>
      <c r="AA640" s="377">
        <f t="shared" si="247"/>
        <v>0</v>
      </c>
      <c r="AB640" s="377">
        <f t="shared" si="248"/>
        <v>0</v>
      </c>
      <c r="AC640" s="377">
        <f t="shared" si="249"/>
        <v>0</v>
      </c>
      <c r="AD640" s="376"/>
      <c r="AE640" s="332">
        <v>625</v>
      </c>
      <c r="AF640" s="350">
        <v>120057946.9740779</v>
      </c>
      <c r="AG640" s="350">
        <v>121042662.31192896</v>
      </c>
      <c r="AH640" s="350">
        <v>121986116.63904786</v>
      </c>
      <c r="AI640" s="350">
        <v>122931812.87281859</v>
      </c>
      <c r="AJ640" s="350">
        <v>123882688.6336796</v>
      </c>
      <c r="AK640" s="348">
        <v>609901227.43155289</v>
      </c>
      <c r="AL640" s="369"/>
      <c r="AM640" s="350">
        <v>149359562.89160588</v>
      </c>
      <c r="AN640" s="350">
        <v>180225557.28647456</v>
      </c>
      <c r="AO640" s="350">
        <v>211502286.91806549</v>
      </c>
      <c r="AP640" s="350">
        <v>243245519.12025446</v>
      </c>
      <c r="AQ640" s="350">
        <v>275463432.9311471</v>
      </c>
      <c r="AR640" s="348">
        <v>1059796359.1475475</v>
      </c>
      <c r="AS640" s="369"/>
      <c r="AT640" s="350">
        <f t="shared" si="267"/>
        <v>29301615.917527989</v>
      </c>
      <c r="AU640" s="350">
        <f t="shared" si="250"/>
        <v>59182894.974545598</v>
      </c>
      <c r="AV640" s="350">
        <f t="shared" si="251"/>
        <v>89516170.279017627</v>
      </c>
      <c r="AW640" s="350">
        <f t="shared" si="252"/>
        <v>120313706.24743587</v>
      </c>
      <c r="AX640" s="350">
        <f t="shared" si="253"/>
        <v>151580744.2974675</v>
      </c>
      <c r="AY640" s="350">
        <f t="shared" si="254"/>
        <v>449895131.7159946</v>
      </c>
      <c r="AZ640" s="365"/>
      <c r="BA640" s="377">
        <f t="shared" si="255"/>
        <v>0</v>
      </c>
      <c r="BB640" s="377">
        <f t="shared" si="256"/>
        <v>0</v>
      </c>
      <c r="BC640" s="377">
        <f t="shared" si="257"/>
        <v>0</v>
      </c>
      <c r="BD640" s="377">
        <f t="shared" si="258"/>
        <v>0</v>
      </c>
      <c r="BE640" s="377">
        <f t="shared" si="259"/>
        <v>0</v>
      </c>
      <c r="BF640" s="377">
        <f t="shared" si="260"/>
        <v>0</v>
      </c>
      <c r="BG640" s="328"/>
    </row>
    <row r="641" spans="2:59">
      <c r="B641" s="332">
        <v>626</v>
      </c>
      <c r="C641" s="350">
        <v>148572720.83880788</v>
      </c>
      <c r="D641" s="350">
        <v>149791314.3653807</v>
      </c>
      <c r="E641" s="350">
        <v>150958847.04355878</v>
      </c>
      <c r="F641" s="350">
        <v>152129154.10010591</v>
      </c>
      <c r="G641" s="350">
        <v>153305870.86506355</v>
      </c>
      <c r="H641" s="348">
        <v>754757907.21291685</v>
      </c>
      <c r="I641" s="369"/>
      <c r="J641" s="350">
        <v>177149068.76846206</v>
      </c>
      <c r="K641" s="350">
        <v>207523551.94670686</v>
      </c>
      <c r="L641" s="350">
        <v>238288004.57012618</v>
      </c>
      <c r="M641" s="350">
        <v>269508223.50596845</v>
      </c>
      <c r="N641" s="350">
        <v>301192957.93890655</v>
      </c>
      <c r="O641" s="348">
        <v>1193661806.7301702</v>
      </c>
      <c r="P641" s="369"/>
      <c r="Q641" s="350">
        <f t="shared" si="261"/>
        <v>28576347.929654181</v>
      </c>
      <c r="R641" s="350">
        <f t="shared" si="262"/>
        <v>57732237.581326157</v>
      </c>
      <c r="S641" s="350">
        <f t="shared" si="263"/>
        <v>87329157.5265674</v>
      </c>
      <c r="T641" s="350">
        <f t="shared" si="264"/>
        <v>117379069.40586254</v>
      </c>
      <c r="U641" s="350">
        <f t="shared" si="265"/>
        <v>147887087.073843</v>
      </c>
      <c r="V641" s="350">
        <f t="shared" si="266"/>
        <v>438903899.5172534</v>
      </c>
      <c r="W641" s="365"/>
      <c r="X641" s="377">
        <f t="shared" si="244"/>
        <v>0</v>
      </c>
      <c r="Y641" s="377">
        <f t="shared" si="245"/>
        <v>0</v>
      </c>
      <c r="Z641" s="377">
        <f t="shared" si="246"/>
        <v>0</v>
      </c>
      <c r="AA641" s="377">
        <f t="shared" si="247"/>
        <v>0</v>
      </c>
      <c r="AB641" s="377">
        <f t="shared" si="248"/>
        <v>0</v>
      </c>
      <c r="AC641" s="377">
        <f t="shared" si="249"/>
        <v>0</v>
      </c>
      <c r="AD641" s="376"/>
      <c r="AE641" s="332">
        <v>626</v>
      </c>
      <c r="AF641" s="350">
        <v>135867851.5787712</v>
      </c>
      <c r="AG641" s="350">
        <v>136982239.7616657</v>
      </c>
      <c r="AH641" s="350">
        <v>138049933.45224679</v>
      </c>
      <c r="AI641" s="350">
        <v>139120164.27633631</v>
      </c>
      <c r="AJ641" s="350">
        <v>140196256.69672731</v>
      </c>
      <c r="AK641" s="348">
        <v>690216445.76574731</v>
      </c>
      <c r="AL641" s="369"/>
      <c r="AM641" s="350">
        <v>177095972.13512859</v>
      </c>
      <c r="AN641" s="350">
        <v>220242153.96447217</v>
      </c>
      <c r="AO641" s="350">
        <v>263977425.60522866</v>
      </c>
      <c r="AP641" s="350">
        <v>308368274.36710763</v>
      </c>
      <c r="AQ641" s="350">
        <v>353425397.70050228</v>
      </c>
      <c r="AR641" s="348">
        <v>1323109223.7724395</v>
      </c>
      <c r="AS641" s="369"/>
      <c r="AT641" s="350">
        <f t="shared" si="267"/>
        <v>41228120.556357384</v>
      </c>
      <c r="AU641" s="350">
        <f t="shared" si="250"/>
        <v>83259914.202806473</v>
      </c>
      <c r="AV641" s="350">
        <f t="shared" si="251"/>
        <v>125927492.15298188</v>
      </c>
      <c r="AW641" s="350">
        <f t="shared" si="252"/>
        <v>169248110.09077132</v>
      </c>
      <c r="AX641" s="350">
        <f t="shared" si="253"/>
        <v>213229141.00377497</v>
      </c>
      <c r="AY641" s="350">
        <f t="shared" si="254"/>
        <v>632892778.00669217</v>
      </c>
      <c r="AZ641" s="365"/>
      <c r="BA641" s="377">
        <f t="shared" si="255"/>
        <v>0</v>
      </c>
      <c r="BB641" s="377">
        <f t="shared" si="256"/>
        <v>0</v>
      </c>
      <c r="BC641" s="377">
        <f t="shared" si="257"/>
        <v>0</v>
      </c>
      <c r="BD641" s="377">
        <f t="shared" si="258"/>
        <v>0</v>
      </c>
      <c r="BE641" s="377">
        <f t="shared" si="259"/>
        <v>0</v>
      </c>
      <c r="BF641" s="377">
        <f t="shared" si="260"/>
        <v>0</v>
      </c>
      <c r="BG641" s="328"/>
    </row>
    <row r="642" spans="2:59">
      <c r="B642" s="332">
        <v>627</v>
      </c>
      <c r="C642" s="350">
        <v>143759168.54343235</v>
      </c>
      <c r="D642" s="350">
        <v>144938281.31180239</v>
      </c>
      <c r="E642" s="350">
        <v>146067987.53320402</v>
      </c>
      <c r="F642" s="350">
        <v>147200378.24692231</v>
      </c>
      <c r="G642" s="350">
        <v>148338971.00329351</v>
      </c>
      <c r="H642" s="348">
        <v>730304786.63865459</v>
      </c>
      <c r="I642" s="369"/>
      <c r="J642" s="350">
        <v>184284996.49878347</v>
      </c>
      <c r="K642" s="350">
        <v>226797424.02436495</v>
      </c>
      <c r="L642" s="350">
        <v>269885672.02150542</v>
      </c>
      <c r="M642" s="350">
        <v>313618794.2472952</v>
      </c>
      <c r="N642" s="350">
        <v>358007558.31771713</v>
      </c>
      <c r="O642" s="348">
        <v>1352594445.1096661</v>
      </c>
      <c r="P642" s="369"/>
      <c r="Q642" s="350">
        <f t="shared" si="261"/>
        <v>40525827.955351114</v>
      </c>
      <c r="R642" s="350">
        <f t="shared" si="262"/>
        <v>81859142.712562561</v>
      </c>
      <c r="S642" s="350">
        <f t="shared" si="263"/>
        <v>123817684.4883014</v>
      </c>
      <c r="T642" s="350">
        <f t="shared" si="264"/>
        <v>166418416.00037289</v>
      </c>
      <c r="U642" s="350">
        <f t="shared" si="265"/>
        <v>209668587.31442362</v>
      </c>
      <c r="V642" s="350">
        <f t="shared" si="266"/>
        <v>622289658.47101152</v>
      </c>
      <c r="W642" s="365"/>
      <c r="X642" s="377">
        <f t="shared" si="244"/>
        <v>0</v>
      </c>
      <c r="Y642" s="377">
        <f t="shared" si="245"/>
        <v>0</v>
      </c>
      <c r="Z642" s="377">
        <f t="shared" si="246"/>
        <v>0</v>
      </c>
      <c r="AA642" s="377">
        <f t="shared" si="247"/>
        <v>0</v>
      </c>
      <c r="AB642" s="377">
        <f t="shared" si="248"/>
        <v>0</v>
      </c>
      <c r="AC642" s="377">
        <f t="shared" si="249"/>
        <v>0</v>
      </c>
      <c r="AD642" s="376"/>
      <c r="AE642" s="332">
        <v>627</v>
      </c>
      <c r="AF642" s="350">
        <v>114480503.44182034</v>
      </c>
      <c r="AG642" s="350">
        <v>115419472.58518249</v>
      </c>
      <c r="AH642" s="350">
        <v>116319097.55016927</v>
      </c>
      <c r="AI642" s="350">
        <v>117220860.27120328</v>
      </c>
      <c r="AJ642" s="350">
        <v>118127561.89785607</v>
      </c>
      <c r="AK642" s="348">
        <v>581567495.74623144</v>
      </c>
      <c r="AL642" s="369"/>
      <c r="AM642" s="350">
        <v>144533132.426869</v>
      </c>
      <c r="AN642" s="350">
        <v>176123890.23787728</v>
      </c>
      <c r="AO642" s="350">
        <v>208138957.30155089</v>
      </c>
      <c r="AP642" s="350">
        <v>240632394.56888902</v>
      </c>
      <c r="AQ642" s="350">
        <v>273612379.65511525</v>
      </c>
      <c r="AR642" s="348">
        <v>1043040754.1903014</v>
      </c>
      <c r="AS642" s="369"/>
      <c r="AT642" s="350">
        <f t="shared" si="267"/>
        <v>30052628.985048667</v>
      </c>
      <c r="AU642" s="350">
        <f t="shared" si="250"/>
        <v>60704417.652694792</v>
      </c>
      <c r="AV642" s="350">
        <f t="shared" si="251"/>
        <v>91819859.751381621</v>
      </c>
      <c r="AW642" s="350">
        <f t="shared" si="252"/>
        <v>123411534.29768574</v>
      </c>
      <c r="AX642" s="350">
        <f t="shared" si="253"/>
        <v>155484817.75725919</v>
      </c>
      <c r="AY642" s="350">
        <f t="shared" si="254"/>
        <v>461473258.44406998</v>
      </c>
      <c r="AZ642" s="365"/>
      <c r="BA642" s="377">
        <f t="shared" si="255"/>
        <v>0</v>
      </c>
      <c r="BB642" s="377">
        <f t="shared" si="256"/>
        <v>0</v>
      </c>
      <c r="BC642" s="377">
        <f t="shared" si="257"/>
        <v>0</v>
      </c>
      <c r="BD642" s="377">
        <f t="shared" si="258"/>
        <v>0</v>
      </c>
      <c r="BE642" s="377">
        <f t="shared" si="259"/>
        <v>0</v>
      </c>
      <c r="BF642" s="377">
        <f t="shared" si="260"/>
        <v>0</v>
      </c>
      <c r="BG642" s="328"/>
    </row>
    <row r="643" spans="2:59">
      <c r="B643" s="332">
        <v>628</v>
      </c>
      <c r="C643" s="350">
        <v>142619078.76590595</v>
      </c>
      <c r="D643" s="350">
        <v>143788840.51738158</v>
      </c>
      <c r="E643" s="350">
        <v>144909587.54315296</v>
      </c>
      <c r="F643" s="350">
        <v>146032997.77173102</v>
      </c>
      <c r="G643" s="350">
        <v>147162560.85733089</v>
      </c>
      <c r="H643" s="348">
        <v>724513065.45550239</v>
      </c>
      <c r="I643" s="369"/>
      <c r="J643" s="350">
        <v>175409970.21928898</v>
      </c>
      <c r="K643" s="350">
        <v>210027031.30847886</v>
      </c>
      <c r="L643" s="350">
        <v>245101018.54526228</v>
      </c>
      <c r="M643" s="350">
        <v>280697335.16656083</v>
      </c>
      <c r="N643" s="350">
        <v>316825337.57731247</v>
      </c>
      <c r="O643" s="348">
        <v>1228060692.8169034</v>
      </c>
      <c r="P643" s="369"/>
      <c r="Q643" s="350">
        <f t="shared" si="261"/>
        <v>32790891.453383029</v>
      </c>
      <c r="R643" s="350">
        <f t="shared" si="262"/>
        <v>66238190.791097283</v>
      </c>
      <c r="S643" s="350">
        <f t="shared" si="263"/>
        <v>100191431.00210932</v>
      </c>
      <c r="T643" s="350">
        <f t="shared" si="264"/>
        <v>134664337.39482981</v>
      </c>
      <c r="U643" s="350">
        <f t="shared" si="265"/>
        <v>169662776.71998158</v>
      </c>
      <c r="V643" s="350">
        <f t="shared" si="266"/>
        <v>503547627.36140096</v>
      </c>
      <c r="W643" s="365"/>
      <c r="X643" s="377">
        <f t="shared" si="244"/>
        <v>0</v>
      </c>
      <c r="Y643" s="377">
        <f t="shared" si="245"/>
        <v>0</v>
      </c>
      <c r="Z643" s="377">
        <f t="shared" si="246"/>
        <v>0</v>
      </c>
      <c r="AA643" s="377">
        <f t="shared" si="247"/>
        <v>0</v>
      </c>
      <c r="AB643" s="377">
        <f t="shared" si="248"/>
        <v>0</v>
      </c>
      <c r="AC643" s="377">
        <f t="shared" si="249"/>
        <v>0</v>
      </c>
      <c r="AD643" s="376"/>
      <c r="AE643" s="332">
        <v>628</v>
      </c>
      <c r="AF643" s="350">
        <v>136596856.50409496</v>
      </c>
      <c r="AG643" s="350">
        <v>137717223.98573166</v>
      </c>
      <c r="AH643" s="350">
        <v>138790646.43370551</v>
      </c>
      <c r="AI643" s="350">
        <v>139866619.6282891</v>
      </c>
      <c r="AJ643" s="350">
        <v>140948485.86982659</v>
      </c>
      <c r="AK643" s="348">
        <v>693919832.42164779</v>
      </c>
      <c r="AL643" s="369"/>
      <c r="AM643" s="350">
        <v>172267035.83001059</v>
      </c>
      <c r="AN643" s="350">
        <v>209748432.82426143</v>
      </c>
      <c r="AO643" s="350">
        <v>247732889.50102663</v>
      </c>
      <c r="AP643" s="350">
        <v>286284830.84586537</v>
      </c>
      <c r="AQ643" s="350">
        <v>325413977.51428413</v>
      </c>
      <c r="AR643" s="348">
        <v>1241447166.5154481</v>
      </c>
      <c r="AS643" s="369"/>
      <c r="AT643" s="350">
        <f t="shared" si="267"/>
        <v>35670179.325915635</v>
      </c>
      <c r="AU643" s="350">
        <f t="shared" si="250"/>
        <v>72031208.838529766</v>
      </c>
      <c r="AV643" s="350">
        <f t="shared" si="251"/>
        <v>108942243.06732112</v>
      </c>
      <c r="AW643" s="350">
        <f t="shared" si="252"/>
        <v>146418211.21757627</v>
      </c>
      <c r="AX643" s="350">
        <f t="shared" si="253"/>
        <v>184465491.64445755</v>
      </c>
      <c r="AY643" s="350">
        <f t="shared" si="254"/>
        <v>547527334.09380031</v>
      </c>
      <c r="AZ643" s="365"/>
      <c r="BA643" s="377">
        <f t="shared" si="255"/>
        <v>0</v>
      </c>
      <c r="BB643" s="377">
        <f t="shared" si="256"/>
        <v>0</v>
      </c>
      <c r="BC643" s="377">
        <f t="shared" si="257"/>
        <v>0</v>
      </c>
      <c r="BD643" s="377">
        <f t="shared" si="258"/>
        <v>0</v>
      </c>
      <c r="BE643" s="377">
        <f t="shared" si="259"/>
        <v>0</v>
      </c>
      <c r="BF643" s="377">
        <f t="shared" si="260"/>
        <v>0</v>
      </c>
      <c r="BG643" s="328"/>
    </row>
    <row r="644" spans="2:59">
      <c r="B644" s="332">
        <v>629</v>
      </c>
      <c r="C644" s="350">
        <v>129066369.37136438</v>
      </c>
      <c r="D644" s="350">
        <v>130124971.79397765</v>
      </c>
      <c r="E644" s="350">
        <v>131139217.22910266</v>
      </c>
      <c r="F644" s="350">
        <v>132155872.78999871</v>
      </c>
      <c r="G644" s="350">
        <v>133178096.51837932</v>
      </c>
      <c r="H644" s="348">
        <v>655664527.70282269</v>
      </c>
      <c r="I644" s="369"/>
      <c r="J644" s="350">
        <v>160783070.44396901</v>
      </c>
      <c r="K644" s="350">
        <v>194190180.2756778</v>
      </c>
      <c r="L644" s="350">
        <v>228042251.6749002</v>
      </c>
      <c r="M644" s="350">
        <v>262399327.26645738</v>
      </c>
      <c r="N644" s="350">
        <v>297270239.18210173</v>
      </c>
      <c r="O644" s="348">
        <v>1142685068.843106</v>
      </c>
      <c r="P644" s="369"/>
      <c r="Q644" s="350">
        <f t="shared" si="261"/>
        <v>31716701.072604626</v>
      </c>
      <c r="R644" s="350">
        <f t="shared" si="262"/>
        <v>64065208.481700152</v>
      </c>
      <c r="S644" s="350">
        <f t="shared" si="263"/>
        <v>96903034.445797548</v>
      </c>
      <c r="T644" s="350">
        <f t="shared" si="264"/>
        <v>130243454.47645867</v>
      </c>
      <c r="U644" s="350">
        <f t="shared" si="265"/>
        <v>164092142.6637224</v>
      </c>
      <c r="V644" s="350">
        <f t="shared" si="266"/>
        <v>487020541.14028335</v>
      </c>
      <c r="W644" s="365"/>
      <c r="X644" s="377">
        <f t="shared" si="244"/>
        <v>0</v>
      </c>
      <c r="Y644" s="377">
        <f t="shared" si="245"/>
        <v>0</v>
      </c>
      <c r="Z644" s="377">
        <f t="shared" si="246"/>
        <v>0</v>
      </c>
      <c r="AA644" s="377">
        <f t="shared" si="247"/>
        <v>0</v>
      </c>
      <c r="AB644" s="377">
        <f t="shared" si="248"/>
        <v>0</v>
      </c>
      <c r="AC644" s="377">
        <f t="shared" si="249"/>
        <v>0</v>
      </c>
      <c r="AD644" s="376"/>
      <c r="AE644" s="332">
        <v>629</v>
      </c>
      <c r="AF644" s="350">
        <v>117355044.84119794</v>
      </c>
      <c r="AG644" s="350">
        <v>118317590.97447702</v>
      </c>
      <c r="AH644" s="350">
        <v>119239805.01907144</v>
      </c>
      <c r="AI644" s="350">
        <v>120164210.49757153</v>
      </c>
      <c r="AJ644" s="350">
        <v>121093678.89484759</v>
      </c>
      <c r="AK644" s="348">
        <v>596170330.22716558</v>
      </c>
      <c r="AL644" s="369"/>
      <c r="AM644" s="350">
        <v>144555912.63357615</v>
      </c>
      <c r="AN644" s="350">
        <v>173276240.12967873</v>
      </c>
      <c r="AO644" s="350">
        <v>202376119.60114479</v>
      </c>
      <c r="AP644" s="350">
        <v>231909460.74789312</v>
      </c>
      <c r="AQ644" s="350">
        <v>261884003.56561619</v>
      </c>
      <c r="AR644" s="348">
        <v>1014001736.6779089</v>
      </c>
      <c r="AS644" s="369"/>
      <c r="AT644" s="350">
        <f t="shared" si="267"/>
        <v>27200867.792378217</v>
      </c>
      <c r="AU644" s="350">
        <f t="shared" si="250"/>
        <v>54958649.155201703</v>
      </c>
      <c r="AV644" s="350">
        <f t="shared" si="251"/>
        <v>83136314.582073346</v>
      </c>
      <c r="AW644" s="350">
        <f t="shared" si="252"/>
        <v>111745250.2503216</v>
      </c>
      <c r="AX644" s="350">
        <f t="shared" si="253"/>
        <v>140790324.67076862</v>
      </c>
      <c r="AY644" s="350">
        <f t="shared" si="254"/>
        <v>417831406.45074332</v>
      </c>
      <c r="AZ644" s="365"/>
      <c r="BA644" s="377">
        <f t="shared" si="255"/>
        <v>0</v>
      </c>
      <c r="BB644" s="377">
        <f t="shared" si="256"/>
        <v>0</v>
      </c>
      <c r="BC644" s="377">
        <f t="shared" si="257"/>
        <v>0</v>
      </c>
      <c r="BD644" s="377">
        <f t="shared" si="258"/>
        <v>0</v>
      </c>
      <c r="BE644" s="377">
        <f t="shared" si="259"/>
        <v>0</v>
      </c>
      <c r="BF644" s="377">
        <f t="shared" si="260"/>
        <v>0</v>
      </c>
      <c r="BG644" s="328"/>
    </row>
    <row r="645" spans="2:59">
      <c r="B645" s="332">
        <v>630</v>
      </c>
      <c r="C645" s="350">
        <v>138347109.24076521</v>
      </c>
      <c r="D645" s="350">
        <v>139481832.29617569</v>
      </c>
      <c r="E645" s="350">
        <v>140569008.79841733</v>
      </c>
      <c r="F645" s="350">
        <v>141658768.73067993</v>
      </c>
      <c r="G645" s="350">
        <v>142754497.21911258</v>
      </c>
      <c r="H645" s="348">
        <v>702811216.28515077</v>
      </c>
      <c r="I645" s="369"/>
      <c r="J645" s="350">
        <v>169552682.60434681</v>
      </c>
      <c r="K645" s="350">
        <v>202537500.19326618</v>
      </c>
      <c r="L645" s="350">
        <v>235956561.14496064</v>
      </c>
      <c r="M645" s="350">
        <v>269873058.28609139</v>
      </c>
      <c r="N645" s="350">
        <v>304295962.88753951</v>
      </c>
      <c r="O645" s="348">
        <v>1182215765.1162047</v>
      </c>
      <c r="P645" s="369"/>
      <c r="Q645" s="350">
        <f t="shared" si="261"/>
        <v>31205573.363581598</v>
      </c>
      <c r="R645" s="350">
        <f t="shared" si="262"/>
        <v>63055667.897090495</v>
      </c>
      <c r="S645" s="350">
        <f t="shared" si="263"/>
        <v>95387552.346543312</v>
      </c>
      <c r="T645" s="350">
        <f t="shared" si="264"/>
        <v>128214289.55541146</v>
      </c>
      <c r="U645" s="350">
        <f t="shared" si="265"/>
        <v>161541465.66842693</v>
      </c>
      <c r="V645" s="350">
        <f t="shared" si="266"/>
        <v>479404548.83105397</v>
      </c>
      <c r="W645" s="365"/>
      <c r="X645" s="377">
        <f t="shared" si="244"/>
        <v>0</v>
      </c>
      <c r="Y645" s="377">
        <f t="shared" si="245"/>
        <v>0</v>
      </c>
      <c r="Z645" s="377">
        <f t="shared" si="246"/>
        <v>0</v>
      </c>
      <c r="AA645" s="377">
        <f t="shared" si="247"/>
        <v>0</v>
      </c>
      <c r="AB645" s="377">
        <f t="shared" si="248"/>
        <v>0</v>
      </c>
      <c r="AC645" s="377">
        <f t="shared" si="249"/>
        <v>0</v>
      </c>
      <c r="AD645" s="376"/>
      <c r="AE645" s="332">
        <v>630</v>
      </c>
      <c r="AF645" s="350">
        <v>121253745.44837128</v>
      </c>
      <c r="AG645" s="350">
        <v>122248268.72587392</v>
      </c>
      <c r="AH645" s="350">
        <v>123201120.02564952</v>
      </c>
      <c r="AI645" s="350">
        <v>124156235.56186537</v>
      </c>
      <c r="AJ645" s="350">
        <v>125116582.21418115</v>
      </c>
      <c r="AK645" s="348">
        <v>615975951.97594118</v>
      </c>
      <c r="AL645" s="369"/>
      <c r="AM645" s="350">
        <v>150139075.59298581</v>
      </c>
      <c r="AN645" s="350">
        <v>180604572.76025239</v>
      </c>
      <c r="AO645" s="350">
        <v>211474194.32946035</v>
      </c>
      <c r="AP645" s="350">
        <v>242803967.48156101</v>
      </c>
      <c r="AQ645" s="350">
        <v>274602028.21940339</v>
      </c>
      <c r="AR645" s="348">
        <v>1059623838.3836631</v>
      </c>
      <c r="AS645" s="369"/>
      <c r="AT645" s="350">
        <f t="shared" si="267"/>
        <v>28885330.144614533</v>
      </c>
      <c r="AU645" s="350">
        <f t="shared" si="250"/>
        <v>58356304.034378469</v>
      </c>
      <c r="AV645" s="350">
        <f t="shared" si="251"/>
        <v>88273074.303810835</v>
      </c>
      <c r="AW645" s="350">
        <f t="shared" si="252"/>
        <v>118647731.91969563</v>
      </c>
      <c r="AX645" s="350">
        <f t="shared" si="253"/>
        <v>149485446.00522223</v>
      </c>
      <c r="AY645" s="350">
        <f t="shared" si="254"/>
        <v>443647886.40772188</v>
      </c>
      <c r="AZ645" s="365"/>
      <c r="BA645" s="377">
        <f t="shared" si="255"/>
        <v>0</v>
      </c>
      <c r="BB645" s="377">
        <f t="shared" si="256"/>
        <v>0</v>
      </c>
      <c r="BC645" s="377">
        <f t="shared" si="257"/>
        <v>0</v>
      </c>
      <c r="BD645" s="377">
        <f t="shared" si="258"/>
        <v>0</v>
      </c>
      <c r="BE645" s="377">
        <f t="shared" si="259"/>
        <v>0</v>
      </c>
      <c r="BF645" s="377">
        <f t="shared" si="260"/>
        <v>0</v>
      </c>
      <c r="BG645" s="328"/>
    </row>
    <row r="646" spans="2:59">
      <c r="B646" s="332">
        <v>631</v>
      </c>
      <c r="C646" s="350">
        <v>162322372.35172001</v>
      </c>
      <c r="D646" s="350">
        <v>163653740.52650326</v>
      </c>
      <c r="E646" s="350">
        <v>164929322.4304359</v>
      </c>
      <c r="F646" s="350">
        <v>166207935.46737957</v>
      </c>
      <c r="G646" s="350">
        <v>167493551.39872676</v>
      </c>
      <c r="H646" s="348">
        <v>824606922.17476559</v>
      </c>
      <c r="I646" s="369"/>
      <c r="J646" s="350">
        <v>196985054.75917944</v>
      </c>
      <c r="K646" s="350">
        <v>233691937.33066064</v>
      </c>
      <c r="L646" s="350">
        <v>270878150.42932159</v>
      </c>
      <c r="M646" s="350">
        <v>308617021.29760969</v>
      </c>
      <c r="N646" s="350">
        <v>346918726.23058337</v>
      </c>
      <c r="O646" s="348">
        <v>1357090890.0473547</v>
      </c>
      <c r="P646" s="369"/>
      <c r="Q646" s="350">
        <f t="shared" si="261"/>
        <v>34662682.407459438</v>
      </c>
      <c r="R646" s="350">
        <f t="shared" si="262"/>
        <v>70038196.804157376</v>
      </c>
      <c r="S646" s="350">
        <f t="shared" si="263"/>
        <v>105948827.99888569</v>
      </c>
      <c r="T646" s="350">
        <f t="shared" si="264"/>
        <v>142409085.83023012</v>
      </c>
      <c r="U646" s="350">
        <f t="shared" si="265"/>
        <v>179425174.83185661</v>
      </c>
      <c r="V646" s="350">
        <f t="shared" si="266"/>
        <v>532483967.87258911</v>
      </c>
      <c r="W646" s="365"/>
      <c r="X646" s="377">
        <f t="shared" si="244"/>
        <v>0</v>
      </c>
      <c r="Y646" s="377">
        <f t="shared" si="245"/>
        <v>0</v>
      </c>
      <c r="Z646" s="377">
        <f t="shared" si="246"/>
        <v>0</v>
      </c>
      <c r="AA646" s="377">
        <f t="shared" si="247"/>
        <v>0</v>
      </c>
      <c r="AB646" s="377">
        <f t="shared" si="248"/>
        <v>0</v>
      </c>
      <c r="AC646" s="377">
        <f t="shared" si="249"/>
        <v>0</v>
      </c>
      <c r="AD646" s="376"/>
      <c r="AE646" s="332">
        <v>631</v>
      </c>
      <c r="AF646" s="350">
        <v>112028924.97927187</v>
      </c>
      <c r="AG646" s="350">
        <v>112947786.27492498</v>
      </c>
      <c r="AH646" s="350">
        <v>113828145.94038716</v>
      </c>
      <c r="AI646" s="350">
        <v>114710597.58225268</v>
      </c>
      <c r="AJ646" s="350">
        <v>115597882.36400145</v>
      </c>
      <c r="AK646" s="348">
        <v>569113337.14083815</v>
      </c>
      <c r="AL646" s="369"/>
      <c r="AM646" s="350">
        <v>138527076.48878035</v>
      </c>
      <c r="AN646" s="350">
        <v>166470295.16917139</v>
      </c>
      <c r="AO646" s="350">
        <v>194783794.44634691</v>
      </c>
      <c r="AP646" s="350">
        <v>223519259.0431003</v>
      </c>
      <c r="AQ646" s="350">
        <v>252684170.36785278</v>
      </c>
      <c r="AR646" s="348">
        <v>975984595.51525176</v>
      </c>
      <c r="AS646" s="369"/>
      <c r="AT646" s="350">
        <f t="shared" si="267"/>
        <v>26498151.509508476</v>
      </c>
      <c r="AU646" s="350">
        <f t="shared" si="250"/>
        <v>53522508.894246414</v>
      </c>
      <c r="AV646" s="350">
        <f t="shared" si="251"/>
        <v>80955648.505959749</v>
      </c>
      <c r="AW646" s="350">
        <f t="shared" si="252"/>
        <v>108808661.46084762</v>
      </c>
      <c r="AX646" s="350">
        <f t="shared" si="253"/>
        <v>137086288.00385132</v>
      </c>
      <c r="AY646" s="350">
        <f t="shared" si="254"/>
        <v>406871258.37441361</v>
      </c>
      <c r="AZ646" s="365"/>
      <c r="BA646" s="377">
        <f t="shared" si="255"/>
        <v>0</v>
      </c>
      <c r="BB646" s="377">
        <f t="shared" si="256"/>
        <v>0</v>
      </c>
      <c r="BC646" s="377">
        <f t="shared" si="257"/>
        <v>0</v>
      </c>
      <c r="BD646" s="377">
        <f t="shared" si="258"/>
        <v>0</v>
      </c>
      <c r="BE646" s="377">
        <f t="shared" si="259"/>
        <v>0</v>
      </c>
      <c r="BF646" s="377">
        <f t="shared" si="260"/>
        <v>0</v>
      </c>
      <c r="BG646" s="328"/>
    </row>
    <row r="647" spans="2:59">
      <c r="B647" s="332">
        <v>632</v>
      </c>
      <c r="C647" s="350">
        <v>134005513.34733951</v>
      </c>
      <c r="D647" s="350">
        <v>135104626.63117921</v>
      </c>
      <c r="E647" s="350">
        <v>136157685.4632833</v>
      </c>
      <c r="F647" s="350">
        <v>137213246.65245181</v>
      </c>
      <c r="G647" s="350">
        <v>138274589.09312537</v>
      </c>
      <c r="H647" s="348">
        <v>680755661.18737912</v>
      </c>
      <c r="I647" s="369"/>
      <c r="J647" s="350">
        <v>166662654.3837626</v>
      </c>
      <c r="K647" s="350">
        <v>201078731.10191435</v>
      </c>
      <c r="L647" s="350">
        <v>235952725.53060079</v>
      </c>
      <c r="M647" s="350">
        <v>271346864.14151573</v>
      </c>
      <c r="N647" s="350">
        <v>307270269.57988018</v>
      </c>
      <c r="O647" s="348">
        <v>1182311244.7376738</v>
      </c>
      <c r="P647" s="369"/>
      <c r="Q647" s="350">
        <f t="shared" si="261"/>
        <v>32657141.036423087</v>
      </c>
      <c r="R647" s="350">
        <f t="shared" si="262"/>
        <v>65974104.470735133</v>
      </c>
      <c r="S647" s="350">
        <f t="shared" si="263"/>
        <v>99795040.067317486</v>
      </c>
      <c r="T647" s="350">
        <f t="shared" si="264"/>
        <v>134133617.48906392</v>
      </c>
      <c r="U647" s="350">
        <f t="shared" si="265"/>
        <v>168995680.4867548</v>
      </c>
      <c r="V647" s="350">
        <f t="shared" si="266"/>
        <v>501555583.55029464</v>
      </c>
      <c r="W647" s="365"/>
      <c r="X647" s="377">
        <f t="shared" si="244"/>
        <v>0</v>
      </c>
      <c r="Y647" s="377">
        <f t="shared" si="245"/>
        <v>0</v>
      </c>
      <c r="Z647" s="377">
        <f t="shared" si="246"/>
        <v>0</v>
      </c>
      <c r="AA647" s="377">
        <f t="shared" si="247"/>
        <v>0</v>
      </c>
      <c r="AB647" s="377">
        <f t="shared" si="248"/>
        <v>0</v>
      </c>
      <c r="AC647" s="377">
        <f t="shared" si="249"/>
        <v>0</v>
      </c>
      <c r="AD647" s="376"/>
      <c r="AE647" s="332">
        <v>632</v>
      </c>
      <c r="AF647" s="350">
        <v>136100725.28275245</v>
      </c>
      <c r="AG647" s="350">
        <v>137217023.49587709</v>
      </c>
      <c r="AH647" s="350">
        <v>138286547.18363231</v>
      </c>
      <c r="AI647" s="350">
        <v>139358612.35347196</v>
      </c>
      <c r="AJ647" s="350">
        <v>140436549.16622552</v>
      </c>
      <c r="AK647" s="348">
        <v>691399457.48195934</v>
      </c>
      <c r="AL647" s="369"/>
      <c r="AM647" s="350">
        <v>170395639.2113395</v>
      </c>
      <c r="AN647" s="350">
        <v>206484962.41360256</v>
      </c>
      <c r="AO647" s="350">
        <v>243056526.98137242</v>
      </c>
      <c r="AP647" s="350">
        <v>280174003.30336064</v>
      </c>
      <c r="AQ647" s="350">
        <v>317846856.09899473</v>
      </c>
      <c r="AR647" s="348">
        <v>1217957988.0086699</v>
      </c>
      <c r="AS647" s="369"/>
      <c r="AT647" s="350">
        <f t="shared" si="267"/>
        <v>34294913.928587049</v>
      </c>
      <c r="AU647" s="350">
        <f t="shared" si="250"/>
        <v>69267938.917725474</v>
      </c>
      <c r="AV647" s="350">
        <f t="shared" si="251"/>
        <v>104769979.7977401</v>
      </c>
      <c r="AW647" s="350">
        <f t="shared" si="252"/>
        <v>140815390.94988868</v>
      </c>
      <c r="AX647" s="350">
        <f t="shared" si="253"/>
        <v>177410306.93276921</v>
      </c>
      <c r="AY647" s="350">
        <f t="shared" si="254"/>
        <v>526558530.52671051</v>
      </c>
      <c r="AZ647" s="365"/>
      <c r="BA647" s="377">
        <f t="shared" si="255"/>
        <v>0</v>
      </c>
      <c r="BB647" s="377">
        <f t="shared" si="256"/>
        <v>0</v>
      </c>
      <c r="BC647" s="377">
        <f t="shared" si="257"/>
        <v>0</v>
      </c>
      <c r="BD647" s="377">
        <f t="shared" si="258"/>
        <v>0</v>
      </c>
      <c r="BE647" s="377">
        <f t="shared" si="259"/>
        <v>0</v>
      </c>
      <c r="BF647" s="377">
        <f t="shared" si="260"/>
        <v>0</v>
      </c>
      <c r="BG647" s="328"/>
    </row>
    <row r="648" spans="2:59">
      <c r="B648" s="332">
        <v>633</v>
      </c>
      <c r="C648" s="350">
        <v>127772803.79413204</v>
      </c>
      <c r="D648" s="350">
        <v>128820796.39126912</v>
      </c>
      <c r="E648" s="350">
        <v>129824876.56810005</v>
      </c>
      <c r="F648" s="350">
        <v>130831342.7152558</v>
      </c>
      <c r="G648" s="350">
        <v>131843321.2230286</v>
      </c>
      <c r="H648" s="348">
        <v>649093140.69178557</v>
      </c>
      <c r="I648" s="369"/>
      <c r="J648" s="350">
        <v>162799824.40342909</v>
      </c>
      <c r="K648" s="350">
        <v>199550860.94747218</v>
      </c>
      <c r="L648" s="350">
        <v>236798035.86040807</v>
      </c>
      <c r="M648" s="350">
        <v>274602307.42225194</v>
      </c>
      <c r="N648" s="350">
        <v>312973065.01036423</v>
      </c>
      <c r="O648" s="348">
        <v>1186724093.6439254</v>
      </c>
      <c r="P648" s="369"/>
      <c r="Q648" s="350">
        <f t="shared" si="261"/>
        <v>35027020.609297052</v>
      </c>
      <c r="R648" s="350">
        <f t="shared" si="262"/>
        <v>70730064.556203067</v>
      </c>
      <c r="S648" s="350">
        <f t="shared" si="263"/>
        <v>106973159.29230802</v>
      </c>
      <c r="T648" s="350">
        <f t="shared" si="264"/>
        <v>143770964.70699614</v>
      </c>
      <c r="U648" s="350">
        <f t="shared" si="265"/>
        <v>181129743.78733563</v>
      </c>
      <c r="V648" s="350">
        <f t="shared" si="266"/>
        <v>537630952.95213985</v>
      </c>
      <c r="W648" s="365"/>
      <c r="X648" s="377">
        <f t="shared" si="244"/>
        <v>0</v>
      </c>
      <c r="Y648" s="377">
        <f t="shared" si="245"/>
        <v>0</v>
      </c>
      <c r="Z648" s="377">
        <f t="shared" si="246"/>
        <v>0</v>
      </c>
      <c r="AA648" s="377">
        <f t="shared" si="247"/>
        <v>0</v>
      </c>
      <c r="AB648" s="377">
        <f t="shared" si="248"/>
        <v>0</v>
      </c>
      <c r="AC648" s="377">
        <f t="shared" si="249"/>
        <v>0</v>
      </c>
      <c r="AD648" s="376"/>
      <c r="AE648" s="332">
        <v>633</v>
      </c>
      <c r="AF648" s="350">
        <v>129183425.54810062</v>
      </c>
      <c r="AG648" s="350">
        <v>130242988.06553084</v>
      </c>
      <c r="AH648" s="350">
        <v>131258153.36609787</v>
      </c>
      <c r="AI648" s="350">
        <v>132275730.97828884</v>
      </c>
      <c r="AJ648" s="350">
        <v>133298881.80798949</v>
      </c>
      <c r="AK648" s="348">
        <v>656259179.76600766</v>
      </c>
      <c r="AL648" s="369"/>
      <c r="AM648" s="350">
        <v>163938841.01832649</v>
      </c>
      <c r="AN648" s="350">
        <v>200446934.30096859</v>
      </c>
      <c r="AO648" s="350">
        <v>237446841.67472878</v>
      </c>
      <c r="AP648" s="350">
        <v>274999920.12332678</v>
      </c>
      <c r="AQ648" s="350">
        <v>313115548.3846097</v>
      </c>
      <c r="AR648" s="348">
        <v>1189948085.5019603</v>
      </c>
      <c r="AS648" s="369"/>
      <c r="AT648" s="350">
        <f t="shared" si="267"/>
        <v>34755415.470225871</v>
      </c>
      <c r="AU648" s="350">
        <f t="shared" si="250"/>
        <v>70203946.235437751</v>
      </c>
      <c r="AV648" s="350">
        <f t="shared" si="251"/>
        <v>106188688.30863091</v>
      </c>
      <c r="AW648" s="350">
        <f t="shared" si="252"/>
        <v>142724189.14503795</v>
      </c>
      <c r="AX648" s="350">
        <f t="shared" si="253"/>
        <v>179816666.57662022</v>
      </c>
      <c r="AY648" s="350">
        <f t="shared" si="254"/>
        <v>533688905.73595262</v>
      </c>
      <c r="AZ648" s="365"/>
      <c r="BA648" s="377">
        <f t="shared" si="255"/>
        <v>0</v>
      </c>
      <c r="BB648" s="377">
        <f t="shared" si="256"/>
        <v>0</v>
      </c>
      <c r="BC648" s="377">
        <f t="shared" si="257"/>
        <v>0</v>
      </c>
      <c r="BD648" s="377">
        <f t="shared" si="258"/>
        <v>0</v>
      </c>
      <c r="BE648" s="377">
        <f t="shared" si="259"/>
        <v>0</v>
      </c>
      <c r="BF648" s="377">
        <f t="shared" si="260"/>
        <v>0</v>
      </c>
      <c r="BG648" s="328"/>
    </row>
    <row r="649" spans="2:59">
      <c r="B649" s="332">
        <v>634</v>
      </c>
      <c r="C649" s="350">
        <v>154511001.58860719</v>
      </c>
      <c r="D649" s="350">
        <v>155778300.89669782</v>
      </c>
      <c r="E649" s="350">
        <v>156992498.51301822</v>
      </c>
      <c r="F649" s="350">
        <v>158209581.39641982</v>
      </c>
      <c r="G649" s="350">
        <v>159433330.17690399</v>
      </c>
      <c r="H649" s="348">
        <v>784924712.57164693</v>
      </c>
      <c r="I649" s="369"/>
      <c r="J649" s="350">
        <v>192592183.42473161</v>
      </c>
      <c r="K649" s="350">
        <v>232698863.36474302</v>
      </c>
      <c r="L649" s="350">
        <v>273339943.95230269</v>
      </c>
      <c r="M649" s="350">
        <v>314587351.58717042</v>
      </c>
      <c r="N649" s="350">
        <v>356451679.52990001</v>
      </c>
      <c r="O649" s="348">
        <v>1369670021.8588479</v>
      </c>
      <c r="P649" s="369"/>
      <c r="Q649" s="350">
        <f t="shared" si="261"/>
        <v>38081181.83612442</v>
      </c>
      <c r="R649" s="350">
        <f t="shared" si="262"/>
        <v>76920562.468045205</v>
      </c>
      <c r="S649" s="350">
        <f t="shared" si="263"/>
        <v>116347445.43928447</v>
      </c>
      <c r="T649" s="350">
        <f t="shared" si="264"/>
        <v>156377770.1907506</v>
      </c>
      <c r="U649" s="350">
        <f t="shared" si="265"/>
        <v>197018349.35299602</v>
      </c>
      <c r="V649" s="350">
        <f t="shared" si="266"/>
        <v>584745309.28720093</v>
      </c>
      <c r="W649" s="365"/>
      <c r="X649" s="377">
        <f t="shared" si="244"/>
        <v>0</v>
      </c>
      <c r="Y649" s="377">
        <f t="shared" si="245"/>
        <v>0</v>
      </c>
      <c r="Z649" s="377">
        <f t="shared" si="246"/>
        <v>0</v>
      </c>
      <c r="AA649" s="377">
        <f t="shared" si="247"/>
        <v>0</v>
      </c>
      <c r="AB649" s="377">
        <f t="shared" si="248"/>
        <v>0</v>
      </c>
      <c r="AC649" s="377">
        <f t="shared" si="249"/>
        <v>0</v>
      </c>
      <c r="AD649" s="376"/>
      <c r="AE649" s="332">
        <v>634</v>
      </c>
      <c r="AF649" s="350">
        <v>139169846.70165348</v>
      </c>
      <c r="AG649" s="350">
        <v>140311317.85010722</v>
      </c>
      <c r="AH649" s="350">
        <v>141404959.69043869</v>
      </c>
      <c r="AI649" s="350">
        <v>142501200.32421049</v>
      </c>
      <c r="AJ649" s="350">
        <v>143603445.00860369</v>
      </c>
      <c r="AK649" s="348">
        <v>706990769.57501352</v>
      </c>
      <c r="AL649" s="369"/>
      <c r="AM649" s="350">
        <v>174491624.17960992</v>
      </c>
      <c r="AN649" s="350">
        <v>211638512.77414128</v>
      </c>
      <c r="AO649" s="350">
        <v>249282197.49855727</v>
      </c>
      <c r="AP649" s="350">
        <v>287487889.81577146</v>
      </c>
      <c r="AQ649" s="350">
        <v>326265310.96813673</v>
      </c>
      <c r="AR649" s="348">
        <v>1249165535.2362165</v>
      </c>
      <c r="AS649" s="369"/>
      <c r="AT649" s="350">
        <f t="shared" si="267"/>
        <v>35321777.477956444</v>
      </c>
      <c r="AU649" s="350">
        <f t="shared" si="250"/>
        <v>71327194.924034059</v>
      </c>
      <c r="AV649" s="350">
        <f t="shared" si="251"/>
        <v>107877237.80811858</v>
      </c>
      <c r="AW649" s="350">
        <f t="shared" si="252"/>
        <v>144986689.49156097</v>
      </c>
      <c r="AX649" s="350">
        <f t="shared" si="253"/>
        <v>182661865.95953304</v>
      </c>
      <c r="AY649" s="350">
        <f t="shared" si="254"/>
        <v>542174765.66120303</v>
      </c>
      <c r="AZ649" s="365"/>
      <c r="BA649" s="377">
        <f t="shared" si="255"/>
        <v>0</v>
      </c>
      <c r="BB649" s="377">
        <f t="shared" si="256"/>
        <v>0</v>
      </c>
      <c r="BC649" s="377">
        <f t="shared" si="257"/>
        <v>0</v>
      </c>
      <c r="BD649" s="377">
        <f t="shared" si="258"/>
        <v>0</v>
      </c>
      <c r="BE649" s="377">
        <f t="shared" si="259"/>
        <v>0</v>
      </c>
      <c r="BF649" s="377">
        <f t="shared" si="260"/>
        <v>0</v>
      </c>
      <c r="BG649" s="328"/>
    </row>
    <row r="650" spans="2:59">
      <c r="B650" s="332">
        <v>635</v>
      </c>
      <c r="C650" s="350">
        <v>132752021.0156289</v>
      </c>
      <c r="D650" s="350">
        <v>133840853.15477116</v>
      </c>
      <c r="E650" s="350">
        <v>134884061.63715523</v>
      </c>
      <c r="F650" s="350">
        <v>135929749.06946689</v>
      </c>
      <c r="G650" s="350">
        <v>136981163.6752516</v>
      </c>
      <c r="H650" s="348">
        <v>674387848.55227387</v>
      </c>
      <c r="I650" s="369"/>
      <c r="J650" s="350">
        <v>168954856.18804023</v>
      </c>
      <c r="K650" s="350">
        <v>206954222.54354918</v>
      </c>
      <c r="L650" s="350">
        <v>245466284.90604785</v>
      </c>
      <c r="M650" s="350">
        <v>284554298.38540471</v>
      </c>
      <c r="N650" s="350">
        <v>324227985.80420262</v>
      </c>
      <c r="O650" s="348">
        <v>1230157647.8272445</v>
      </c>
      <c r="P650" s="369"/>
      <c r="Q650" s="350">
        <f t="shared" si="261"/>
        <v>36202835.172411323</v>
      </c>
      <c r="R650" s="350">
        <f t="shared" si="262"/>
        <v>73113369.388778016</v>
      </c>
      <c r="S650" s="350">
        <f t="shared" si="263"/>
        <v>110582223.26889262</v>
      </c>
      <c r="T650" s="350">
        <f t="shared" si="264"/>
        <v>148624549.31593782</v>
      </c>
      <c r="U650" s="350">
        <f t="shared" si="265"/>
        <v>187246822.12895101</v>
      </c>
      <c r="V650" s="350">
        <f t="shared" si="266"/>
        <v>555769799.27497065</v>
      </c>
      <c r="W650" s="365"/>
      <c r="X650" s="377">
        <f t="shared" si="244"/>
        <v>0</v>
      </c>
      <c r="Y650" s="377">
        <f t="shared" si="245"/>
        <v>0</v>
      </c>
      <c r="Z650" s="377">
        <f t="shared" si="246"/>
        <v>0</v>
      </c>
      <c r="AA650" s="377">
        <f t="shared" si="247"/>
        <v>0</v>
      </c>
      <c r="AB650" s="377">
        <f t="shared" si="248"/>
        <v>0</v>
      </c>
      <c r="AC650" s="377">
        <f t="shared" si="249"/>
        <v>0</v>
      </c>
      <c r="AD650" s="376"/>
      <c r="AE650" s="332">
        <v>635</v>
      </c>
      <c r="AF650" s="350">
        <v>157230736.74812135</v>
      </c>
      <c r="AG650" s="350">
        <v>158520343.32527632</v>
      </c>
      <c r="AH650" s="350">
        <v>159755913.50350985</v>
      </c>
      <c r="AI650" s="350">
        <v>160994419.73590267</v>
      </c>
      <c r="AJ650" s="350">
        <v>162239709.19990116</v>
      </c>
      <c r="AK650" s="348">
        <v>798741122.51271129</v>
      </c>
      <c r="AL650" s="369"/>
      <c r="AM650" s="350">
        <v>191696005.9206619</v>
      </c>
      <c r="AN650" s="350">
        <v>228116915.69050121</v>
      </c>
      <c r="AO650" s="350">
        <v>265015191.9895151</v>
      </c>
      <c r="AP650" s="350">
        <v>302462232.09722137</v>
      </c>
      <c r="AQ650" s="350">
        <v>340468045.86460888</v>
      </c>
      <c r="AR650" s="348">
        <v>1327758391.5625086</v>
      </c>
      <c r="AS650" s="369"/>
      <c r="AT650" s="350">
        <f t="shared" si="267"/>
        <v>34465269.172540545</v>
      </c>
      <c r="AU650" s="350">
        <f t="shared" si="250"/>
        <v>69596572.365224898</v>
      </c>
      <c r="AV650" s="350">
        <f t="shared" si="251"/>
        <v>105259278.48600525</v>
      </c>
      <c r="AW650" s="350">
        <f t="shared" si="252"/>
        <v>141467812.36131871</v>
      </c>
      <c r="AX650" s="350">
        <f t="shared" si="253"/>
        <v>178228336.66470772</v>
      </c>
      <c r="AY650" s="350">
        <f t="shared" si="254"/>
        <v>529017269.0497973</v>
      </c>
      <c r="AZ650" s="365"/>
      <c r="BA650" s="377">
        <f t="shared" si="255"/>
        <v>0</v>
      </c>
      <c r="BB650" s="377">
        <f t="shared" si="256"/>
        <v>0</v>
      </c>
      <c r="BC650" s="377">
        <f t="shared" si="257"/>
        <v>0</v>
      </c>
      <c r="BD650" s="377">
        <f t="shared" si="258"/>
        <v>0</v>
      </c>
      <c r="BE650" s="377">
        <f t="shared" si="259"/>
        <v>0</v>
      </c>
      <c r="BF650" s="377">
        <f t="shared" si="260"/>
        <v>0</v>
      </c>
      <c r="BG650" s="328"/>
    </row>
    <row r="651" spans="2:59">
      <c r="B651" s="332">
        <v>636</v>
      </c>
      <c r="C651" s="350">
        <v>120818977.31287436</v>
      </c>
      <c r="D651" s="350">
        <v>121809934.62192407</v>
      </c>
      <c r="E651" s="350">
        <v>122759369.37253267</v>
      </c>
      <c r="F651" s="350">
        <v>123711060.24092212</v>
      </c>
      <c r="G651" s="350">
        <v>124667963.46869121</v>
      </c>
      <c r="H651" s="348">
        <v>613767305.01694441</v>
      </c>
      <c r="I651" s="369"/>
      <c r="J651" s="350">
        <v>154281965.46328092</v>
      </c>
      <c r="K651" s="350">
        <v>189393903.66358051</v>
      </c>
      <c r="L651" s="350">
        <v>224980445.1419023</v>
      </c>
      <c r="M651" s="350">
        <v>261099374.54339617</v>
      </c>
      <c r="N651" s="350">
        <v>297759633.29618138</v>
      </c>
      <c r="O651" s="348">
        <v>1127515322.1083415</v>
      </c>
      <c r="P651" s="369"/>
      <c r="Q651" s="350">
        <f t="shared" si="261"/>
        <v>33462988.150406554</v>
      </c>
      <c r="R651" s="350">
        <f t="shared" si="262"/>
        <v>67583969.041656435</v>
      </c>
      <c r="S651" s="350">
        <f t="shared" si="263"/>
        <v>102221075.76936963</v>
      </c>
      <c r="T651" s="350">
        <f t="shared" si="264"/>
        <v>137388314.30247405</v>
      </c>
      <c r="U651" s="350">
        <f t="shared" si="265"/>
        <v>173091669.82749015</v>
      </c>
      <c r="V651" s="350">
        <f t="shared" si="266"/>
        <v>513748017.09139705</v>
      </c>
      <c r="W651" s="365"/>
      <c r="X651" s="377">
        <f t="shared" si="244"/>
        <v>0</v>
      </c>
      <c r="Y651" s="377">
        <f t="shared" si="245"/>
        <v>0</v>
      </c>
      <c r="Z651" s="377">
        <f t="shared" si="246"/>
        <v>0</v>
      </c>
      <c r="AA651" s="377">
        <f t="shared" si="247"/>
        <v>0</v>
      </c>
      <c r="AB651" s="377">
        <f t="shared" si="248"/>
        <v>0</v>
      </c>
      <c r="AC651" s="377">
        <f t="shared" si="249"/>
        <v>0</v>
      </c>
      <c r="AD651" s="376"/>
      <c r="AE651" s="332">
        <v>636</v>
      </c>
      <c r="AF651" s="350">
        <v>118772469.89887346</v>
      </c>
      <c r="AG651" s="350">
        <v>119746641.75314581</v>
      </c>
      <c r="AH651" s="350">
        <v>120679994.38404569</v>
      </c>
      <c r="AI651" s="350">
        <v>121615564.91719216</v>
      </c>
      <c r="AJ651" s="350">
        <v>122556259.51951464</v>
      </c>
      <c r="AK651" s="348">
        <v>603370930.47277176</v>
      </c>
      <c r="AL651" s="369"/>
      <c r="AM651" s="350">
        <v>147005306.36280739</v>
      </c>
      <c r="AN651" s="350">
        <v>176785990.59577402</v>
      </c>
      <c r="AO651" s="350">
        <v>206961601.50766835</v>
      </c>
      <c r="AP651" s="350">
        <v>237586994.13689223</v>
      </c>
      <c r="AQ651" s="350">
        <v>268670127.20024449</v>
      </c>
      <c r="AR651" s="348">
        <v>1037010019.8033864</v>
      </c>
      <c r="AS651" s="369"/>
      <c r="AT651" s="350">
        <f t="shared" si="267"/>
        <v>28232836.46393393</v>
      </c>
      <c r="AU651" s="350">
        <f t="shared" si="250"/>
        <v>57039348.842628211</v>
      </c>
      <c r="AV651" s="350">
        <f t="shared" si="251"/>
        <v>86281607.123622656</v>
      </c>
      <c r="AW651" s="350">
        <f t="shared" si="252"/>
        <v>115971429.21970007</v>
      </c>
      <c r="AX651" s="350">
        <f t="shared" si="253"/>
        <v>146113867.68072987</v>
      </c>
      <c r="AY651" s="350">
        <f t="shared" si="254"/>
        <v>433639089.33061469</v>
      </c>
      <c r="AZ651" s="365"/>
      <c r="BA651" s="377">
        <f t="shared" si="255"/>
        <v>0</v>
      </c>
      <c r="BB651" s="377">
        <f t="shared" si="256"/>
        <v>0</v>
      </c>
      <c r="BC651" s="377">
        <f t="shared" si="257"/>
        <v>0</v>
      </c>
      <c r="BD651" s="377">
        <f t="shared" si="258"/>
        <v>0</v>
      </c>
      <c r="BE651" s="377">
        <f t="shared" si="259"/>
        <v>0</v>
      </c>
      <c r="BF651" s="377">
        <f t="shared" si="260"/>
        <v>0</v>
      </c>
      <c r="BG651" s="328"/>
    </row>
    <row r="652" spans="2:59">
      <c r="B652" s="332">
        <v>637</v>
      </c>
      <c r="C652" s="350">
        <v>110133145.88158365</v>
      </c>
      <c r="D652" s="350">
        <v>111036457.99618107</v>
      </c>
      <c r="E652" s="350">
        <v>111901920.01398182</v>
      </c>
      <c r="F652" s="350">
        <v>112769438.60728262</v>
      </c>
      <c r="G652" s="350">
        <v>113641708.55296789</v>
      </c>
      <c r="H652" s="348">
        <v>559482671.05199707</v>
      </c>
      <c r="I652" s="369"/>
      <c r="J652" s="350">
        <v>140450310.07799038</v>
      </c>
      <c r="K652" s="350">
        <v>172261467.46523058</v>
      </c>
      <c r="L652" s="350">
        <v>204502295.06175312</v>
      </c>
      <c r="M652" s="350">
        <v>237225388.51778153</v>
      </c>
      <c r="N652" s="350">
        <v>270438864.30241227</v>
      </c>
      <c r="O652" s="348">
        <v>1024878325.4251679</v>
      </c>
      <c r="P652" s="369"/>
      <c r="Q652" s="350">
        <f t="shared" si="261"/>
        <v>30317164.196406737</v>
      </c>
      <c r="R652" s="350">
        <f t="shared" si="262"/>
        <v>61225009.469049513</v>
      </c>
      <c r="S652" s="350">
        <f t="shared" si="263"/>
        <v>92600375.047771305</v>
      </c>
      <c r="T652" s="350">
        <f t="shared" si="264"/>
        <v>124455949.9104989</v>
      </c>
      <c r="U652" s="350">
        <f t="shared" si="265"/>
        <v>156797155.74944437</v>
      </c>
      <c r="V652" s="350">
        <f t="shared" si="266"/>
        <v>465395654.37317085</v>
      </c>
      <c r="W652" s="365"/>
      <c r="X652" s="377">
        <f t="shared" si="244"/>
        <v>0</v>
      </c>
      <c r="Y652" s="377">
        <f t="shared" si="245"/>
        <v>0</v>
      </c>
      <c r="Z652" s="377">
        <f t="shared" si="246"/>
        <v>0</v>
      </c>
      <c r="AA652" s="377">
        <f t="shared" si="247"/>
        <v>0</v>
      </c>
      <c r="AB652" s="377">
        <f t="shared" si="248"/>
        <v>0</v>
      </c>
      <c r="AC652" s="377">
        <f t="shared" si="249"/>
        <v>0</v>
      </c>
      <c r="AD652" s="376"/>
      <c r="AE652" s="332">
        <v>637</v>
      </c>
      <c r="AF652" s="350">
        <v>133005375.61192769</v>
      </c>
      <c r="AG652" s="350">
        <v>134096285.76558858</v>
      </c>
      <c r="AH652" s="350">
        <v>135141485.19064826</v>
      </c>
      <c r="AI652" s="350">
        <v>136189168.29666215</v>
      </c>
      <c r="AJ652" s="350">
        <v>137242589.50634602</v>
      </c>
      <c r="AK652" s="348">
        <v>675674904.37117267</v>
      </c>
      <c r="AL652" s="369"/>
      <c r="AM652" s="350">
        <v>171484260.13187569</v>
      </c>
      <c r="AN652" s="350">
        <v>211822133.29773143</v>
      </c>
      <c r="AO652" s="350">
        <v>252707964.25971368</v>
      </c>
      <c r="AP652" s="350">
        <v>294206053.44160223</v>
      </c>
      <c r="AQ652" s="350">
        <v>336326539.34409857</v>
      </c>
      <c r="AR652" s="348">
        <v>1266546950.4750216</v>
      </c>
      <c r="AS652" s="369"/>
      <c r="AT652" s="350">
        <f t="shared" si="267"/>
        <v>38478884.519948006</v>
      </c>
      <c r="AU652" s="350">
        <f t="shared" si="250"/>
        <v>77725847.532142848</v>
      </c>
      <c r="AV652" s="350">
        <f t="shared" si="251"/>
        <v>117566479.06906542</v>
      </c>
      <c r="AW652" s="350">
        <f t="shared" si="252"/>
        <v>158016885.14494008</v>
      </c>
      <c r="AX652" s="350">
        <f t="shared" si="253"/>
        <v>199083949.83775255</v>
      </c>
      <c r="AY652" s="350">
        <f t="shared" si="254"/>
        <v>590872046.10384893</v>
      </c>
      <c r="AZ652" s="365"/>
      <c r="BA652" s="377">
        <f t="shared" si="255"/>
        <v>0</v>
      </c>
      <c r="BB652" s="377">
        <f t="shared" si="256"/>
        <v>0</v>
      </c>
      <c r="BC652" s="377">
        <f t="shared" si="257"/>
        <v>0</v>
      </c>
      <c r="BD652" s="377">
        <f t="shared" si="258"/>
        <v>0</v>
      </c>
      <c r="BE652" s="377">
        <f t="shared" si="259"/>
        <v>0</v>
      </c>
      <c r="BF652" s="377">
        <f t="shared" si="260"/>
        <v>0</v>
      </c>
      <c r="BG652" s="328"/>
    </row>
    <row r="653" spans="2:59">
      <c r="B653" s="332">
        <v>638</v>
      </c>
      <c r="C653" s="350">
        <v>163899950.40469462</v>
      </c>
      <c r="D653" s="350">
        <v>165244257.87541431</v>
      </c>
      <c r="E653" s="350">
        <v>166532236.8998872</v>
      </c>
      <c r="F653" s="350">
        <v>167823276.51633495</v>
      </c>
      <c r="G653" s="350">
        <v>169121387.08688971</v>
      </c>
      <c r="H653" s="348">
        <v>832621108.78322077</v>
      </c>
      <c r="I653" s="369"/>
      <c r="J653" s="350">
        <v>202880769.91292101</v>
      </c>
      <c r="K653" s="350">
        <v>243957868.48288661</v>
      </c>
      <c r="L653" s="350">
        <v>285579643.9234544</v>
      </c>
      <c r="M653" s="350">
        <v>327821799.92910194</v>
      </c>
      <c r="N653" s="350">
        <v>370695316.75086462</v>
      </c>
      <c r="O653" s="348">
        <v>1430935398.9992285</v>
      </c>
      <c r="P653" s="369"/>
      <c r="Q653" s="350">
        <f t="shared" si="261"/>
        <v>38980819.508226395</v>
      </c>
      <c r="R653" s="350">
        <f t="shared" si="262"/>
        <v>78713610.607472301</v>
      </c>
      <c r="S653" s="350">
        <f t="shared" si="263"/>
        <v>119047407.0235672</v>
      </c>
      <c r="T653" s="350">
        <f t="shared" si="264"/>
        <v>159998523.41276699</v>
      </c>
      <c r="U653" s="350">
        <f t="shared" si="265"/>
        <v>201573929.66397491</v>
      </c>
      <c r="V653" s="350">
        <f t="shared" si="266"/>
        <v>598314290.21600771</v>
      </c>
      <c r="W653" s="365"/>
      <c r="X653" s="377">
        <f t="shared" si="244"/>
        <v>0</v>
      </c>
      <c r="Y653" s="377">
        <f t="shared" si="245"/>
        <v>0</v>
      </c>
      <c r="Z653" s="377">
        <f t="shared" si="246"/>
        <v>0</v>
      </c>
      <c r="AA653" s="377">
        <f t="shared" si="247"/>
        <v>0</v>
      </c>
      <c r="AB653" s="377">
        <f t="shared" si="248"/>
        <v>0</v>
      </c>
      <c r="AC653" s="377">
        <f t="shared" si="249"/>
        <v>0</v>
      </c>
      <c r="AD653" s="376"/>
      <c r="AE653" s="332">
        <v>638</v>
      </c>
      <c r="AF653" s="350">
        <v>131543014.21619204</v>
      </c>
      <c r="AG653" s="350">
        <v>132621930.08099359</v>
      </c>
      <c r="AH653" s="350">
        <v>133655637.7954136</v>
      </c>
      <c r="AI653" s="350">
        <v>134691801.88332656</v>
      </c>
      <c r="AJ653" s="350">
        <v>135733640.98587075</v>
      </c>
      <c r="AK653" s="348">
        <v>668246024.96179652</v>
      </c>
      <c r="AL653" s="369"/>
      <c r="AM653" s="350">
        <v>161861145.73972315</v>
      </c>
      <c r="AN653" s="350">
        <v>193876845.16258743</v>
      </c>
      <c r="AO653" s="350">
        <v>226315307.39787731</v>
      </c>
      <c r="AP653" s="350">
        <v>259236887.90541586</v>
      </c>
      <c r="AQ653" s="350">
        <v>292650231.45821065</v>
      </c>
      <c r="AR653" s="348">
        <v>1133940417.6638145</v>
      </c>
      <c r="AS653" s="369"/>
      <c r="AT653" s="350">
        <f t="shared" si="267"/>
        <v>30318131.523531109</v>
      </c>
      <c r="AU653" s="350">
        <f t="shared" si="250"/>
        <v>61254915.081593841</v>
      </c>
      <c r="AV653" s="350">
        <f t="shared" si="251"/>
        <v>92659669.602463707</v>
      </c>
      <c r="AW653" s="350">
        <f t="shared" si="252"/>
        <v>124545086.0220893</v>
      </c>
      <c r="AX653" s="350">
        <f t="shared" si="253"/>
        <v>156916590.4723399</v>
      </c>
      <c r="AY653" s="350">
        <f t="shared" si="254"/>
        <v>465694392.70201802</v>
      </c>
      <c r="AZ653" s="365"/>
      <c r="BA653" s="377">
        <f t="shared" si="255"/>
        <v>0</v>
      </c>
      <c r="BB653" s="377">
        <f t="shared" si="256"/>
        <v>0</v>
      </c>
      <c r="BC653" s="377">
        <f t="shared" si="257"/>
        <v>0</v>
      </c>
      <c r="BD653" s="377">
        <f t="shared" si="258"/>
        <v>0</v>
      </c>
      <c r="BE653" s="377">
        <f t="shared" si="259"/>
        <v>0</v>
      </c>
      <c r="BF653" s="377">
        <f t="shared" si="260"/>
        <v>0</v>
      </c>
      <c r="BG653" s="328"/>
    </row>
    <row r="654" spans="2:59">
      <c r="B654" s="332">
        <v>639</v>
      </c>
      <c r="C654" s="350">
        <v>141879744.22495782</v>
      </c>
      <c r="D654" s="350">
        <v>143043441.95417908</v>
      </c>
      <c r="E654" s="350">
        <v>144158379.04908428</v>
      </c>
      <c r="F654" s="350">
        <v>145275965.54080445</v>
      </c>
      <c r="G654" s="350">
        <v>146399672.99325493</v>
      </c>
      <c r="H654" s="348">
        <v>720757203.76228046</v>
      </c>
      <c r="I654" s="369"/>
      <c r="J654" s="350">
        <v>180793142.46904361</v>
      </c>
      <c r="K654" s="350">
        <v>221622797.75712588</v>
      </c>
      <c r="L654" s="350">
        <v>263003687.66519937</v>
      </c>
      <c r="M654" s="350">
        <v>305003508.76773024</v>
      </c>
      <c r="N654" s="350">
        <v>347632690.75064951</v>
      </c>
      <c r="O654" s="348">
        <v>1318055827.4097486</v>
      </c>
      <c r="P654" s="369"/>
      <c r="Q654" s="350">
        <f t="shared" si="261"/>
        <v>38913398.244085789</v>
      </c>
      <c r="R654" s="350">
        <f t="shared" si="262"/>
        <v>78579355.802946806</v>
      </c>
      <c r="S654" s="350">
        <f t="shared" si="263"/>
        <v>118845308.61611509</v>
      </c>
      <c r="T654" s="350">
        <f t="shared" si="264"/>
        <v>159727543.22692579</v>
      </c>
      <c r="U654" s="350">
        <f t="shared" si="265"/>
        <v>201233017.75739458</v>
      </c>
      <c r="V654" s="350">
        <f t="shared" si="266"/>
        <v>597298623.64746809</v>
      </c>
      <c r="W654" s="365"/>
      <c r="X654" s="377">
        <f t="shared" si="244"/>
        <v>0</v>
      </c>
      <c r="Y654" s="377">
        <f t="shared" si="245"/>
        <v>0</v>
      </c>
      <c r="Z654" s="377">
        <f t="shared" si="246"/>
        <v>0</v>
      </c>
      <c r="AA654" s="377">
        <f t="shared" si="247"/>
        <v>0</v>
      </c>
      <c r="AB654" s="377">
        <f t="shared" si="248"/>
        <v>0</v>
      </c>
      <c r="AC654" s="377">
        <f t="shared" si="249"/>
        <v>0</v>
      </c>
      <c r="AD654" s="376"/>
      <c r="AE654" s="332">
        <v>639</v>
      </c>
      <c r="AF654" s="350">
        <v>121685272.46448763</v>
      </c>
      <c r="AG654" s="350">
        <v>122683335.12678045</v>
      </c>
      <c r="AH654" s="350">
        <v>123639577.50595471</v>
      </c>
      <c r="AI654" s="350">
        <v>124598092.17970534</v>
      </c>
      <c r="AJ654" s="350">
        <v>125561856.58644827</v>
      </c>
      <c r="AK654" s="348">
        <v>618168133.86337638</v>
      </c>
      <c r="AL654" s="369"/>
      <c r="AM654" s="350">
        <v>153151978.88267887</v>
      </c>
      <c r="AN654" s="350">
        <v>186229055.14408785</v>
      </c>
      <c r="AO654" s="350">
        <v>219749546.47619161</v>
      </c>
      <c r="AP654" s="350">
        <v>253770715.52239445</v>
      </c>
      <c r="AQ654" s="350">
        <v>288301166.87108797</v>
      </c>
      <c r="AR654" s="348">
        <v>1101202462.8964407</v>
      </c>
      <c r="AS654" s="369"/>
      <c r="AT654" s="350">
        <f t="shared" si="267"/>
        <v>31466706.418191239</v>
      </c>
      <c r="AU654" s="350">
        <f t="shared" si="250"/>
        <v>63545720.017307401</v>
      </c>
      <c r="AV654" s="350">
        <f t="shared" si="251"/>
        <v>96109968.970236897</v>
      </c>
      <c r="AW654" s="350">
        <f t="shared" si="252"/>
        <v>129172623.34268911</v>
      </c>
      <c r="AX654" s="350">
        <f t="shared" si="253"/>
        <v>162739310.28463972</v>
      </c>
      <c r="AY654" s="350">
        <f t="shared" si="254"/>
        <v>483034329.03306437</v>
      </c>
      <c r="AZ654" s="365"/>
      <c r="BA654" s="377">
        <f t="shared" si="255"/>
        <v>0</v>
      </c>
      <c r="BB654" s="377">
        <f t="shared" si="256"/>
        <v>0</v>
      </c>
      <c r="BC654" s="377">
        <f t="shared" si="257"/>
        <v>0</v>
      </c>
      <c r="BD654" s="377">
        <f t="shared" si="258"/>
        <v>0</v>
      </c>
      <c r="BE654" s="377">
        <f t="shared" si="259"/>
        <v>0</v>
      </c>
      <c r="BF654" s="377">
        <f t="shared" si="260"/>
        <v>0</v>
      </c>
      <c r="BG654" s="328"/>
    </row>
    <row r="655" spans="2:59">
      <c r="B655" s="332">
        <v>640</v>
      </c>
      <c r="C655" s="350">
        <v>118452090.52417317</v>
      </c>
      <c r="D655" s="350">
        <v>119423634.62666279</v>
      </c>
      <c r="E655" s="350">
        <v>120354469.61241716</v>
      </c>
      <c r="F655" s="350">
        <v>121287516.51780164</v>
      </c>
      <c r="G655" s="350">
        <v>122225673.67058943</v>
      </c>
      <c r="H655" s="348">
        <v>601743384.95164418</v>
      </c>
      <c r="I655" s="369"/>
      <c r="J655" s="350">
        <v>149016698.01420134</v>
      </c>
      <c r="K655" s="350">
        <v>181161431.65878713</v>
      </c>
      <c r="L655" s="350">
        <v>213736996.21064502</v>
      </c>
      <c r="M655" s="350">
        <v>246799105.9760299</v>
      </c>
      <c r="N655" s="350">
        <v>280356127.22236258</v>
      </c>
      <c r="O655" s="348">
        <v>1071070359.082026</v>
      </c>
      <c r="P655" s="369"/>
      <c r="Q655" s="350">
        <f t="shared" si="261"/>
        <v>30564607.490028173</v>
      </c>
      <c r="R655" s="350">
        <f t="shared" si="262"/>
        <v>61737797.032124341</v>
      </c>
      <c r="S655" s="350">
        <f t="shared" si="263"/>
        <v>93382526.598227859</v>
      </c>
      <c r="T655" s="350">
        <f t="shared" si="264"/>
        <v>125511589.45822826</v>
      </c>
      <c r="U655" s="350">
        <f t="shared" si="265"/>
        <v>158130453.55177313</v>
      </c>
      <c r="V655" s="350">
        <f t="shared" si="266"/>
        <v>469326974.13038182</v>
      </c>
      <c r="W655" s="365"/>
      <c r="X655" s="377">
        <f t="shared" si="244"/>
        <v>0</v>
      </c>
      <c r="Y655" s="377">
        <f t="shared" si="245"/>
        <v>0</v>
      </c>
      <c r="Z655" s="377">
        <f t="shared" si="246"/>
        <v>0</v>
      </c>
      <c r="AA655" s="377">
        <f t="shared" si="247"/>
        <v>0</v>
      </c>
      <c r="AB655" s="377">
        <f t="shared" si="248"/>
        <v>0</v>
      </c>
      <c r="AC655" s="377">
        <f t="shared" si="249"/>
        <v>0</v>
      </c>
      <c r="AD655" s="376"/>
      <c r="AE655" s="332">
        <v>640</v>
      </c>
      <c r="AF655" s="350">
        <v>124137527.92639282</v>
      </c>
      <c r="AG655" s="350">
        <v>125155703.98914385</v>
      </c>
      <c r="AH655" s="350">
        <v>126131216.9879234</v>
      </c>
      <c r="AI655" s="350">
        <v>127109048.07356523</v>
      </c>
      <c r="AJ655" s="350">
        <v>128092234.68714193</v>
      </c>
      <c r="AK655" s="348">
        <v>630625731.66416728</v>
      </c>
      <c r="AL655" s="369"/>
      <c r="AM655" s="350">
        <v>159871010.08572543</v>
      </c>
      <c r="AN655" s="350">
        <v>197329146.68641236</v>
      </c>
      <c r="AO655" s="350">
        <v>235295825.52898476</v>
      </c>
      <c r="AP655" s="350">
        <v>273830984.26424474</v>
      </c>
      <c r="AQ655" s="350">
        <v>312944052.206285</v>
      </c>
      <c r="AR655" s="348">
        <v>1179271018.7716522</v>
      </c>
      <c r="AS655" s="369"/>
      <c r="AT655" s="350">
        <f t="shared" si="267"/>
        <v>35733482.159332603</v>
      </c>
      <c r="AU655" s="350">
        <f t="shared" si="250"/>
        <v>72173442.697268516</v>
      </c>
      <c r="AV655" s="350">
        <f t="shared" si="251"/>
        <v>109164608.54106136</v>
      </c>
      <c r="AW655" s="350">
        <f t="shared" si="252"/>
        <v>146721936.19067949</v>
      </c>
      <c r="AX655" s="350">
        <f t="shared" si="253"/>
        <v>184851817.51914307</v>
      </c>
      <c r="AY655" s="350">
        <f t="shared" si="254"/>
        <v>548645287.10748494</v>
      </c>
      <c r="AZ655" s="365"/>
      <c r="BA655" s="377">
        <f t="shared" si="255"/>
        <v>0</v>
      </c>
      <c r="BB655" s="377">
        <f t="shared" si="256"/>
        <v>0</v>
      </c>
      <c r="BC655" s="377">
        <f t="shared" si="257"/>
        <v>0</v>
      </c>
      <c r="BD655" s="377">
        <f t="shared" si="258"/>
        <v>0</v>
      </c>
      <c r="BE655" s="377">
        <f t="shared" si="259"/>
        <v>0</v>
      </c>
      <c r="BF655" s="377">
        <f t="shared" si="260"/>
        <v>0</v>
      </c>
      <c r="BG655" s="328"/>
    </row>
    <row r="656" spans="2:59">
      <c r="B656" s="332">
        <v>641</v>
      </c>
      <c r="C656" s="350">
        <v>125372609.34320125</v>
      </c>
      <c r="D656" s="350">
        <v>126400915.54431689</v>
      </c>
      <c r="E656" s="350">
        <v>127386134.2138696</v>
      </c>
      <c r="F656" s="350">
        <v>128373694.03362454</v>
      </c>
      <c r="G656" s="350">
        <v>129366662.66506456</v>
      </c>
      <c r="H656" s="348">
        <v>636900015.80007684</v>
      </c>
      <c r="I656" s="369"/>
      <c r="J656" s="350">
        <v>155948414.10572141</v>
      </c>
      <c r="K656" s="350">
        <v>188165822.90322044</v>
      </c>
      <c r="L656" s="350">
        <v>220811926.97852027</v>
      </c>
      <c r="M656" s="350">
        <v>253944953.21970364</v>
      </c>
      <c r="N656" s="350">
        <v>287573439.91686231</v>
      </c>
      <c r="O656" s="348">
        <v>1106444557.1240282</v>
      </c>
      <c r="P656" s="369"/>
      <c r="Q656" s="350">
        <f t="shared" si="261"/>
        <v>30575804.762520164</v>
      </c>
      <c r="R656" s="350">
        <f t="shared" si="262"/>
        <v>61764907.358903557</v>
      </c>
      <c r="S656" s="350">
        <f t="shared" si="263"/>
        <v>93425792.764650673</v>
      </c>
      <c r="T656" s="350">
        <f t="shared" si="264"/>
        <v>125571259.1860791</v>
      </c>
      <c r="U656" s="350">
        <f t="shared" si="265"/>
        <v>158206777.25179774</v>
      </c>
      <c r="V656" s="350">
        <f t="shared" si="266"/>
        <v>469544541.32395136</v>
      </c>
      <c r="W656" s="365"/>
      <c r="X656" s="377">
        <f t="shared" ref="X656:X719" si="268">IF(Q656&lt;Q$8,1,0)</f>
        <v>0</v>
      </c>
      <c r="Y656" s="377">
        <f t="shared" ref="Y656:Y719" si="269">IF(R656&lt;R$8,1,0)</f>
        <v>0</v>
      </c>
      <c r="Z656" s="377">
        <f t="shared" ref="Z656:Z719" si="270">IF(S656&lt;S$8,1,0)</f>
        <v>0</v>
      </c>
      <c r="AA656" s="377">
        <f t="shared" ref="AA656:AA719" si="271">IF(T656&lt;T$8,1,0)</f>
        <v>0</v>
      </c>
      <c r="AB656" s="377">
        <f t="shared" ref="AB656:AB719" si="272">IF(U656&lt;U$8,1,0)</f>
        <v>0</v>
      </c>
      <c r="AC656" s="377">
        <f t="shared" ref="AC656:AC719" si="273">IF(V656&lt;V$8,1,0)</f>
        <v>0</v>
      </c>
      <c r="AD656" s="376"/>
      <c r="AE656" s="332">
        <v>641</v>
      </c>
      <c r="AF656" s="350">
        <v>109227328.13730757</v>
      </c>
      <c r="AG656" s="350">
        <v>110123210.73433818</v>
      </c>
      <c r="AH656" s="350">
        <v>110981554.54220815</v>
      </c>
      <c r="AI656" s="350">
        <v>111841938.01075594</v>
      </c>
      <c r="AJ656" s="350">
        <v>112707033.75299622</v>
      </c>
      <c r="AK656" s="348">
        <v>554881065.17760611</v>
      </c>
      <c r="AL656" s="369"/>
      <c r="AM656" s="350">
        <v>138442544.73790652</v>
      </c>
      <c r="AN656" s="350">
        <v>169128639.43572319</v>
      </c>
      <c r="AO656" s="350">
        <v>200227812.70847642</v>
      </c>
      <c r="AP656" s="350">
        <v>231791871.0950135</v>
      </c>
      <c r="AQ656" s="350">
        <v>263828712.71948862</v>
      </c>
      <c r="AR656" s="348">
        <v>1003419580.6966083</v>
      </c>
      <c r="AS656" s="369"/>
      <c r="AT656" s="350">
        <f t="shared" si="267"/>
        <v>29215216.600598946</v>
      </c>
      <c r="AU656" s="350">
        <f t="shared" ref="AU656:AU719" si="274">AN656-AG656</f>
        <v>59005428.701385006</v>
      </c>
      <c r="AV656" s="350">
        <f t="shared" ref="AV656:AV719" si="275">AO656-AH656</f>
        <v>89246258.166268274</v>
      </c>
      <c r="AW656" s="350">
        <f t="shared" ref="AW656:AW719" si="276">AP656-AI656</f>
        <v>119949933.08425756</v>
      </c>
      <c r="AX656" s="350">
        <f t="shared" ref="AX656:AX719" si="277">AQ656-AJ656</f>
        <v>151121678.96649241</v>
      </c>
      <c r="AY656" s="350">
        <f t="shared" ref="AY656:AY719" si="278">AR656-AK656</f>
        <v>448538515.5190022</v>
      </c>
      <c r="AZ656" s="365"/>
      <c r="BA656" s="377">
        <f t="shared" ref="BA656:BA719" si="279">IF(AT656&lt;AT$8,1,0)</f>
        <v>0</v>
      </c>
      <c r="BB656" s="377">
        <f t="shared" ref="BB656:BB719" si="280">IF(AU656&lt;AU$8,1,0)</f>
        <v>0</v>
      </c>
      <c r="BC656" s="377">
        <f t="shared" ref="BC656:BC719" si="281">IF(AV656&lt;AV$8,1,0)</f>
        <v>0</v>
      </c>
      <c r="BD656" s="377">
        <f t="shared" ref="BD656:BD719" si="282">IF(AW656&lt;AW$8,1,0)</f>
        <v>0</v>
      </c>
      <c r="BE656" s="377">
        <f t="shared" ref="BE656:BE719" si="283">IF(AX656&lt;AX$8,1,0)</f>
        <v>0</v>
      </c>
      <c r="BF656" s="377">
        <f t="shared" ref="BF656:BF719" si="284">IF(AY656&lt;AY$8,1,0)</f>
        <v>0</v>
      </c>
      <c r="BG656" s="328"/>
    </row>
    <row r="657" spans="2:59">
      <c r="B657" s="332">
        <v>642</v>
      </c>
      <c r="C657" s="350">
        <v>103787251.78247507</v>
      </c>
      <c r="D657" s="350">
        <v>104638514.87067097</v>
      </c>
      <c r="E657" s="350">
        <v>105454108.79228869</v>
      </c>
      <c r="F657" s="350">
        <v>106271640.78911091</v>
      </c>
      <c r="G657" s="350">
        <v>107093650.36443409</v>
      </c>
      <c r="H657" s="348">
        <v>527245166.59897971</v>
      </c>
      <c r="I657" s="369"/>
      <c r="J657" s="350">
        <v>129600179.59096652</v>
      </c>
      <c r="K657" s="350">
        <v>156779182.7867299</v>
      </c>
      <c r="L657" s="350">
        <v>184320762.72938645</v>
      </c>
      <c r="M657" s="350">
        <v>212273331.09140158</v>
      </c>
      <c r="N657" s="350">
        <v>240644045.37949753</v>
      </c>
      <c r="O657" s="348">
        <v>923617501.57798195</v>
      </c>
      <c r="P657" s="369"/>
      <c r="Q657" s="350">
        <f t="shared" ref="Q657:Q720" si="285">J657-C657</f>
        <v>25812927.808491454</v>
      </c>
      <c r="R657" s="350">
        <f t="shared" ref="R657:R720" si="286">K657-D657</f>
        <v>52140667.916058928</v>
      </c>
      <c r="S657" s="350">
        <f t="shared" ref="S657:S720" si="287">L657-E657</f>
        <v>78866653.937097758</v>
      </c>
      <c r="T657" s="350">
        <f t="shared" ref="T657:T720" si="288">M657-F657</f>
        <v>106001690.30229066</v>
      </c>
      <c r="U657" s="350">
        <f t="shared" ref="U657:U720" si="289">N657-G657</f>
        <v>133550395.01506343</v>
      </c>
      <c r="V657" s="350">
        <f t="shared" ref="V657:V720" si="290">O657-H657</f>
        <v>396372334.97900224</v>
      </c>
      <c r="W657" s="365"/>
      <c r="X657" s="377">
        <f t="shared" si="268"/>
        <v>0</v>
      </c>
      <c r="Y657" s="377">
        <f t="shared" si="269"/>
        <v>0</v>
      </c>
      <c r="Z657" s="377">
        <f t="shared" si="270"/>
        <v>0</v>
      </c>
      <c r="AA657" s="377">
        <f t="shared" si="271"/>
        <v>0</v>
      </c>
      <c r="AB657" s="377">
        <f t="shared" si="272"/>
        <v>0</v>
      </c>
      <c r="AC657" s="377">
        <f t="shared" si="273"/>
        <v>0</v>
      </c>
      <c r="AD657" s="376"/>
      <c r="AE657" s="332">
        <v>642</v>
      </c>
      <c r="AF657" s="350">
        <v>160127350.23526621</v>
      </c>
      <c r="AG657" s="350">
        <v>161440714.83761242</v>
      </c>
      <c r="AH657" s="350">
        <v>162699047.54508552</v>
      </c>
      <c r="AI657" s="350">
        <v>163960370.39674035</v>
      </c>
      <c r="AJ657" s="350">
        <v>165228601.44538966</v>
      </c>
      <c r="AK657" s="348">
        <v>813456084.46009409</v>
      </c>
      <c r="AL657" s="369"/>
      <c r="AM657" s="350">
        <v>203889667.17029345</v>
      </c>
      <c r="AN657" s="350">
        <v>249820302.33766034</v>
      </c>
      <c r="AO657" s="350">
        <v>296370799.40839076</v>
      </c>
      <c r="AP657" s="350">
        <v>343617496.87655234</v>
      </c>
      <c r="AQ657" s="350">
        <v>391572139.26996696</v>
      </c>
      <c r="AR657" s="348">
        <v>1485270405.0628638</v>
      </c>
      <c r="AS657" s="369"/>
      <c r="AT657" s="350">
        <f t="shared" ref="AT657:AT720" si="291">AM657-AF657</f>
        <v>43762316.935027242</v>
      </c>
      <c r="AU657" s="350">
        <f t="shared" si="274"/>
        <v>88379587.500047922</v>
      </c>
      <c r="AV657" s="350">
        <f t="shared" si="275"/>
        <v>133671751.86330524</v>
      </c>
      <c r="AW657" s="350">
        <f t="shared" si="276"/>
        <v>179657126.479812</v>
      </c>
      <c r="AX657" s="350">
        <f t="shared" si="277"/>
        <v>226343537.8245773</v>
      </c>
      <c r="AY657" s="350">
        <f t="shared" si="278"/>
        <v>671814320.60276973</v>
      </c>
      <c r="AZ657" s="365"/>
      <c r="BA657" s="377">
        <f t="shared" si="279"/>
        <v>0</v>
      </c>
      <c r="BB657" s="377">
        <f t="shared" si="280"/>
        <v>0</v>
      </c>
      <c r="BC657" s="377">
        <f t="shared" si="281"/>
        <v>0</v>
      </c>
      <c r="BD657" s="377">
        <f t="shared" si="282"/>
        <v>0</v>
      </c>
      <c r="BE657" s="377">
        <f t="shared" si="283"/>
        <v>0</v>
      </c>
      <c r="BF657" s="377">
        <f t="shared" si="284"/>
        <v>0</v>
      </c>
      <c r="BG657" s="328"/>
    </row>
    <row r="658" spans="2:59">
      <c r="B658" s="332">
        <v>643</v>
      </c>
      <c r="C658" s="350">
        <v>118470050.8344734</v>
      </c>
      <c r="D658" s="350">
        <v>119441742.24743655</v>
      </c>
      <c r="E658" s="350">
        <v>120372718.37114054</v>
      </c>
      <c r="F658" s="350">
        <v>121305906.74985713</v>
      </c>
      <c r="G658" s="350">
        <v>122244206.15081888</v>
      </c>
      <c r="H658" s="348">
        <v>601834624.35372651</v>
      </c>
      <c r="I658" s="369"/>
      <c r="J658" s="350">
        <v>143371544.4708046</v>
      </c>
      <c r="K658" s="350">
        <v>169751439.7075575</v>
      </c>
      <c r="L658" s="350">
        <v>196474960.88358688</v>
      </c>
      <c r="M658" s="350">
        <v>223595459.03774446</v>
      </c>
      <c r="N658" s="350">
        <v>251120289.42056695</v>
      </c>
      <c r="O658" s="348">
        <v>984313693.52026045</v>
      </c>
      <c r="P658" s="369"/>
      <c r="Q658" s="350">
        <f t="shared" si="285"/>
        <v>24901493.636331201</v>
      </c>
      <c r="R658" s="350">
        <f t="shared" si="286"/>
        <v>50309697.460120946</v>
      </c>
      <c r="S658" s="350">
        <f t="shared" si="287"/>
        <v>76102242.512446344</v>
      </c>
      <c r="T658" s="350">
        <f t="shared" si="288"/>
        <v>102289552.28788733</v>
      </c>
      <c r="U658" s="350">
        <f t="shared" si="289"/>
        <v>128876083.26974806</v>
      </c>
      <c r="V658" s="350">
        <f t="shared" si="290"/>
        <v>382479069.16653395</v>
      </c>
      <c r="W658" s="365"/>
      <c r="X658" s="377">
        <f t="shared" si="268"/>
        <v>0</v>
      </c>
      <c r="Y658" s="377">
        <f t="shared" si="269"/>
        <v>0</v>
      </c>
      <c r="Z658" s="377">
        <f t="shared" si="270"/>
        <v>0</v>
      </c>
      <c r="AA658" s="377">
        <f t="shared" si="271"/>
        <v>0</v>
      </c>
      <c r="AB658" s="377">
        <f t="shared" si="272"/>
        <v>0</v>
      </c>
      <c r="AC658" s="377">
        <f t="shared" si="273"/>
        <v>0</v>
      </c>
      <c r="AD658" s="376"/>
      <c r="AE658" s="332">
        <v>643</v>
      </c>
      <c r="AF658" s="350">
        <v>115044155.03519402</v>
      </c>
      <c r="AG658" s="350">
        <v>115987747.24919154</v>
      </c>
      <c r="AH658" s="350">
        <v>116891801.57140253</v>
      </c>
      <c r="AI658" s="350">
        <v>117798004.17503031</v>
      </c>
      <c r="AJ658" s="350">
        <v>118709170.00127354</v>
      </c>
      <c r="AK658" s="348">
        <v>584430878.03209198</v>
      </c>
      <c r="AL658" s="369"/>
      <c r="AM658" s="350">
        <v>148519043.66449493</v>
      </c>
      <c r="AN658" s="350">
        <v>183596979.29669502</v>
      </c>
      <c r="AO658" s="350">
        <v>219151705.56770658</v>
      </c>
      <c r="AP658" s="350">
        <v>255238919.66885501</v>
      </c>
      <c r="AQ658" s="350">
        <v>291867424.04382908</v>
      </c>
      <c r="AR658" s="348">
        <v>1098374072.2415805</v>
      </c>
      <c r="AS658" s="369"/>
      <c r="AT658" s="350">
        <f t="shared" si="291"/>
        <v>33474888.629300907</v>
      </c>
      <c r="AU658" s="350">
        <f t="shared" si="274"/>
        <v>67609232.047503486</v>
      </c>
      <c r="AV658" s="350">
        <f t="shared" si="275"/>
        <v>102259903.99630405</v>
      </c>
      <c r="AW658" s="350">
        <f t="shared" si="276"/>
        <v>137440915.49382472</v>
      </c>
      <c r="AX658" s="350">
        <f t="shared" si="277"/>
        <v>173158254.04255554</v>
      </c>
      <c r="AY658" s="350">
        <f t="shared" si="278"/>
        <v>513943194.20948851</v>
      </c>
      <c r="AZ658" s="365"/>
      <c r="BA658" s="377">
        <f t="shared" si="279"/>
        <v>0</v>
      </c>
      <c r="BB658" s="377">
        <f t="shared" si="280"/>
        <v>0</v>
      </c>
      <c r="BC658" s="377">
        <f t="shared" si="281"/>
        <v>0</v>
      </c>
      <c r="BD658" s="377">
        <f t="shared" si="282"/>
        <v>0</v>
      </c>
      <c r="BE658" s="377">
        <f t="shared" si="283"/>
        <v>0</v>
      </c>
      <c r="BF658" s="377">
        <f t="shared" si="284"/>
        <v>0</v>
      </c>
      <c r="BG658" s="328"/>
    </row>
    <row r="659" spans="2:59">
      <c r="B659" s="332">
        <v>644</v>
      </c>
      <c r="C659" s="350">
        <v>151161341.40230778</v>
      </c>
      <c r="D659" s="350">
        <v>152401166.79596648</v>
      </c>
      <c r="E659" s="350">
        <v>153589041.69499254</v>
      </c>
      <c r="F659" s="350">
        <v>154779739.3110925</v>
      </c>
      <c r="G659" s="350">
        <v>155976958.31359401</v>
      </c>
      <c r="H659" s="348">
        <v>767908247.51795328</v>
      </c>
      <c r="I659" s="369"/>
      <c r="J659" s="350">
        <v>185447035.6333842</v>
      </c>
      <c r="K659" s="350">
        <v>221654692.07424536</v>
      </c>
      <c r="L659" s="350">
        <v>258339337.29149029</v>
      </c>
      <c r="M659" s="350">
        <v>295570095.25293297</v>
      </c>
      <c r="N659" s="350">
        <v>333356798.17963696</v>
      </c>
      <c r="O659" s="348">
        <v>1294367958.4316897</v>
      </c>
      <c r="P659" s="369"/>
      <c r="Q659" s="350">
        <f t="shared" si="285"/>
        <v>34285694.231076419</v>
      </c>
      <c r="R659" s="350">
        <f t="shared" si="286"/>
        <v>69253525.278278887</v>
      </c>
      <c r="S659" s="350">
        <f t="shared" si="287"/>
        <v>104750295.59649774</v>
      </c>
      <c r="T659" s="350">
        <f t="shared" si="288"/>
        <v>140790355.94184047</v>
      </c>
      <c r="U659" s="350">
        <f t="shared" si="289"/>
        <v>177379839.86604294</v>
      </c>
      <c r="V659" s="350">
        <f t="shared" si="290"/>
        <v>526459710.91373646</v>
      </c>
      <c r="W659" s="365"/>
      <c r="X659" s="377">
        <f t="shared" si="268"/>
        <v>0</v>
      </c>
      <c r="Y659" s="377">
        <f t="shared" si="269"/>
        <v>0</v>
      </c>
      <c r="Z659" s="377">
        <f t="shared" si="270"/>
        <v>0</v>
      </c>
      <c r="AA659" s="377">
        <f t="shared" si="271"/>
        <v>0</v>
      </c>
      <c r="AB659" s="377">
        <f t="shared" si="272"/>
        <v>0</v>
      </c>
      <c r="AC659" s="377">
        <f t="shared" si="273"/>
        <v>0</v>
      </c>
      <c r="AD659" s="376"/>
      <c r="AE659" s="332">
        <v>644</v>
      </c>
      <c r="AF659" s="350">
        <v>113066536.72260548</v>
      </c>
      <c r="AG659" s="350">
        <v>113993908.51026805</v>
      </c>
      <c r="AH659" s="350">
        <v>114882422.06569579</v>
      </c>
      <c r="AI659" s="350">
        <v>115773046.97340932</v>
      </c>
      <c r="AJ659" s="350">
        <v>116668549.78554085</v>
      </c>
      <c r="AK659" s="348">
        <v>574384464.05751944</v>
      </c>
      <c r="AL659" s="369"/>
      <c r="AM659" s="350">
        <v>143665067.3282029</v>
      </c>
      <c r="AN659" s="350">
        <v>175788863.8997162</v>
      </c>
      <c r="AO659" s="350">
        <v>208345688.47636968</v>
      </c>
      <c r="AP659" s="350">
        <v>241389317.48019552</v>
      </c>
      <c r="AQ659" s="350">
        <v>274927989.73722023</v>
      </c>
      <c r="AR659" s="348">
        <v>1044116926.9217045</v>
      </c>
      <c r="AS659" s="369"/>
      <c r="AT659" s="350">
        <f t="shared" si="291"/>
        <v>30598530.605597422</v>
      </c>
      <c r="AU659" s="350">
        <f t="shared" si="274"/>
        <v>61794955.389448151</v>
      </c>
      <c r="AV659" s="350">
        <f t="shared" si="275"/>
        <v>93463266.410673887</v>
      </c>
      <c r="AW659" s="350">
        <f t="shared" si="276"/>
        <v>125616270.5067862</v>
      </c>
      <c r="AX659" s="350">
        <f t="shared" si="277"/>
        <v>158259439.95167938</v>
      </c>
      <c r="AY659" s="350">
        <f t="shared" si="278"/>
        <v>469732462.86418509</v>
      </c>
      <c r="AZ659" s="365"/>
      <c r="BA659" s="377">
        <f t="shared" si="279"/>
        <v>0</v>
      </c>
      <c r="BB659" s="377">
        <f t="shared" si="280"/>
        <v>0</v>
      </c>
      <c r="BC659" s="377">
        <f t="shared" si="281"/>
        <v>0</v>
      </c>
      <c r="BD659" s="377">
        <f t="shared" si="282"/>
        <v>0</v>
      </c>
      <c r="BE659" s="377">
        <f t="shared" si="283"/>
        <v>0</v>
      </c>
      <c r="BF659" s="377">
        <f t="shared" si="284"/>
        <v>0</v>
      </c>
      <c r="BG659" s="328"/>
    </row>
    <row r="660" spans="2:59">
      <c r="B660" s="332">
        <v>645</v>
      </c>
      <c r="C660" s="350">
        <v>102769313.47131999</v>
      </c>
      <c r="D660" s="350">
        <v>103612227.42900644</v>
      </c>
      <c r="E660" s="350">
        <v>104419822.0608761</v>
      </c>
      <c r="F660" s="350">
        <v>105229335.75944044</v>
      </c>
      <c r="G660" s="350">
        <v>106043283.12072013</v>
      </c>
      <c r="H660" s="348">
        <v>522073981.84136307</v>
      </c>
      <c r="I660" s="369"/>
      <c r="J660" s="350">
        <v>135598885.87583178</v>
      </c>
      <c r="K660" s="350">
        <v>169891099.86373335</v>
      </c>
      <c r="L660" s="350">
        <v>204653948.34806678</v>
      </c>
      <c r="M660" s="350">
        <v>239938409.13931066</v>
      </c>
      <c r="N660" s="350">
        <v>275752864.78763014</v>
      </c>
      <c r="O660" s="348">
        <v>1025835208.0145726</v>
      </c>
      <c r="P660" s="369"/>
      <c r="Q660" s="350">
        <f t="shared" si="285"/>
        <v>32829572.404511794</v>
      </c>
      <c r="R660" s="350">
        <f t="shared" si="286"/>
        <v>66278872.434726909</v>
      </c>
      <c r="S660" s="350">
        <f t="shared" si="287"/>
        <v>100234126.28719068</v>
      </c>
      <c r="T660" s="350">
        <f t="shared" si="288"/>
        <v>134709073.37987024</v>
      </c>
      <c r="U660" s="350">
        <f t="shared" si="289"/>
        <v>169709581.66690999</v>
      </c>
      <c r="V660" s="350">
        <f t="shared" si="290"/>
        <v>503761226.17320955</v>
      </c>
      <c r="W660" s="365"/>
      <c r="X660" s="377">
        <f t="shared" si="268"/>
        <v>0</v>
      </c>
      <c r="Y660" s="377">
        <f t="shared" si="269"/>
        <v>0</v>
      </c>
      <c r="Z660" s="377">
        <f t="shared" si="270"/>
        <v>0</v>
      </c>
      <c r="AA660" s="377">
        <f t="shared" si="271"/>
        <v>0</v>
      </c>
      <c r="AB660" s="377">
        <f t="shared" si="272"/>
        <v>0</v>
      </c>
      <c r="AC660" s="377">
        <f t="shared" si="273"/>
        <v>0</v>
      </c>
      <c r="AD660" s="376"/>
      <c r="AE660" s="332">
        <v>645</v>
      </c>
      <c r="AF660" s="350">
        <v>123402870.76019302</v>
      </c>
      <c r="AG660" s="350">
        <v>124415021.16451941</v>
      </c>
      <c r="AH660" s="350">
        <v>125384760.98876229</v>
      </c>
      <c r="AI660" s="350">
        <v>126356805.18121883</v>
      </c>
      <c r="AJ660" s="350">
        <v>127334173.20710942</v>
      </c>
      <c r="AK660" s="348">
        <v>626893631.30180299</v>
      </c>
      <c r="AL660" s="369"/>
      <c r="AM660" s="350">
        <v>153536882.50597045</v>
      </c>
      <c r="AN660" s="350">
        <v>185294745.30168578</v>
      </c>
      <c r="AO660" s="350">
        <v>217475276.73074672</v>
      </c>
      <c r="AP660" s="350">
        <v>250135805.42878637</v>
      </c>
      <c r="AQ660" s="350">
        <v>283284743.55280155</v>
      </c>
      <c r="AR660" s="348">
        <v>1089727453.5199909</v>
      </c>
      <c r="AS660" s="369"/>
      <c r="AT660" s="350">
        <f t="shared" si="291"/>
        <v>30134011.745777428</v>
      </c>
      <c r="AU660" s="350">
        <f t="shared" si="274"/>
        <v>60879724.137166366</v>
      </c>
      <c r="AV660" s="350">
        <f t="shared" si="275"/>
        <v>92090515.741984427</v>
      </c>
      <c r="AW660" s="350">
        <f t="shared" si="276"/>
        <v>123779000.24756753</v>
      </c>
      <c r="AX660" s="350">
        <f t="shared" si="277"/>
        <v>155950570.34569213</v>
      </c>
      <c r="AY660" s="350">
        <f t="shared" si="278"/>
        <v>462833822.21818793</v>
      </c>
      <c r="AZ660" s="365"/>
      <c r="BA660" s="377">
        <f t="shared" si="279"/>
        <v>0</v>
      </c>
      <c r="BB660" s="377">
        <f t="shared" si="280"/>
        <v>0</v>
      </c>
      <c r="BC660" s="377">
        <f t="shared" si="281"/>
        <v>0</v>
      </c>
      <c r="BD660" s="377">
        <f t="shared" si="282"/>
        <v>0</v>
      </c>
      <c r="BE660" s="377">
        <f t="shared" si="283"/>
        <v>0</v>
      </c>
      <c r="BF660" s="377">
        <f t="shared" si="284"/>
        <v>0</v>
      </c>
      <c r="BG660" s="328"/>
    </row>
    <row r="661" spans="2:59">
      <c r="B661" s="332">
        <v>646</v>
      </c>
      <c r="C661" s="350">
        <v>100120298.44976911</v>
      </c>
      <c r="D661" s="350">
        <v>100941485.18499622</v>
      </c>
      <c r="E661" s="350">
        <v>101728262.996758</v>
      </c>
      <c r="F661" s="350">
        <v>102516910.40873134</v>
      </c>
      <c r="G661" s="350">
        <v>103309877.19989772</v>
      </c>
      <c r="H661" s="348">
        <v>508616834.24015236</v>
      </c>
      <c r="I661" s="369"/>
      <c r="J661" s="350">
        <v>130689729.26136893</v>
      </c>
      <c r="K661" s="350">
        <v>162659212.34746459</v>
      </c>
      <c r="L661" s="350">
        <v>195065436.2050043</v>
      </c>
      <c r="M661" s="350">
        <v>227957472.98989698</v>
      </c>
      <c r="N661" s="350">
        <v>261343236.73300332</v>
      </c>
      <c r="O661" s="348">
        <v>977715087.53673816</v>
      </c>
      <c r="P661" s="369"/>
      <c r="Q661" s="350">
        <f t="shared" si="285"/>
        <v>30569430.811599821</v>
      </c>
      <c r="R661" s="350">
        <f t="shared" si="286"/>
        <v>61717727.162468374</v>
      </c>
      <c r="S661" s="350">
        <f t="shared" si="287"/>
        <v>93337173.208246306</v>
      </c>
      <c r="T661" s="350">
        <f t="shared" si="288"/>
        <v>125440562.58116564</v>
      </c>
      <c r="U661" s="350">
        <f t="shared" si="289"/>
        <v>158033359.53310561</v>
      </c>
      <c r="V661" s="350">
        <f t="shared" si="290"/>
        <v>469098253.2965858</v>
      </c>
      <c r="W661" s="365"/>
      <c r="X661" s="377">
        <f t="shared" si="268"/>
        <v>0</v>
      </c>
      <c r="Y661" s="377">
        <f t="shared" si="269"/>
        <v>0</v>
      </c>
      <c r="Z661" s="377">
        <f t="shared" si="270"/>
        <v>0</v>
      </c>
      <c r="AA661" s="377">
        <f t="shared" si="271"/>
        <v>0</v>
      </c>
      <c r="AB661" s="377">
        <f t="shared" si="272"/>
        <v>0</v>
      </c>
      <c r="AC661" s="377">
        <f t="shared" si="273"/>
        <v>0</v>
      </c>
      <c r="AD661" s="376"/>
      <c r="AE661" s="332">
        <v>646</v>
      </c>
      <c r="AF661" s="350">
        <v>127012312.53180374</v>
      </c>
      <c r="AG661" s="350">
        <v>128054067.57924765</v>
      </c>
      <c r="AH661" s="350">
        <v>129052171.56882678</v>
      </c>
      <c r="AI661" s="350">
        <v>130052647.32766818</v>
      </c>
      <c r="AJ661" s="350">
        <v>131058602.63809404</v>
      </c>
      <c r="AK661" s="348">
        <v>645229801.64564037</v>
      </c>
      <c r="AL661" s="369"/>
      <c r="AM661" s="350">
        <v>161278289.13065773</v>
      </c>
      <c r="AN661" s="350">
        <v>197258287.59141055</v>
      </c>
      <c r="AO661" s="350">
        <v>233723122.327456</v>
      </c>
      <c r="AP661" s="350">
        <v>270733158.14231062</v>
      </c>
      <c r="AQ661" s="350">
        <v>308297631.39594299</v>
      </c>
      <c r="AR661" s="348">
        <v>1171290488.5877779</v>
      </c>
      <c r="AS661" s="369"/>
      <c r="AT661" s="350">
        <f t="shared" si="291"/>
        <v>34265976.59885399</v>
      </c>
      <c r="AU661" s="350">
        <f t="shared" si="274"/>
        <v>69204220.012162894</v>
      </c>
      <c r="AV661" s="350">
        <f t="shared" si="275"/>
        <v>104670950.75862922</v>
      </c>
      <c r="AW661" s="350">
        <f t="shared" si="276"/>
        <v>140680510.81464243</v>
      </c>
      <c r="AX661" s="350">
        <f t="shared" si="277"/>
        <v>177239028.75784895</v>
      </c>
      <c r="AY661" s="350">
        <f t="shared" si="278"/>
        <v>526060686.94213748</v>
      </c>
      <c r="AZ661" s="365"/>
      <c r="BA661" s="377">
        <f t="shared" si="279"/>
        <v>0</v>
      </c>
      <c r="BB661" s="377">
        <f t="shared" si="280"/>
        <v>0</v>
      </c>
      <c r="BC661" s="377">
        <f t="shared" si="281"/>
        <v>0</v>
      </c>
      <c r="BD661" s="377">
        <f t="shared" si="282"/>
        <v>0</v>
      </c>
      <c r="BE661" s="377">
        <f t="shared" si="283"/>
        <v>0</v>
      </c>
      <c r="BF661" s="377">
        <f t="shared" si="284"/>
        <v>0</v>
      </c>
      <c r="BG661" s="328"/>
    </row>
    <row r="662" spans="2:59">
      <c r="B662" s="332">
        <v>647</v>
      </c>
      <c r="C662" s="350">
        <v>127016420.91610509</v>
      </c>
      <c r="D662" s="350">
        <v>128058209.66051897</v>
      </c>
      <c r="E662" s="350">
        <v>129056345.93511586</v>
      </c>
      <c r="F662" s="350">
        <v>130056854.05569309</v>
      </c>
      <c r="G662" s="350">
        <v>131062841.9050982</v>
      </c>
      <c r="H662" s="348">
        <v>645250672.4725312</v>
      </c>
      <c r="I662" s="369"/>
      <c r="J662" s="350">
        <v>159436038.49882844</v>
      </c>
      <c r="K662" s="350">
        <v>193563977.5887939</v>
      </c>
      <c r="L662" s="350">
        <v>228148750.27505916</v>
      </c>
      <c r="M662" s="350">
        <v>263249951.75299978</v>
      </c>
      <c r="N662" s="350">
        <v>298876492.91002178</v>
      </c>
      <c r="O662" s="348">
        <v>1143275211.025703</v>
      </c>
      <c r="P662" s="369"/>
      <c r="Q662" s="350">
        <f t="shared" si="285"/>
        <v>32419617.582723349</v>
      </c>
      <c r="R662" s="350">
        <f t="shared" si="286"/>
        <v>65505767.92827493</v>
      </c>
      <c r="S662" s="350">
        <f t="shared" si="287"/>
        <v>99092404.339943305</v>
      </c>
      <c r="T662" s="350">
        <f t="shared" si="288"/>
        <v>133193097.69730669</v>
      </c>
      <c r="U662" s="350">
        <f t="shared" si="289"/>
        <v>167813651.00492358</v>
      </c>
      <c r="V662" s="350">
        <f t="shared" si="290"/>
        <v>498024538.55317175</v>
      </c>
      <c r="W662" s="365"/>
      <c r="X662" s="377">
        <f t="shared" si="268"/>
        <v>0</v>
      </c>
      <c r="Y662" s="377">
        <f t="shared" si="269"/>
        <v>0</v>
      </c>
      <c r="Z662" s="377">
        <f t="shared" si="270"/>
        <v>0</v>
      </c>
      <c r="AA662" s="377">
        <f t="shared" si="271"/>
        <v>0</v>
      </c>
      <c r="AB662" s="377">
        <f t="shared" si="272"/>
        <v>0</v>
      </c>
      <c r="AC662" s="377">
        <f t="shared" si="273"/>
        <v>0</v>
      </c>
      <c r="AD662" s="376"/>
      <c r="AE662" s="332">
        <v>647</v>
      </c>
      <c r="AF662" s="350">
        <v>126636785.56648099</v>
      </c>
      <c r="AG662" s="350">
        <v>127675460.54157776</v>
      </c>
      <c r="AH662" s="350">
        <v>128670613.51833923</v>
      </c>
      <c r="AI662" s="350">
        <v>129668131.25194588</v>
      </c>
      <c r="AJ662" s="350">
        <v>130671112.33619282</v>
      </c>
      <c r="AK662" s="348">
        <v>643322103.21453667</v>
      </c>
      <c r="AL662" s="369"/>
      <c r="AM662" s="350">
        <v>162099981.92748389</v>
      </c>
      <c r="AN662" s="350">
        <v>199296071.29339054</v>
      </c>
      <c r="AO662" s="350">
        <v>236995566.86347234</v>
      </c>
      <c r="AP662" s="350">
        <v>275259198.37853891</v>
      </c>
      <c r="AQ662" s="350">
        <v>314096406.90191966</v>
      </c>
      <c r="AR662" s="348">
        <v>1187747225.3648052</v>
      </c>
      <c r="AS662" s="369"/>
      <c r="AT662" s="350">
        <f t="shared" si="291"/>
        <v>35463196.361002892</v>
      </c>
      <c r="AU662" s="350">
        <f t="shared" si="274"/>
        <v>71620610.751812786</v>
      </c>
      <c r="AV662" s="350">
        <f t="shared" si="275"/>
        <v>108324953.34513311</v>
      </c>
      <c r="AW662" s="350">
        <f t="shared" si="276"/>
        <v>145591067.12659302</v>
      </c>
      <c r="AX662" s="350">
        <f t="shared" si="277"/>
        <v>183425294.56572685</v>
      </c>
      <c r="AY662" s="350">
        <f t="shared" si="278"/>
        <v>544425122.15026855</v>
      </c>
      <c r="AZ662" s="365"/>
      <c r="BA662" s="377">
        <f t="shared" si="279"/>
        <v>0</v>
      </c>
      <c r="BB662" s="377">
        <f t="shared" si="280"/>
        <v>0</v>
      </c>
      <c r="BC662" s="377">
        <f t="shared" si="281"/>
        <v>0</v>
      </c>
      <c r="BD662" s="377">
        <f t="shared" si="282"/>
        <v>0</v>
      </c>
      <c r="BE662" s="377">
        <f t="shared" si="283"/>
        <v>0</v>
      </c>
      <c r="BF662" s="377">
        <f t="shared" si="284"/>
        <v>0</v>
      </c>
      <c r="BG662" s="328"/>
    </row>
    <row r="663" spans="2:59">
      <c r="B663" s="332">
        <v>648</v>
      </c>
      <c r="C663" s="350">
        <v>164000355.37409526</v>
      </c>
      <c r="D663" s="350">
        <v>165345486.36642152</v>
      </c>
      <c r="E663" s="350">
        <v>166634254.40574288</v>
      </c>
      <c r="F663" s="350">
        <v>167926084.91195527</v>
      </c>
      <c r="G663" s="350">
        <v>169224990.70393494</v>
      </c>
      <c r="H663" s="348">
        <v>833131171.76214981</v>
      </c>
      <c r="I663" s="369"/>
      <c r="J663" s="350">
        <v>197040856.94932932</v>
      </c>
      <c r="K663" s="350">
        <v>232102889.58612806</v>
      </c>
      <c r="L663" s="350">
        <v>267618585.21706241</v>
      </c>
      <c r="M663" s="350">
        <v>303661199.88316005</v>
      </c>
      <c r="N663" s="350">
        <v>340240660.101717</v>
      </c>
      <c r="O663" s="348">
        <v>1340664191.737397</v>
      </c>
      <c r="P663" s="369"/>
      <c r="Q663" s="350">
        <f t="shared" si="285"/>
        <v>33040501.575234056</v>
      </c>
      <c r="R663" s="350">
        <f t="shared" si="286"/>
        <v>66757403.219706535</v>
      </c>
      <c r="S663" s="350">
        <f t="shared" si="287"/>
        <v>100984330.81131953</v>
      </c>
      <c r="T663" s="350">
        <f t="shared" si="288"/>
        <v>135735114.97120479</v>
      </c>
      <c r="U663" s="350">
        <f t="shared" si="289"/>
        <v>171015669.39778206</v>
      </c>
      <c r="V663" s="350">
        <f t="shared" si="290"/>
        <v>507533019.97524714</v>
      </c>
      <c r="W663" s="365"/>
      <c r="X663" s="377">
        <f t="shared" si="268"/>
        <v>0</v>
      </c>
      <c r="Y663" s="377">
        <f t="shared" si="269"/>
        <v>0</v>
      </c>
      <c r="Z663" s="377">
        <f t="shared" si="270"/>
        <v>0</v>
      </c>
      <c r="AA663" s="377">
        <f t="shared" si="271"/>
        <v>0</v>
      </c>
      <c r="AB663" s="377">
        <f t="shared" si="272"/>
        <v>0</v>
      </c>
      <c r="AC663" s="377">
        <f t="shared" si="273"/>
        <v>0</v>
      </c>
      <c r="AD663" s="376"/>
      <c r="AE663" s="332">
        <v>648</v>
      </c>
      <c r="AF663" s="350">
        <v>117497577.39820826</v>
      </c>
      <c r="AG663" s="350">
        <v>118461292.58358735</v>
      </c>
      <c r="AH663" s="350">
        <v>119384626.69529146</v>
      </c>
      <c r="AI663" s="350">
        <v>120310154.90248841</v>
      </c>
      <c r="AJ663" s="350">
        <v>121240752.17758569</v>
      </c>
      <c r="AK663" s="348">
        <v>596894403.75716114</v>
      </c>
      <c r="AL663" s="369"/>
      <c r="AM663" s="350">
        <v>147430551.50561491</v>
      </c>
      <c r="AN663" s="350">
        <v>178923915.86977404</v>
      </c>
      <c r="AO663" s="350">
        <v>210838705.00591582</v>
      </c>
      <c r="AP663" s="350">
        <v>243230023.01078606</v>
      </c>
      <c r="AQ663" s="350">
        <v>276106099.90086722</v>
      </c>
      <c r="AR663" s="348">
        <v>1056529295.292958</v>
      </c>
      <c r="AS663" s="369"/>
      <c r="AT663" s="350">
        <f t="shared" si="291"/>
        <v>29932974.107406646</v>
      </c>
      <c r="AU663" s="350">
        <f t="shared" si="274"/>
        <v>60462623.286186695</v>
      </c>
      <c r="AV663" s="350">
        <f t="shared" si="275"/>
        <v>91454078.310624361</v>
      </c>
      <c r="AW663" s="350">
        <f t="shared" si="276"/>
        <v>122919868.10829765</v>
      </c>
      <c r="AX663" s="350">
        <f t="shared" si="277"/>
        <v>154865347.72328153</v>
      </c>
      <c r="AY663" s="350">
        <f t="shared" si="278"/>
        <v>459634891.53579688</v>
      </c>
      <c r="AZ663" s="365"/>
      <c r="BA663" s="377">
        <f t="shared" si="279"/>
        <v>0</v>
      </c>
      <c r="BB663" s="377">
        <f t="shared" si="280"/>
        <v>0</v>
      </c>
      <c r="BC663" s="377">
        <f t="shared" si="281"/>
        <v>0</v>
      </c>
      <c r="BD663" s="377">
        <f t="shared" si="282"/>
        <v>0</v>
      </c>
      <c r="BE663" s="377">
        <f t="shared" si="283"/>
        <v>0</v>
      </c>
      <c r="BF663" s="377">
        <f t="shared" si="284"/>
        <v>0</v>
      </c>
      <c r="BG663" s="328"/>
    </row>
    <row r="664" spans="2:59">
      <c r="B664" s="332">
        <v>649</v>
      </c>
      <c r="C664" s="350">
        <v>122822759.72130623</v>
      </c>
      <c r="D664" s="350">
        <v>123830152.05461742</v>
      </c>
      <c r="E664" s="350">
        <v>124795333.17796922</v>
      </c>
      <c r="F664" s="350">
        <v>125762807.8368091</v>
      </c>
      <c r="G664" s="350">
        <v>126735581.30199477</v>
      </c>
      <c r="H664" s="348">
        <v>623946634.09269679</v>
      </c>
      <c r="I664" s="369"/>
      <c r="J664" s="350">
        <v>159008016.15498963</v>
      </c>
      <c r="K664" s="350">
        <v>196876614.05813554</v>
      </c>
      <c r="L664" s="350">
        <v>235260559.73014575</v>
      </c>
      <c r="M664" s="350">
        <v>274219501.31707746</v>
      </c>
      <c r="N664" s="350">
        <v>313762910.75108445</v>
      </c>
      <c r="O664" s="348">
        <v>1179127602.0114326</v>
      </c>
      <c r="P664" s="369"/>
      <c r="Q664" s="350">
        <f t="shared" si="285"/>
        <v>36185256.433683395</v>
      </c>
      <c r="R664" s="350">
        <f t="shared" si="286"/>
        <v>73046462.003518119</v>
      </c>
      <c r="S664" s="350">
        <f t="shared" si="287"/>
        <v>110465226.55217654</v>
      </c>
      <c r="T664" s="350">
        <f t="shared" si="288"/>
        <v>148456693.48026836</v>
      </c>
      <c r="U664" s="350">
        <f t="shared" si="289"/>
        <v>187027329.44908968</v>
      </c>
      <c r="V664" s="350">
        <f t="shared" si="290"/>
        <v>555180967.91873586</v>
      </c>
      <c r="W664" s="365"/>
      <c r="X664" s="377">
        <f t="shared" si="268"/>
        <v>0</v>
      </c>
      <c r="Y664" s="377">
        <f t="shared" si="269"/>
        <v>0</v>
      </c>
      <c r="Z664" s="377">
        <f t="shared" si="270"/>
        <v>0</v>
      </c>
      <c r="AA664" s="377">
        <f t="shared" si="271"/>
        <v>0</v>
      </c>
      <c r="AB664" s="377">
        <f t="shared" si="272"/>
        <v>0</v>
      </c>
      <c r="AC664" s="377">
        <f t="shared" si="273"/>
        <v>0</v>
      </c>
      <c r="AD664" s="376"/>
      <c r="AE664" s="332">
        <v>649</v>
      </c>
      <c r="AF664" s="350">
        <v>123171582.16219693</v>
      </c>
      <c r="AG664" s="350">
        <v>124181835.53733319</v>
      </c>
      <c r="AH664" s="350">
        <v>125149757.82067943</v>
      </c>
      <c r="AI664" s="350">
        <v>126119980.15326285</v>
      </c>
      <c r="AJ664" s="350">
        <v>127095516.34105243</v>
      </c>
      <c r="AK664" s="348">
        <v>625718672.01452482</v>
      </c>
      <c r="AL664" s="369"/>
      <c r="AM664" s="350">
        <v>158799798.21075329</v>
      </c>
      <c r="AN664" s="350">
        <v>196144703.56106248</v>
      </c>
      <c r="AO664" s="350">
        <v>233996891.12902129</v>
      </c>
      <c r="AP664" s="350">
        <v>272415904.60903776</v>
      </c>
      <c r="AQ664" s="350">
        <v>311411131.16168582</v>
      </c>
      <c r="AR664" s="348">
        <v>1172768428.6715608</v>
      </c>
      <c r="AS664" s="369"/>
      <c r="AT664" s="350">
        <f t="shared" si="291"/>
        <v>35628216.048556358</v>
      </c>
      <c r="AU664" s="350">
        <f t="shared" si="274"/>
        <v>71962868.023729295</v>
      </c>
      <c r="AV664" s="350">
        <f t="shared" si="275"/>
        <v>108847133.30834186</v>
      </c>
      <c r="AW664" s="350">
        <f t="shared" si="276"/>
        <v>146295924.4557749</v>
      </c>
      <c r="AX664" s="350">
        <f t="shared" si="277"/>
        <v>184315614.82063341</v>
      </c>
      <c r="AY664" s="350">
        <f t="shared" si="278"/>
        <v>547049756.65703595</v>
      </c>
      <c r="AZ664" s="365"/>
      <c r="BA664" s="377">
        <f t="shared" si="279"/>
        <v>0</v>
      </c>
      <c r="BB664" s="377">
        <f t="shared" si="280"/>
        <v>0</v>
      </c>
      <c r="BC664" s="377">
        <f t="shared" si="281"/>
        <v>0</v>
      </c>
      <c r="BD664" s="377">
        <f t="shared" si="282"/>
        <v>0</v>
      </c>
      <c r="BE664" s="377">
        <f t="shared" si="283"/>
        <v>0</v>
      </c>
      <c r="BF664" s="377">
        <f t="shared" si="284"/>
        <v>0</v>
      </c>
      <c r="BG664" s="328"/>
    </row>
    <row r="665" spans="2:59">
      <c r="B665" s="332">
        <v>650</v>
      </c>
      <c r="C665" s="350">
        <v>123761722.44938973</v>
      </c>
      <c r="D665" s="350">
        <v>124776816.15544063</v>
      </c>
      <c r="E665" s="350">
        <v>125749375.95276733</v>
      </c>
      <c r="F665" s="350">
        <v>126724246.8193384</v>
      </c>
      <c r="G665" s="350">
        <v>127704457.00088467</v>
      </c>
      <c r="H665" s="348">
        <v>628716618.37782073</v>
      </c>
      <c r="I665" s="369"/>
      <c r="J665" s="350">
        <v>155360655.33401611</v>
      </c>
      <c r="K665" s="350">
        <v>188589165.83087441</v>
      </c>
      <c r="L665" s="350">
        <v>222262410.60654902</v>
      </c>
      <c r="M665" s="350">
        <v>256438460.02472487</v>
      </c>
      <c r="N665" s="350">
        <v>291125993.0665096</v>
      </c>
      <c r="O665" s="348">
        <v>1113776684.862674</v>
      </c>
      <c r="P665" s="369"/>
      <c r="Q665" s="350">
        <f t="shared" si="285"/>
        <v>31598932.884626389</v>
      </c>
      <c r="R665" s="350">
        <f t="shared" si="286"/>
        <v>63812349.675433785</v>
      </c>
      <c r="S665" s="350">
        <f t="shared" si="287"/>
        <v>96513034.653781697</v>
      </c>
      <c r="T665" s="350">
        <f t="shared" si="288"/>
        <v>129714213.20538647</v>
      </c>
      <c r="U665" s="350">
        <f t="shared" si="289"/>
        <v>163421536.06562495</v>
      </c>
      <c r="V665" s="350">
        <f t="shared" si="290"/>
        <v>485060066.48485327</v>
      </c>
      <c r="W665" s="365"/>
      <c r="X665" s="377">
        <f t="shared" si="268"/>
        <v>0</v>
      </c>
      <c r="Y665" s="377">
        <f t="shared" si="269"/>
        <v>0</v>
      </c>
      <c r="Z665" s="377">
        <f t="shared" si="270"/>
        <v>0</v>
      </c>
      <c r="AA665" s="377">
        <f t="shared" si="271"/>
        <v>0</v>
      </c>
      <c r="AB665" s="377">
        <f t="shared" si="272"/>
        <v>0</v>
      </c>
      <c r="AC665" s="377">
        <f t="shared" si="273"/>
        <v>0</v>
      </c>
      <c r="AD665" s="376"/>
      <c r="AE665" s="332">
        <v>650</v>
      </c>
      <c r="AF665" s="350">
        <v>148382805.10515308</v>
      </c>
      <c r="AG665" s="350">
        <v>149599840.94278869</v>
      </c>
      <c r="AH665" s="350">
        <v>150765881.20147082</v>
      </c>
      <c r="AI665" s="350">
        <v>151934692.29212332</v>
      </c>
      <c r="AJ665" s="350">
        <v>153109904.89786211</v>
      </c>
      <c r="AK665" s="348">
        <v>753793124.43939805</v>
      </c>
      <c r="AL665" s="369"/>
      <c r="AM665" s="350">
        <v>183263895.11264712</v>
      </c>
      <c r="AN665" s="350">
        <v>220090717.92082763</v>
      </c>
      <c r="AO665" s="350">
        <v>257405210.98722038</v>
      </c>
      <c r="AP665" s="350">
        <v>295275742.61897171</v>
      </c>
      <c r="AQ665" s="350">
        <v>333712188.86334735</v>
      </c>
      <c r="AR665" s="348">
        <v>1289747755.5030141</v>
      </c>
      <c r="AS665" s="369"/>
      <c r="AT665" s="350">
        <f t="shared" si="291"/>
        <v>34881090.007494032</v>
      </c>
      <c r="AU665" s="350">
        <f t="shared" si="274"/>
        <v>70490876.978038937</v>
      </c>
      <c r="AV665" s="350">
        <f t="shared" si="275"/>
        <v>106639329.78574955</v>
      </c>
      <c r="AW665" s="350">
        <f t="shared" si="276"/>
        <v>143341050.32684839</v>
      </c>
      <c r="AX665" s="350">
        <f t="shared" si="277"/>
        <v>180602283.96548524</v>
      </c>
      <c r="AY665" s="350">
        <f t="shared" si="278"/>
        <v>535954631.06361604</v>
      </c>
      <c r="AZ665" s="365"/>
      <c r="BA665" s="377">
        <f t="shared" si="279"/>
        <v>0</v>
      </c>
      <c r="BB665" s="377">
        <f t="shared" si="280"/>
        <v>0</v>
      </c>
      <c r="BC665" s="377">
        <f t="shared" si="281"/>
        <v>0</v>
      </c>
      <c r="BD665" s="377">
        <f t="shared" si="282"/>
        <v>0</v>
      </c>
      <c r="BE665" s="377">
        <f t="shared" si="283"/>
        <v>0</v>
      </c>
      <c r="BF665" s="377">
        <f t="shared" si="284"/>
        <v>0</v>
      </c>
      <c r="BG665" s="328"/>
    </row>
    <row r="666" spans="2:59">
      <c r="B666" s="332">
        <v>651</v>
      </c>
      <c r="C666" s="350">
        <v>150305748.25385672</v>
      </c>
      <c r="D666" s="350">
        <v>151538556.07210729</v>
      </c>
      <c r="E666" s="350">
        <v>152719707.44238323</v>
      </c>
      <c r="F666" s="350">
        <v>153903665.55278173</v>
      </c>
      <c r="G666" s="350">
        <v>155094108.13767391</v>
      </c>
      <c r="H666" s="348">
        <v>763561785.45880294</v>
      </c>
      <c r="I666" s="369"/>
      <c r="J666" s="350">
        <v>192751901.27808377</v>
      </c>
      <c r="K666" s="350">
        <v>237263781.51597866</v>
      </c>
      <c r="L666" s="350">
        <v>282378658.83158469</v>
      </c>
      <c r="M666" s="350">
        <v>328168762.19991732</v>
      </c>
      <c r="N666" s="350">
        <v>374645361.0084632</v>
      </c>
      <c r="O666" s="348">
        <v>1415208464.8340275</v>
      </c>
      <c r="P666" s="369"/>
      <c r="Q666" s="350">
        <f t="shared" si="285"/>
        <v>42446153.024227053</v>
      </c>
      <c r="R666" s="350">
        <f t="shared" si="286"/>
        <v>85725225.443871379</v>
      </c>
      <c r="S666" s="350">
        <f t="shared" si="287"/>
        <v>129658951.38920146</v>
      </c>
      <c r="T666" s="350">
        <f t="shared" si="288"/>
        <v>174265096.64713559</v>
      </c>
      <c r="U666" s="350">
        <f t="shared" si="289"/>
        <v>219551252.87078929</v>
      </c>
      <c r="V666" s="350">
        <f t="shared" si="290"/>
        <v>651646679.37522459</v>
      </c>
      <c r="W666" s="365"/>
      <c r="X666" s="377">
        <f t="shared" si="268"/>
        <v>0</v>
      </c>
      <c r="Y666" s="377">
        <f t="shared" si="269"/>
        <v>0</v>
      </c>
      <c r="Z666" s="377">
        <f t="shared" si="270"/>
        <v>0</v>
      </c>
      <c r="AA666" s="377">
        <f t="shared" si="271"/>
        <v>0</v>
      </c>
      <c r="AB666" s="377">
        <f t="shared" si="272"/>
        <v>0</v>
      </c>
      <c r="AC666" s="377">
        <f t="shared" si="273"/>
        <v>0</v>
      </c>
      <c r="AD666" s="376"/>
      <c r="AE666" s="332">
        <v>651</v>
      </c>
      <c r="AF666" s="350">
        <v>135871694.68512577</v>
      </c>
      <c r="AG666" s="350">
        <v>136986114.38918039</v>
      </c>
      <c r="AH666" s="350">
        <v>138053838.28013903</v>
      </c>
      <c r="AI666" s="350">
        <v>139124099.37637034</v>
      </c>
      <c r="AJ666" s="350">
        <v>140200222.2347022</v>
      </c>
      <c r="AK666" s="348">
        <v>690235968.96551776</v>
      </c>
      <c r="AL666" s="369"/>
      <c r="AM666" s="350">
        <v>166550668.83121493</v>
      </c>
      <c r="AN666" s="350">
        <v>198952137.43800539</v>
      </c>
      <c r="AO666" s="350">
        <v>231780171.25749123</v>
      </c>
      <c r="AP666" s="350">
        <v>265096844.29307187</v>
      </c>
      <c r="AQ666" s="350">
        <v>298910969.07613015</v>
      </c>
      <c r="AR666" s="348">
        <v>1161290790.8959136</v>
      </c>
      <c r="AS666" s="369"/>
      <c r="AT666" s="350">
        <f t="shared" si="291"/>
        <v>30678974.146089166</v>
      </c>
      <c r="AU666" s="350">
        <f t="shared" si="274"/>
        <v>61966023.048824996</v>
      </c>
      <c r="AV666" s="350">
        <f t="shared" si="275"/>
        <v>93726332.977352202</v>
      </c>
      <c r="AW666" s="350">
        <f t="shared" si="276"/>
        <v>125972744.91670153</v>
      </c>
      <c r="AX666" s="350">
        <f t="shared" si="277"/>
        <v>158710746.84142795</v>
      </c>
      <c r="AY666" s="350">
        <f t="shared" si="278"/>
        <v>471054821.93039584</v>
      </c>
      <c r="AZ666" s="365"/>
      <c r="BA666" s="377">
        <f t="shared" si="279"/>
        <v>0</v>
      </c>
      <c r="BB666" s="377">
        <f t="shared" si="280"/>
        <v>0</v>
      </c>
      <c r="BC666" s="377">
        <f t="shared" si="281"/>
        <v>0</v>
      </c>
      <c r="BD666" s="377">
        <f t="shared" si="282"/>
        <v>0</v>
      </c>
      <c r="BE666" s="377">
        <f t="shared" si="283"/>
        <v>0</v>
      </c>
      <c r="BF666" s="377">
        <f t="shared" si="284"/>
        <v>0</v>
      </c>
      <c r="BG666" s="328"/>
    </row>
    <row r="667" spans="2:59">
      <c r="B667" s="332">
        <v>652</v>
      </c>
      <c r="C667" s="350">
        <v>116254704.31390588</v>
      </c>
      <c r="D667" s="350">
        <v>117208225.45365985</v>
      </c>
      <c r="E667" s="350">
        <v>118121792.66513786</v>
      </c>
      <c r="F667" s="350">
        <v>119037530.7632708</v>
      </c>
      <c r="G667" s="350">
        <v>119958284.30940649</v>
      </c>
      <c r="H667" s="348">
        <v>590580537.50538087</v>
      </c>
      <c r="I667" s="369"/>
      <c r="J667" s="350">
        <v>146614066.31601131</v>
      </c>
      <c r="K667" s="350">
        <v>178530041.40898293</v>
      </c>
      <c r="L667" s="350">
        <v>210874414.2652711</v>
      </c>
      <c r="M667" s="350">
        <v>243702016.98317331</v>
      </c>
      <c r="N667" s="350">
        <v>277021125.13151145</v>
      </c>
      <c r="O667" s="348">
        <v>1056741664.1049502</v>
      </c>
      <c r="P667" s="369"/>
      <c r="Q667" s="350">
        <f t="shared" si="285"/>
        <v>30359362.00210543</v>
      </c>
      <c r="R667" s="350">
        <f t="shared" si="286"/>
        <v>61321815.955323085</v>
      </c>
      <c r="S667" s="350">
        <f t="shared" si="287"/>
        <v>92752621.60013324</v>
      </c>
      <c r="T667" s="350">
        <f t="shared" si="288"/>
        <v>124664486.21990252</v>
      </c>
      <c r="U667" s="350">
        <f t="shared" si="289"/>
        <v>157062840.82210496</v>
      </c>
      <c r="V667" s="350">
        <f t="shared" si="290"/>
        <v>466161126.59956932</v>
      </c>
      <c r="W667" s="365"/>
      <c r="X667" s="377">
        <f t="shared" si="268"/>
        <v>0</v>
      </c>
      <c r="Y667" s="377">
        <f t="shared" si="269"/>
        <v>0</v>
      </c>
      <c r="Z667" s="377">
        <f t="shared" si="270"/>
        <v>0</v>
      </c>
      <c r="AA667" s="377">
        <f t="shared" si="271"/>
        <v>0</v>
      </c>
      <c r="AB667" s="377">
        <f t="shared" si="272"/>
        <v>0</v>
      </c>
      <c r="AC667" s="377">
        <f t="shared" si="273"/>
        <v>0</v>
      </c>
      <c r="AD667" s="376"/>
      <c r="AE667" s="332">
        <v>652</v>
      </c>
      <c r="AF667" s="350">
        <v>116517221.45164678</v>
      </c>
      <c r="AG667" s="350">
        <v>117472895.75708857</v>
      </c>
      <c r="AH667" s="350">
        <v>118388525.91346772</v>
      </c>
      <c r="AI667" s="350">
        <v>119306331.8586255</v>
      </c>
      <c r="AJ667" s="350">
        <v>120229164.57727233</v>
      </c>
      <c r="AK667" s="348">
        <v>591914139.55810082</v>
      </c>
      <c r="AL667" s="369"/>
      <c r="AM667" s="350">
        <v>146447008.94243869</v>
      </c>
      <c r="AN667" s="350">
        <v>177909687.00434151</v>
      </c>
      <c r="AO667" s="350">
        <v>209793775.25070578</v>
      </c>
      <c r="AP667" s="350">
        <v>242154020.13544485</v>
      </c>
      <c r="AQ667" s="350">
        <v>274998624.15671813</v>
      </c>
      <c r="AR667" s="348">
        <v>1051303115.4896489</v>
      </c>
      <c r="AS667" s="369"/>
      <c r="AT667" s="350">
        <f t="shared" si="291"/>
        <v>29929787.490791917</v>
      </c>
      <c r="AU667" s="350">
        <f t="shared" si="274"/>
        <v>60436791.247252941</v>
      </c>
      <c r="AV667" s="350">
        <f t="shared" si="275"/>
        <v>91405249.337238058</v>
      </c>
      <c r="AW667" s="350">
        <f t="shared" si="276"/>
        <v>122847688.27681935</v>
      </c>
      <c r="AX667" s="350">
        <f t="shared" si="277"/>
        <v>154769459.57944581</v>
      </c>
      <c r="AY667" s="350">
        <f t="shared" si="278"/>
        <v>459388975.93154812</v>
      </c>
      <c r="AZ667" s="365"/>
      <c r="BA667" s="377">
        <f t="shared" si="279"/>
        <v>0</v>
      </c>
      <c r="BB667" s="377">
        <f t="shared" si="280"/>
        <v>0</v>
      </c>
      <c r="BC667" s="377">
        <f t="shared" si="281"/>
        <v>0</v>
      </c>
      <c r="BD667" s="377">
        <f t="shared" si="282"/>
        <v>0</v>
      </c>
      <c r="BE667" s="377">
        <f t="shared" si="283"/>
        <v>0</v>
      </c>
      <c r="BF667" s="377">
        <f t="shared" si="284"/>
        <v>0</v>
      </c>
      <c r="BG667" s="328"/>
    </row>
    <row r="668" spans="2:59">
      <c r="B668" s="332">
        <v>653</v>
      </c>
      <c r="C668" s="350">
        <v>132776178.23803008</v>
      </c>
      <c r="D668" s="350">
        <v>133865208.51472193</v>
      </c>
      <c r="E668" s="350">
        <v>134908606.83240283</v>
      </c>
      <c r="F668" s="350">
        <v>135954484.55111217</v>
      </c>
      <c r="G668" s="350">
        <v>137006090.4854829</v>
      </c>
      <c r="H668" s="348">
        <v>674510568.62174988</v>
      </c>
      <c r="I668" s="369"/>
      <c r="J668" s="350">
        <v>167949826.61236656</v>
      </c>
      <c r="K668" s="350">
        <v>204910729.36058652</v>
      </c>
      <c r="L668" s="350">
        <v>242368613.63129315</v>
      </c>
      <c r="M668" s="350">
        <v>280386313.11849403</v>
      </c>
      <c r="N668" s="350">
        <v>318973368.79839098</v>
      </c>
      <c r="O668" s="348">
        <v>1214588851.5211313</v>
      </c>
      <c r="P668" s="369"/>
      <c r="Q668" s="350">
        <f t="shared" si="285"/>
        <v>35173648.374336481</v>
      </c>
      <c r="R668" s="350">
        <f t="shared" si="286"/>
        <v>71045520.845864594</v>
      </c>
      <c r="S668" s="350">
        <f t="shared" si="287"/>
        <v>107460006.79889032</v>
      </c>
      <c r="T668" s="350">
        <f t="shared" si="288"/>
        <v>144431828.56738186</v>
      </c>
      <c r="U668" s="350">
        <f t="shared" si="289"/>
        <v>181967278.31290808</v>
      </c>
      <c r="V668" s="350">
        <f t="shared" si="290"/>
        <v>540078282.8993814</v>
      </c>
      <c r="W668" s="365"/>
      <c r="X668" s="377">
        <f t="shared" si="268"/>
        <v>0</v>
      </c>
      <c r="Y668" s="377">
        <f t="shared" si="269"/>
        <v>0</v>
      </c>
      <c r="Z668" s="377">
        <f t="shared" si="270"/>
        <v>0</v>
      </c>
      <c r="AA668" s="377">
        <f t="shared" si="271"/>
        <v>0</v>
      </c>
      <c r="AB668" s="377">
        <f t="shared" si="272"/>
        <v>0</v>
      </c>
      <c r="AC668" s="377">
        <f t="shared" si="273"/>
        <v>0</v>
      </c>
      <c r="AD668" s="376"/>
      <c r="AE668" s="332">
        <v>653</v>
      </c>
      <c r="AF668" s="350">
        <v>129956243.4967432</v>
      </c>
      <c r="AG668" s="350">
        <v>131022144.66735357</v>
      </c>
      <c r="AH668" s="350">
        <v>132043383.02227557</v>
      </c>
      <c r="AI668" s="350">
        <v>133067048.12006699</v>
      </c>
      <c r="AJ668" s="350">
        <v>134096319.77619722</v>
      </c>
      <c r="AK668" s="348">
        <v>660185139.08263659</v>
      </c>
      <c r="AL668" s="369"/>
      <c r="AM668" s="350">
        <v>166614485.23204076</v>
      </c>
      <c r="AN668" s="350">
        <v>205048683.09631515</v>
      </c>
      <c r="AO668" s="350">
        <v>244003459.03165531</v>
      </c>
      <c r="AP668" s="350">
        <v>283541245.34403217</v>
      </c>
      <c r="AQ668" s="350">
        <v>323671776.89465511</v>
      </c>
      <c r="AR668" s="348">
        <v>1222879649.5986986</v>
      </c>
      <c r="AS668" s="369"/>
      <c r="AT668" s="350">
        <f t="shared" si="291"/>
        <v>36658241.735297561</v>
      </c>
      <c r="AU668" s="350">
        <f t="shared" si="274"/>
        <v>74026538.428961575</v>
      </c>
      <c r="AV668" s="350">
        <f t="shared" si="275"/>
        <v>111960076.00937974</v>
      </c>
      <c r="AW668" s="350">
        <f t="shared" si="276"/>
        <v>150474197.22396517</v>
      </c>
      <c r="AX668" s="350">
        <f t="shared" si="277"/>
        <v>189575457.11845788</v>
      </c>
      <c r="AY668" s="350">
        <f t="shared" si="278"/>
        <v>562694510.51606202</v>
      </c>
      <c r="AZ668" s="365"/>
      <c r="BA668" s="377">
        <f t="shared" si="279"/>
        <v>0</v>
      </c>
      <c r="BB668" s="377">
        <f t="shared" si="280"/>
        <v>0</v>
      </c>
      <c r="BC668" s="377">
        <f t="shared" si="281"/>
        <v>0</v>
      </c>
      <c r="BD668" s="377">
        <f t="shared" si="282"/>
        <v>0</v>
      </c>
      <c r="BE668" s="377">
        <f t="shared" si="283"/>
        <v>0</v>
      </c>
      <c r="BF668" s="377">
        <f t="shared" si="284"/>
        <v>0</v>
      </c>
      <c r="BG668" s="328"/>
    </row>
    <row r="669" spans="2:59">
      <c r="B669" s="332">
        <v>654</v>
      </c>
      <c r="C669" s="350">
        <v>123134485.14228272</v>
      </c>
      <c r="D669" s="350">
        <v>124144434.24764414</v>
      </c>
      <c r="E669" s="350">
        <v>125112065.0105634</v>
      </c>
      <c r="F669" s="350">
        <v>126081995.12998724</v>
      </c>
      <c r="G669" s="350">
        <v>127057237.50418158</v>
      </c>
      <c r="H669" s="348">
        <v>625530217.03465915</v>
      </c>
      <c r="I669" s="369"/>
      <c r="J669" s="350">
        <v>155591454.86348778</v>
      </c>
      <c r="K669" s="350">
        <v>189691436.6263603</v>
      </c>
      <c r="L669" s="350">
        <v>224249629.0206106</v>
      </c>
      <c r="M669" s="350">
        <v>259324234.35798362</v>
      </c>
      <c r="N669" s="350">
        <v>294924070.00108933</v>
      </c>
      <c r="O669" s="348">
        <v>1123780824.8695316</v>
      </c>
      <c r="P669" s="369"/>
      <c r="Q669" s="350">
        <f t="shared" si="285"/>
        <v>32456969.721205056</v>
      </c>
      <c r="R669" s="350">
        <f t="shared" si="286"/>
        <v>65547002.378716156</v>
      </c>
      <c r="S669" s="350">
        <f t="shared" si="287"/>
        <v>99137564.010047197</v>
      </c>
      <c r="T669" s="350">
        <f t="shared" si="288"/>
        <v>133242239.22799638</v>
      </c>
      <c r="U669" s="350">
        <f t="shared" si="289"/>
        <v>167866832.49690777</v>
      </c>
      <c r="V669" s="350">
        <f t="shared" si="290"/>
        <v>498250607.83487248</v>
      </c>
      <c r="W669" s="365"/>
      <c r="X669" s="377">
        <f t="shared" si="268"/>
        <v>0</v>
      </c>
      <c r="Y669" s="377">
        <f t="shared" si="269"/>
        <v>0</v>
      </c>
      <c r="Z669" s="377">
        <f t="shared" si="270"/>
        <v>0</v>
      </c>
      <c r="AA669" s="377">
        <f t="shared" si="271"/>
        <v>0</v>
      </c>
      <c r="AB669" s="377">
        <f t="shared" si="272"/>
        <v>0</v>
      </c>
      <c r="AC669" s="377">
        <f t="shared" si="273"/>
        <v>0</v>
      </c>
      <c r="AD669" s="376"/>
      <c r="AE669" s="332">
        <v>654</v>
      </c>
      <c r="AF669" s="350">
        <v>138578676.36064517</v>
      </c>
      <c r="AG669" s="350">
        <v>139715298.72968242</v>
      </c>
      <c r="AH669" s="350">
        <v>140804294.96153611</v>
      </c>
      <c r="AI669" s="350">
        <v>141895878.94758821</v>
      </c>
      <c r="AJ669" s="350">
        <v>142993441.4800542</v>
      </c>
      <c r="AK669" s="348">
        <v>703987590.47950602</v>
      </c>
      <c r="AL669" s="369"/>
      <c r="AM669" s="350">
        <v>174307235.07431215</v>
      </c>
      <c r="AN669" s="350">
        <v>211868702.54716462</v>
      </c>
      <c r="AO669" s="350">
        <v>249933515.87893814</v>
      </c>
      <c r="AP669" s="350">
        <v>288566842.83933246</v>
      </c>
      <c r="AQ669" s="350">
        <v>327778463.67202741</v>
      </c>
      <c r="AR669" s="348">
        <v>1252454760.0117748</v>
      </c>
      <c r="AS669" s="369"/>
      <c r="AT669" s="350">
        <f t="shared" si="291"/>
        <v>35728558.713666975</v>
      </c>
      <c r="AU669" s="350">
        <f t="shared" si="274"/>
        <v>72153403.817482203</v>
      </c>
      <c r="AV669" s="350">
        <f t="shared" si="275"/>
        <v>109129220.91740203</v>
      </c>
      <c r="AW669" s="350">
        <f t="shared" si="276"/>
        <v>146670963.89174426</v>
      </c>
      <c r="AX669" s="350">
        <f t="shared" si="277"/>
        <v>184785022.19197321</v>
      </c>
      <c r="AY669" s="350">
        <f t="shared" si="278"/>
        <v>548467169.53226876</v>
      </c>
      <c r="AZ669" s="365"/>
      <c r="BA669" s="377">
        <f t="shared" si="279"/>
        <v>0</v>
      </c>
      <c r="BB669" s="377">
        <f t="shared" si="280"/>
        <v>0</v>
      </c>
      <c r="BC669" s="377">
        <f t="shared" si="281"/>
        <v>0</v>
      </c>
      <c r="BD669" s="377">
        <f t="shared" si="282"/>
        <v>0</v>
      </c>
      <c r="BE669" s="377">
        <f t="shared" si="283"/>
        <v>0</v>
      </c>
      <c r="BF669" s="377">
        <f t="shared" si="284"/>
        <v>0</v>
      </c>
      <c r="BG669" s="328"/>
    </row>
    <row r="670" spans="2:59">
      <c r="B670" s="332">
        <v>655</v>
      </c>
      <c r="C670" s="350">
        <v>123493461.58007793</v>
      </c>
      <c r="D670" s="350">
        <v>124506355.0103519</v>
      </c>
      <c r="E670" s="350">
        <v>125476806.72666997</v>
      </c>
      <c r="F670" s="350">
        <v>126449564.50285281</v>
      </c>
      <c r="G670" s="350">
        <v>127427650.02072918</v>
      </c>
      <c r="H670" s="348">
        <v>627353837.84068179</v>
      </c>
      <c r="I670" s="369"/>
      <c r="J670" s="350">
        <v>156802017.32189834</v>
      </c>
      <c r="K670" s="350">
        <v>191770465.03700078</v>
      </c>
      <c r="L670" s="350">
        <v>227210090.89426392</v>
      </c>
      <c r="M670" s="350">
        <v>263179583.55642888</v>
      </c>
      <c r="N670" s="350">
        <v>299687921.05542427</v>
      </c>
      <c r="O670" s="348">
        <v>1138650077.8650162</v>
      </c>
      <c r="P670" s="369"/>
      <c r="Q670" s="350">
        <f t="shared" si="285"/>
        <v>33308555.74182041</v>
      </c>
      <c r="R670" s="350">
        <f t="shared" si="286"/>
        <v>67264110.026648879</v>
      </c>
      <c r="S670" s="350">
        <f t="shared" si="287"/>
        <v>101733284.16759396</v>
      </c>
      <c r="T670" s="350">
        <f t="shared" si="288"/>
        <v>136730019.05357605</v>
      </c>
      <c r="U670" s="350">
        <f t="shared" si="289"/>
        <v>172260271.03469509</v>
      </c>
      <c r="V670" s="350">
        <f t="shared" si="290"/>
        <v>511296240.02433443</v>
      </c>
      <c r="W670" s="365"/>
      <c r="X670" s="377">
        <f t="shared" si="268"/>
        <v>0</v>
      </c>
      <c r="Y670" s="377">
        <f t="shared" si="269"/>
        <v>0</v>
      </c>
      <c r="Z670" s="377">
        <f t="shared" si="270"/>
        <v>0</v>
      </c>
      <c r="AA670" s="377">
        <f t="shared" si="271"/>
        <v>0</v>
      </c>
      <c r="AB670" s="377">
        <f t="shared" si="272"/>
        <v>0</v>
      </c>
      <c r="AC670" s="377">
        <f t="shared" si="273"/>
        <v>0</v>
      </c>
      <c r="AD670" s="376"/>
      <c r="AE670" s="332">
        <v>655</v>
      </c>
      <c r="AF670" s="350">
        <v>136143966.58143151</v>
      </c>
      <c r="AG670" s="350">
        <v>137260619.45970833</v>
      </c>
      <c r="AH670" s="350">
        <v>138330482.95162794</v>
      </c>
      <c r="AI670" s="350">
        <v>139402888.7331</v>
      </c>
      <c r="AJ670" s="350">
        <v>140481168.02299744</v>
      </c>
      <c r="AK670" s="348">
        <v>691619125.74886513</v>
      </c>
      <c r="AL670" s="369"/>
      <c r="AM670" s="350">
        <v>175483968.28621125</v>
      </c>
      <c r="AN670" s="350">
        <v>216709203.09710386</v>
      </c>
      <c r="AO670" s="350">
        <v>258494342.59590676</v>
      </c>
      <c r="AP670" s="350">
        <v>300905183.98129034</v>
      </c>
      <c r="AQ670" s="350">
        <v>343952094.06143105</v>
      </c>
      <c r="AR670" s="348">
        <v>1295544792.0219431</v>
      </c>
      <c r="AS670" s="369"/>
      <c r="AT670" s="350">
        <f t="shared" si="291"/>
        <v>39340001.704779744</v>
      </c>
      <c r="AU670" s="350">
        <f t="shared" si="274"/>
        <v>79448583.637395531</v>
      </c>
      <c r="AV670" s="350">
        <f t="shared" si="275"/>
        <v>120163859.64427882</v>
      </c>
      <c r="AW670" s="350">
        <f t="shared" si="276"/>
        <v>161502295.24819034</v>
      </c>
      <c r="AX670" s="350">
        <f t="shared" si="277"/>
        <v>203470926.03843361</v>
      </c>
      <c r="AY670" s="350">
        <f t="shared" si="278"/>
        <v>603925666.27307796</v>
      </c>
      <c r="AZ670" s="365"/>
      <c r="BA670" s="377">
        <f t="shared" si="279"/>
        <v>0</v>
      </c>
      <c r="BB670" s="377">
        <f t="shared" si="280"/>
        <v>0</v>
      </c>
      <c r="BC670" s="377">
        <f t="shared" si="281"/>
        <v>0</v>
      </c>
      <c r="BD670" s="377">
        <f t="shared" si="282"/>
        <v>0</v>
      </c>
      <c r="BE670" s="377">
        <f t="shared" si="283"/>
        <v>0</v>
      </c>
      <c r="BF670" s="377">
        <f t="shared" si="284"/>
        <v>0</v>
      </c>
      <c r="BG670" s="328"/>
    </row>
    <row r="671" spans="2:59">
      <c r="B671" s="332">
        <v>656</v>
      </c>
      <c r="C671" s="350">
        <v>131726436.81053826</v>
      </c>
      <c r="D671" s="350">
        <v>132806857.10754545</v>
      </c>
      <c r="E671" s="350">
        <v>133842006.21626455</v>
      </c>
      <c r="F671" s="350">
        <v>134879615.12362534</v>
      </c>
      <c r="G671" s="350">
        <v>135922906.95881537</v>
      </c>
      <c r="H671" s="348">
        <v>669177822.21678901</v>
      </c>
      <c r="I671" s="369"/>
      <c r="J671" s="350">
        <v>166743318.42408609</v>
      </c>
      <c r="K671" s="350">
        <v>203543723.64368477</v>
      </c>
      <c r="L671" s="350">
        <v>240839177.33440006</v>
      </c>
      <c r="M671" s="350">
        <v>278692067.64463151</v>
      </c>
      <c r="N671" s="350">
        <v>317111883.04114962</v>
      </c>
      <c r="O671" s="348">
        <v>1206930170.0879521</v>
      </c>
      <c r="P671" s="369"/>
      <c r="Q671" s="350">
        <f t="shared" si="285"/>
        <v>35016881.613547832</v>
      </c>
      <c r="R671" s="350">
        <f t="shared" si="286"/>
        <v>70736866.536139324</v>
      </c>
      <c r="S671" s="350">
        <f t="shared" si="287"/>
        <v>106997171.11813551</v>
      </c>
      <c r="T671" s="350">
        <f t="shared" si="288"/>
        <v>143812452.52100617</v>
      </c>
      <c r="U671" s="350">
        <f t="shared" si="289"/>
        <v>181188976.08233425</v>
      </c>
      <c r="V671" s="350">
        <f t="shared" si="290"/>
        <v>537752347.87116313</v>
      </c>
      <c r="W671" s="365"/>
      <c r="X671" s="377">
        <f t="shared" si="268"/>
        <v>0</v>
      </c>
      <c r="Y671" s="377">
        <f t="shared" si="269"/>
        <v>0</v>
      </c>
      <c r="Z671" s="377">
        <f t="shared" si="270"/>
        <v>0</v>
      </c>
      <c r="AA671" s="377">
        <f t="shared" si="271"/>
        <v>0</v>
      </c>
      <c r="AB671" s="377">
        <f t="shared" si="272"/>
        <v>0</v>
      </c>
      <c r="AC671" s="377">
        <f t="shared" si="273"/>
        <v>0</v>
      </c>
      <c r="AD671" s="376"/>
      <c r="AE671" s="332">
        <v>656</v>
      </c>
      <c r="AF671" s="350">
        <v>119905462.41051972</v>
      </c>
      <c r="AG671" s="350">
        <v>120888927.0699084</v>
      </c>
      <c r="AH671" s="350">
        <v>121831183.12381892</v>
      </c>
      <c r="AI671" s="350">
        <v>122775678.23695502</v>
      </c>
      <c r="AJ671" s="350">
        <v>123725346.29870866</v>
      </c>
      <c r="AK671" s="348">
        <v>609126597.1399107</v>
      </c>
      <c r="AL671" s="369"/>
      <c r="AM671" s="350">
        <v>148561838.50506961</v>
      </c>
      <c r="AN671" s="350">
        <v>178764944.00705636</v>
      </c>
      <c r="AO671" s="350">
        <v>209368827.2649816</v>
      </c>
      <c r="AP671" s="350">
        <v>240428930.08804059</v>
      </c>
      <c r="AQ671" s="350">
        <v>271953311.80933487</v>
      </c>
      <c r="AR671" s="348">
        <v>1049077851.6744831</v>
      </c>
      <c r="AS671" s="369"/>
      <c r="AT671" s="350">
        <f t="shared" si="291"/>
        <v>28656376.094549894</v>
      </c>
      <c r="AU671" s="350">
        <f t="shared" si="274"/>
        <v>57876016.93714796</v>
      </c>
      <c r="AV671" s="350">
        <f t="shared" si="275"/>
        <v>87537644.141162679</v>
      </c>
      <c r="AW671" s="350">
        <f t="shared" si="276"/>
        <v>117653251.85108557</v>
      </c>
      <c r="AX671" s="350">
        <f t="shared" si="277"/>
        <v>148227965.5106262</v>
      </c>
      <c r="AY671" s="350">
        <f t="shared" si="278"/>
        <v>439951254.53457236</v>
      </c>
      <c r="AZ671" s="365"/>
      <c r="BA671" s="377">
        <f t="shared" si="279"/>
        <v>0</v>
      </c>
      <c r="BB671" s="377">
        <f t="shared" si="280"/>
        <v>0</v>
      </c>
      <c r="BC671" s="377">
        <f t="shared" si="281"/>
        <v>0</v>
      </c>
      <c r="BD671" s="377">
        <f t="shared" si="282"/>
        <v>0</v>
      </c>
      <c r="BE671" s="377">
        <f t="shared" si="283"/>
        <v>0</v>
      </c>
      <c r="BF671" s="377">
        <f t="shared" si="284"/>
        <v>0</v>
      </c>
      <c r="BG671" s="328"/>
    </row>
    <row r="672" spans="2:59">
      <c r="B672" s="332">
        <v>657</v>
      </c>
      <c r="C672" s="350">
        <v>125244682.47540772</v>
      </c>
      <c r="D672" s="350">
        <v>126271939.4202932</v>
      </c>
      <c r="E672" s="350">
        <v>127256152.79898421</v>
      </c>
      <c r="F672" s="350">
        <v>128242704.93903013</v>
      </c>
      <c r="G672" s="350">
        <v>129234660.37175393</v>
      </c>
      <c r="H672" s="348">
        <v>636250140.0054692</v>
      </c>
      <c r="I672" s="369"/>
      <c r="J672" s="350">
        <v>158255347.92393413</v>
      </c>
      <c r="K672" s="350">
        <v>192935235.26911262</v>
      </c>
      <c r="L672" s="350">
        <v>228081117.15308285</v>
      </c>
      <c r="M672" s="350">
        <v>263752192.15579963</v>
      </c>
      <c r="N672" s="350">
        <v>299957428.00382334</v>
      </c>
      <c r="O672" s="348">
        <v>1142981320.5057526</v>
      </c>
      <c r="P672" s="369"/>
      <c r="Q672" s="350">
        <f t="shared" si="285"/>
        <v>33010665.448526412</v>
      </c>
      <c r="R672" s="350">
        <f t="shared" si="286"/>
        <v>66663295.84881942</v>
      </c>
      <c r="S672" s="350">
        <f t="shared" si="287"/>
        <v>100824964.35409863</v>
      </c>
      <c r="T672" s="350">
        <f t="shared" si="288"/>
        <v>135509487.21676952</v>
      </c>
      <c r="U672" s="350">
        <f t="shared" si="289"/>
        <v>170722767.63206941</v>
      </c>
      <c r="V672" s="350">
        <f t="shared" si="290"/>
        <v>506731180.50028336</v>
      </c>
      <c r="W672" s="365"/>
      <c r="X672" s="377">
        <f t="shared" si="268"/>
        <v>0</v>
      </c>
      <c r="Y672" s="377">
        <f t="shared" si="269"/>
        <v>0</v>
      </c>
      <c r="Z672" s="377">
        <f t="shared" si="270"/>
        <v>0</v>
      </c>
      <c r="AA672" s="377">
        <f t="shared" si="271"/>
        <v>0</v>
      </c>
      <c r="AB672" s="377">
        <f t="shared" si="272"/>
        <v>0</v>
      </c>
      <c r="AC672" s="377">
        <f t="shared" si="273"/>
        <v>0</v>
      </c>
      <c r="AD672" s="376"/>
      <c r="AE672" s="332">
        <v>657</v>
      </c>
      <c r="AF672" s="350">
        <v>141191062.44032803</v>
      </c>
      <c r="AG672" s="350">
        <v>142349111.60122612</v>
      </c>
      <c r="AH672" s="350">
        <v>143458636.81107002</v>
      </c>
      <c r="AI672" s="350">
        <v>144570798.55760339</v>
      </c>
      <c r="AJ672" s="350">
        <v>145689051.55383122</v>
      </c>
      <c r="AK672" s="348">
        <v>717258660.96405876</v>
      </c>
      <c r="AL672" s="369"/>
      <c r="AM672" s="350">
        <v>179003892.02039373</v>
      </c>
      <c r="AN672" s="350">
        <v>218750605.87328959</v>
      </c>
      <c r="AO672" s="350">
        <v>259032516.29378852</v>
      </c>
      <c r="AP672" s="350">
        <v>299916612.16458184</v>
      </c>
      <c r="AQ672" s="350">
        <v>341413116.3292591</v>
      </c>
      <c r="AR672" s="348">
        <v>1298116742.6813128</v>
      </c>
      <c r="AS672" s="369"/>
      <c r="AT672" s="350">
        <f t="shared" si="291"/>
        <v>37812829.580065697</v>
      </c>
      <c r="AU672" s="350">
        <f t="shared" si="274"/>
        <v>76401494.272063464</v>
      </c>
      <c r="AV672" s="350">
        <f t="shared" si="275"/>
        <v>115573879.4827185</v>
      </c>
      <c r="AW672" s="350">
        <f t="shared" si="276"/>
        <v>155345813.60697845</v>
      </c>
      <c r="AX672" s="350">
        <f t="shared" si="277"/>
        <v>195724064.77542788</v>
      </c>
      <c r="AY672" s="350">
        <f t="shared" si="278"/>
        <v>580858081.71725404</v>
      </c>
      <c r="AZ672" s="365"/>
      <c r="BA672" s="377">
        <f t="shared" si="279"/>
        <v>0</v>
      </c>
      <c r="BB672" s="377">
        <f t="shared" si="280"/>
        <v>0</v>
      </c>
      <c r="BC672" s="377">
        <f t="shared" si="281"/>
        <v>0</v>
      </c>
      <c r="BD672" s="377">
        <f t="shared" si="282"/>
        <v>0</v>
      </c>
      <c r="BE672" s="377">
        <f t="shared" si="283"/>
        <v>0</v>
      </c>
      <c r="BF672" s="377">
        <f t="shared" si="284"/>
        <v>0</v>
      </c>
      <c r="BG672" s="328"/>
    </row>
    <row r="673" spans="2:59">
      <c r="B673" s="332">
        <v>658</v>
      </c>
      <c r="C673" s="350">
        <v>121022156.44586793</v>
      </c>
      <c r="D673" s="350">
        <v>122014780.23026252</v>
      </c>
      <c r="E673" s="350">
        <v>122965811.62846534</v>
      </c>
      <c r="F673" s="350">
        <v>123919102.93852229</v>
      </c>
      <c r="G673" s="350">
        <v>124877615.37349129</v>
      </c>
      <c r="H673" s="348">
        <v>614799466.61660933</v>
      </c>
      <c r="I673" s="369"/>
      <c r="J673" s="350">
        <v>155530317.52917185</v>
      </c>
      <c r="K673" s="350">
        <v>191711771.82402635</v>
      </c>
      <c r="L673" s="350">
        <v>228383913.21702635</v>
      </c>
      <c r="M673" s="350">
        <v>265605037.55146044</v>
      </c>
      <c r="N673" s="350">
        <v>303384278.4908126</v>
      </c>
      <c r="O673" s="348">
        <v>1144615318.6124976</v>
      </c>
      <c r="P673" s="369"/>
      <c r="Q673" s="350">
        <f t="shared" si="285"/>
        <v>34508161.083303928</v>
      </c>
      <c r="R673" s="350">
        <f t="shared" si="286"/>
        <v>69696991.593763828</v>
      </c>
      <c r="S673" s="350">
        <f t="shared" si="287"/>
        <v>105418101.58856101</v>
      </c>
      <c r="T673" s="350">
        <f t="shared" si="288"/>
        <v>141685934.61293817</v>
      </c>
      <c r="U673" s="350">
        <f t="shared" si="289"/>
        <v>178506663.11732131</v>
      </c>
      <c r="V673" s="350">
        <f t="shared" si="290"/>
        <v>529815851.99588823</v>
      </c>
      <c r="W673" s="365"/>
      <c r="X673" s="377">
        <f t="shared" si="268"/>
        <v>0</v>
      </c>
      <c r="Y673" s="377">
        <f t="shared" si="269"/>
        <v>0</v>
      </c>
      <c r="Z673" s="377">
        <f t="shared" si="270"/>
        <v>0</v>
      </c>
      <c r="AA673" s="377">
        <f t="shared" si="271"/>
        <v>0</v>
      </c>
      <c r="AB673" s="377">
        <f t="shared" si="272"/>
        <v>0</v>
      </c>
      <c r="AC673" s="377">
        <f t="shared" si="273"/>
        <v>0</v>
      </c>
      <c r="AD673" s="376"/>
      <c r="AE673" s="332">
        <v>658</v>
      </c>
      <c r="AF673" s="350">
        <v>127546435.88074866</v>
      </c>
      <c r="AG673" s="350">
        <v>128592571.80815315</v>
      </c>
      <c r="AH673" s="350">
        <v>129594873.11242473</v>
      </c>
      <c r="AI673" s="350">
        <v>130599556.15993132</v>
      </c>
      <c r="AJ673" s="350">
        <v>131609741.80211467</v>
      </c>
      <c r="AK673" s="348">
        <v>647943178.76337242</v>
      </c>
      <c r="AL673" s="369"/>
      <c r="AM673" s="350">
        <v>157878381.54702818</v>
      </c>
      <c r="AN673" s="350">
        <v>189876178.36859068</v>
      </c>
      <c r="AO673" s="350">
        <v>222298336.93564424</v>
      </c>
      <c r="AP673" s="350">
        <v>255203770.37641221</v>
      </c>
      <c r="AQ673" s="350">
        <v>288601028.2658276</v>
      </c>
      <c r="AR673" s="348">
        <v>1113857695.4935031</v>
      </c>
      <c r="AS673" s="369"/>
      <c r="AT673" s="350">
        <f t="shared" si="291"/>
        <v>30331945.666279525</v>
      </c>
      <c r="AU673" s="350">
        <f t="shared" si="274"/>
        <v>61283606.56043753</v>
      </c>
      <c r="AV673" s="350">
        <f t="shared" si="275"/>
        <v>92703463.823219508</v>
      </c>
      <c r="AW673" s="350">
        <f t="shared" si="276"/>
        <v>124604214.2164809</v>
      </c>
      <c r="AX673" s="350">
        <f t="shared" si="277"/>
        <v>156991286.46371293</v>
      </c>
      <c r="AY673" s="350">
        <f t="shared" si="278"/>
        <v>465914516.73013067</v>
      </c>
      <c r="AZ673" s="365"/>
      <c r="BA673" s="377">
        <f t="shared" si="279"/>
        <v>0</v>
      </c>
      <c r="BB673" s="377">
        <f t="shared" si="280"/>
        <v>0</v>
      </c>
      <c r="BC673" s="377">
        <f t="shared" si="281"/>
        <v>0</v>
      </c>
      <c r="BD673" s="377">
        <f t="shared" si="282"/>
        <v>0</v>
      </c>
      <c r="BE673" s="377">
        <f t="shared" si="283"/>
        <v>0</v>
      </c>
      <c r="BF673" s="377">
        <f t="shared" si="284"/>
        <v>0</v>
      </c>
      <c r="BG673" s="328"/>
    </row>
    <row r="674" spans="2:59">
      <c r="B674" s="332">
        <v>659</v>
      </c>
      <c r="C674" s="350">
        <v>140063052.7908037</v>
      </c>
      <c r="D674" s="350">
        <v>141211850.01602295</v>
      </c>
      <c r="E674" s="350">
        <v>142312510.95980456</v>
      </c>
      <c r="F674" s="350">
        <v>143415787.37634441</v>
      </c>
      <c r="G674" s="350">
        <v>144525106.37810716</v>
      </c>
      <c r="H674" s="348">
        <v>711528307.52108288</v>
      </c>
      <c r="I674" s="369"/>
      <c r="J674" s="350">
        <v>176348699.11389697</v>
      </c>
      <c r="K674" s="350">
        <v>214500007.29659835</v>
      </c>
      <c r="L674" s="350">
        <v>253162893.61935905</v>
      </c>
      <c r="M674" s="350">
        <v>292403297.41905832</v>
      </c>
      <c r="N674" s="350">
        <v>332231136.36929303</v>
      </c>
      <c r="O674" s="348">
        <v>1268646033.8182056</v>
      </c>
      <c r="P674" s="369"/>
      <c r="Q674" s="350">
        <f t="shared" si="285"/>
        <v>36285646.323093265</v>
      </c>
      <c r="R674" s="350">
        <f t="shared" si="286"/>
        <v>73288157.280575395</v>
      </c>
      <c r="S674" s="350">
        <f t="shared" si="287"/>
        <v>110850382.65955448</v>
      </c>
      <c r="T674" s="350">
        <f t="shared" si="288"/>
        <v>148987510.04271391</v>
      </c>
      <c r="U674" s="350">
        <f t="shared" si="289"/>
        <v>187706029.99118587</v>
      </c>
      <c r="V674" s="350">
        <f t="shared" si="290"/>
        <v>557117726.29712272</v>
      </c>
      <c r="W674" s="365"/>
      <c r="X674" s="377">
        <f t="shared" si="268"/>
        <v>0</v>
      </c>
      <c r="Y674" s="377">
        <f t="shared" si="269"/>
        <v>0</v>
      </c>
      <c r="Z674" s="377">
        <f t="shared" si="270"/>
        <v>0</v>
      </c>
      <c r="AA674" s="377">
        <f t="shared" si="271"/>
        <v>0</v>
      </c>
      <c r="AB674" s="377">
        <f t="shared" si="272"/>
        <v>0</v>
      </c>
      <c r="AC674" s="377">
        <f t="shared" si="273"/>
        <v>0</v>
      </c>
      <c r="AD674" s="376"/>
      <c r="AE674" s="332">
        <v>659</v>
      </c>
      <c r="AF674" s="350">
        <v>131018815.88227342</v>
      </c>
      <c r="AG674" s="350">
        <v>132093432.27209237</v>
      </c>
      <c r="AH674" s="350">
        <v>133123020.66581039</v>
      </c>
      <c r="AI674" s="350">
        <v>134155055.64438379</v>
      </c>
      <c r="AJ674" s="350">
        <v>135192743.0226801</v>
      </c>
      <c r="AK674" s="348">
        <v>665583067.48724008</v>
      </c>
      <c r="AL674" s="369"/>
      <c r="AM674" s="350">
        <v>164792750.13252854</v>
      </c>
      <c r="AN674" s="350">
        <v>200315506.36990717</v>
      </c>
      <c r="AO674" s="350">
        <v>236314313.83795455</v>
      </c>
      <c r="AP674" s="350">
        <v>272850783.79450142</v>
      </c>
      <c r="AQ674" s="350">
        <v>309934164.39819819</v>
      </c>
      <c r="AR674" s="348">
        <v>1184207518.5330899</v>
      </c>
      <c r="AS674" s="369"/>
      <c r="AT674" s="350">
        <f t="shared" si="291"/>
        <v>33773934.250255123</v>
      </c>
      <c r="AU674" s="350">
        <f t="shared" si="274"/>
        <v>68222074.097814798</v>
      </c>
      <c r="AV674" s="350">
        <f t="shared" si="275"/>
        <v>103191293.17214416</v>
      </c>
      <c r="AW674" s="350">
        <f t="shared" si="276"/>
        <v>138695728.15011764</v>
      </c>
      <c r="AX674" s="350">
        <f t="shared" si="277"/>
        <v>174741421.37551808</v>
      </c>
      <c r="AY674" s="350">
        <f t="shared" si="278"/>
        <v>518624451.0458498</v>
      </c>
      <c r="AZ674" s="365"/>
      <c r="BA674" s="377">
        <f t="shared" si="279"/>
        <v>0</v>
      </c>
      <c r="BB674" s="377">
        <f t="shared" si="280"/>
        <v>0</v>
      </c>
      <c r="BC674" s="377">
        <f t="shared" si="281"/>
        <v>0</v>
      </c>
      <c r="BD674" s="377">
        <f t="shared" si="282"/>
        <v>0</v>
      </c>
      <c r="BE674" s="377">
        <f t="shared" si="283"/>
        <v>0</v>
      </c>
      <c r="BF674" s="377">
        <f t="shared" si="284"/>
        <v>0</v>
      </c>
      <c r="BG674" s="328"/>
    </row>
    <row r="675" spans="2:59">
      <c r="B675" s="332">
        <v>660</v>
      </c>
      <c r="C675" s="350">
        <v>130285401.85091415</v>
      </c>
      <c r="D675" s="350">
        <v>131354002.77850108</v>
      </c>
      <c r="E675" s="350">
        <v>132377827.76663963</v>
      </c>
      <c r="F675" s="350">
        <v>133404085.64419866</v>
      </c>
      <c r="G675" s="350">
        <v>134435964.28061095</v>
      </c>
      <c r="H675" s="348">
        <v>661857282.32086444</v>
      </c>
      <c r="I675" s="369"/>
      <c r="J675" s="350">
        <v>166859255.80879819</v>
      </c>
      <c r="K675" s="350">
        <v>205210414.31867799</v>
      </c>
      <c r="L675" s="350">
        <v>244080740.99865007</v>
      </c>
      <c r="M675" s="350">
        <v>283532752.12151766</v>
      </c>
      <c r="N675" s="350">
        <v>323576175.55587989</v>
      </c>
      <c r="O675" s="348">
        <v>1223259338.8035238</v>
      </c>
      <c r="P675" s="369"/>
      <c r="Q675" s="350">
        <f t="shared" si="285"/>
        <v>36573853.957884043</v>
      </c>
      <c r="R675" s="350">
        <f t="shared" si="286"/>
        <v>73856411.540176913</v>
      </c>
      <c r="S675" s="350">
        <f t="shared" si="287"/>
        <v>111702913.23201044</v>
      </c>
      <c r="T675" s="350">
        <f t="shared" si="288"/>
        <v>150128666.477319</v>
      </c>
      <c r="U675" s="350">
        <f t="shared" si="289"/>
        <v>189140211.27526894</v>
      </c>
      <c r="V675" s="350">
        <f t="shared" si="290"/>
        <v>561402056.48265934</v>
      </c>
      <c r="W675" s="365"/>
      <c r="X675" s="377">
        <f t="shared" si="268"/>
        <v>0</v>
      </c>
      <c r="Y675" s="377">
        <f t="shared" si="269"/>
        <v>0</v>
      </c>
      <c r="Z675" s="377">
        <f t="shared" si="270"/>
        <v>0</v>
      </c>
      <c r="AA675" s="377">
        <f t="shared" si="271"/>
        <v>0</v>
      </c>
      <c r="AB675" s="377">
        <f t="shared" si="272"/>
        <v>0</v>
      </c>
      <c r="AC675" s="377">
        <f t="shared" si="273"/>
        <v>0</v>
      </c>
      <c r="AD675" s="376"/>
      <c r="AE675" s="332">
        <v>660</v>
      </c>
      <c r="AF675" s="350">
        <v>138619536.74363238</v>
      </c>
      <c r="AG675" s="350">
        <v>139756494.24955025</v>
      </c>
      <c r="AH675" s="350">
        <v>140845811.57555977</v>
      </c>
      <c r="AI675" s="350">
        <v>141937717.41877559</v>
      </c>
      <c r="AJ675" s="350">
        <v>143035603.57119966</v>
      </c>
      <c r="AK675" s="348">
        <v>704195163.55871761</v>
      </c>
      <c r="AL675" s="369"/>
      <c r="AM675" s="350">
        <v>179791061.25449994</v>
      </c>
      <c r="AN675" s="350">
        <v>222914756.19692832</v>
      </c>
      <c r="AO675" s="350">
        <v>266625919.57839587</v>
      </c>
      <c r="AP675" s="350">
        <v>310992012.79461575</v>
      </c>
      <c r="AQ675" s="350">
        <v>356023792.43376219</v>
      </c>
      <c r="AR675" s="348">
        <v>1336347542.2582021</v>
      </c>
      <c r="AS675" s="369"/>
      <c r="AT675" s="350">
        <f t="shared" si="291"/>
        <v>41171524.510867566</v>
      </c>
      <c r="AU675" s="350">
        <f t="shared" si="274"/>
        <v>83158261.947378069</v>
      </c>
      <c r="AV675" s="350">
        <f t="shared" si="275"/>
        <v>125780108.00283611</v>
      </c>
      <c r="AW675" s="350">
        <f t="shared" si="276"/>
        <v>169054295.37584016</v>
      </c>
      <c r="AX675" s="350">
        <f t="shared" si="277"/>
        <v>212988188.86256254</v>
      </c>
      <c r="AY675" s="350">
        <f t="shared" si="278"/>
        <v>632152378.69948447</v>
      </c>
      <c r="AZ675" s="365"/>
      <c r="BA675" s="377">
        <f t="shared" si="279"/>
        <v>0</v>
      </c>
      <c r="BB675" s="377">
        <f t="shared" si="280"/>
        <v>0</v>
      </c>
      <c r="BC675" s="377">
        <f t="shared" si="281"/>
        <v>0</v>
      </c>
      <c r="BD675" s="377">
        <f t="shared" si="282"/>
        <v>0</v>
      </c>
      <c r="BE675" s="377">
        <f t="shared" si="283"/>
        <v>0</v>
      </c>
      <c r="BF675" s="377">
        <f t="shared" si="284"/>
        <v>0</v>
      </c>
      <c r="BG675" s="328"/>
    </row>
    <row r="676" spans="2:59">
      <c r="B676" s="332">
        <v>661</v>
      </c>
      <c r="C676" s="350">
        <v>127596669.66101527</v>
      </c>
      <c r="D676" s="350">
        <v>128643217.60590924</v>
      </c>
      <c r="E676" s="350">
        <v>129645913.66353583</v>
      </c>
      <c r="F676" s="350">
        <v>130650992.4024398</v>
      </c>
      <c r="G676" s="350">
        <v>131661575.90320086</v>
      </c>
      <c r="H676" s="348">
        <v>648198369.23610103</v>
      </c>
      <c r="I676" s="369"/>
      <c r="J676" s="350">
        <v>159811975.46441105</v>
      </c>
      <c r="K676" s="350">
        <v>193717950.16303608</v>
      </c>
      <c r="L676" s="350">
        <v>228077121.03419751</v>
      </c>
      <c r="M676" s="350">
        <v>262949206.9890272</v>
      </c>
      <c r="N676" s="350">
        <v>298343093.76172566</v>
      </c>
      <c r="O676" s="348">
        <v>1142899347.4123976</v>
      </c>
      <c r="P676" s="369"/>
      <c r="Q676" s="350">
        <f t="shared" si="285"/>
        <v>32215305.803395778</v>
      </c>
      <c r="R676" s="350">
        <f t="shared" si="286"/>
        <v>65074732.557126835</v>
      </c>
      <c r="S676" s="350">
        <f t="shared" si="287"/>
        <v>98431207.370661676</v>
      </c>
      <c r="T676" s="350">
        <f t="shared" si="288"/>
        <v>132298214.5865874</v>
      </c>
      <c r="U676" s="350">
        <f t="shared" si="289"/>
        <v>166681517.8585248</v>
      </c>
      <c r="V676" s="350">
        <f t="shared" si="290"/>
        <v>494700978.17629659</v>
      </c>
      <c r="W676" s="365"/>
      <c r="X676" s="377">
        <f t="shared" si="268"/>
        <v>0</v>
      </c>
      <c r="Y676" s="377">
        <f t="shared" si="269"/>
        <v>0</v>
      </c>
      <c r="Z676" s="377">
        <f t="shared" si="270"/>
        <v>0</v>
      </c>
      <c r="AA676" s="377">
        <f t="shared" si="271"/>
        <v>0</v>
      </c>
      <c r="AB676" s="377">
        <f t="shared" si="272"/>
        <v>0</v>
      </c>
      <c r="AC676" s="377">
        <f t="shared" si="273"/>
        <v>0</v>
      </c>
      <c r="AD676" s="376"/>
      <c r="AE676" s="332">
        <v>661</v>
      </c>
      <c r="AF676" s="350">
        <v>121514607.87095444</v>
      </c>
      <c r="AG676" s="350">
        <v>122511270.74217045</v>
      </c>
      <c r="AH676" s="350">
        <v>123466171.98355818</v>
      </c>
      <c r="AI676" s="350">
        <v>124423342.33261049</v>
      </c>
      <c r="AJ676" s="350">
        <v>125385755.05186158</v>
      </c>
      <c r="AK676" s="348">
        <v>617301147.98115516</v>
      </c>
      <c r="AL676" s="369"/>
      <c r="AM676" s="350">
        <v>151048802.23156241</v>
      </c>
      <c r="AN676" s="350">
        <v>182173625.65941778</v>
      </c>
      <c r="AO676" s="350">
        <v>213712422.61988246</v>
      </c>
      <c r="AP676" s="350">
        <v>245721586.15352848</v>
      </c>
      <c r="AQ676" s="350">
        <v>278209374.02468908</v>
      </c>
      <c r="AR676" s="348">
        <v>1070865810.6890801</v>
      </c>
      <c r="AS676" s="369"/>
      <c r="AT676" s="350">
        <f t="shared" si="291"/>
        <v>29534194.360607967</v>
      </c>
      <c r="AU676" s="350">
        <f t="shared" si="274"/>
        <v>59662354.917247325</v>
      </c>
      <c r="AV676" s="350">
        <f t="shared" si="275"/>
        <v>90246250.636324286</v>
      </c>
      <c r="AW676" s="350">
        <f t="shared" si="276"/>
        <v>121298243.82091799</v>
      </c>
      <c r="AX676" s="350">
        <f t="shared" si="277"/>
        <v>152823618.97282749</v>
      </c>
      <c r="AY676" s="350">
        <f t="shared" si="278"/>
        <v>453564662.70792496</v>
      </c>
      <c r="AZ676" s="365"/>
      <c r="BA676" s="377">
        <f t="shared" si="279"/>
        <v>0</v>
      </c>
      <c r="BB676" s="377">
        <f t="shared" si="280"/>
        <v>0</v>
      </c>
      <c r="BC676" s="377">
        <f t="shared" si="281"/>
        <v>0</v>
      </c>
      <c r="BD676" s="377">
        <f t="shared" si="282"/>
        <v>0</v>
      </c>
      <c r="BE676" s="377">
        <f t="shared" si="283"/>
        <v>0</v>
      </c>
      <c r="BF676" s="377">
        <f t="shared" si="284"/>
        <v>0</v>
      </c>
      <c r="BG676" s="328"/>
    </row>
    <row r="677" spans="2:59">
      <c r="B677" s="332">
        <v>662</v>
      </c>
      <c r="C677" s="350">
        <v>109932322.10536735</v>
      </c>
      <c r="D677" s="350">
        <v>110833987.06325728</v>
      </c>
      <c r="E677" s="350">
        <v>111697870.9426221</v>
      </c>
      <c r="F677" s="350">
        <v>112563807.6473965</v>
      </c>
      <c r="G677" s="350">
        <v>113434487.04063755</v>
      </c>
      <c r="H677" s="348">
        <v>558462474.79928076</v>
      </c>
      <c r="I677" s="369"/>
      <c r="J677" s="350">
        <v>139930056.35311857</v>
      </c>
      <c r="K677" s="350">
        <v>171422596.31299549</v>
      </c>
      <c r="L677" s="350">
        <v>203340084.939834</v>
      </c>
      <c r="M677" s="350">
        <v>235734911.90343156</v>
      </c>
      <c r="N677" s="350">
        <v>268615132.96005255</v>
      </c>
      <c r="O677" s="348">
        <v>1019042782.4694321</v>
      </c>
      <c r="P677" s="369"/>
      <c r="Q677" s="350">
        <f t="shared" si="285"/>
        <v>29997734.247751221</v>
      </c>
      <c r="R677" s="350">
        <f t="shared" si="286"/>
        <v>60588609.249738216</v>
      </c>
      <c r="S677" s="350">
        <f t="shared" si="287"/>
        <v>91642213.997211903</v>
      </c>
      <c r="T677" s="350">
        <f t="shared" si="288"/>
        <v>123171104.25603506</v>
      </c>
      <c r="U677" s="350">
        <f t="shared" si="289"/>
        <v>155180645.919415</v>
      </c>
      <c r="V677" s="350">
        <f t="shared" si="290"/>
        <v>460580307.67015135</v>
      </c>
      <c r="W677" s="365"/>
      <c r="X677" s="377">
        <f t="shared" si="268"/>
        <v>0</v>
      </c>
      <c r="Y677" s="377">
        <f t="shared" si="269"/>
        <v>0</v>
      </c>
      <c r="Z677" s="377">
        <f t="shared" si="270"/>
        <v>0</v>
      </c>
      <c r="AA677" s="377">
        <f t="shared" si="271"/>
        <v>0</v>
      </c>
      <c r="AB677" s="377">
        <f t="shared" si="272"/>
        <v>0</v>
      </c>
      <c r="AC677" s="377">
        <f t="shared" si="273"/>
        <v>0</v>
      </c>
      <c r="AD677" s="376"/>
      <c r="AE677" s="332">
        <v>662</v>
      </c>
      <c r="AF677" s="350">
        <v>129771214.71512768</v>
      </c>
      <c r="AG677" s="350">
        <v>130835598.27958375</v>
      </c>
      <c r="AH677" s="350">
        <v>131855382.61826563</v>
      </c>
      <c r="AI677" s="350">
        <v>132877590.24467494</v>
      </c>
      <c r="AJ677" s="350">
        <v>133905396.44693112</v>
      </c>
      <c r="AK677" s="348">
        <v>659245182.30458307</v>
      </c>
      <c r="AL677" s="369"/>
      <c r="AM677" s="350">
        <v>163517146.26223642</v>
      </c>
      <c r="AN677" s="350">
        <v>199004308.74774498</v>
      </c>
      <c r="AO677" s="350">
        <v>234967569.09234574</v>
      </c>
      <c r="AP677" s="350">
        <v>271468074.94323927</v>
      </c>
      <c r="AQ677" s="350">
        <v>308515039.411062</v>
      </c>
      <c r="AR677" s="348">
        <v>1177472138.4566283</v>
      </c>
      <c r="AS677" s="369"/>
      <c r="AT677" s="350">
        <f t="shared" si="291"/>
        <v>33745931.54710874</v>
      </c>
      <c r="AU677" s="350">
        <f t="shared" si="274"/>
        <v>68168710.468161225</v>
      </c>
      <c r="AV677" s="350">
        <f t="shared" si="275"/>
        <v>103112186.47408012</v>
      </c>
      <c r="AW677" s="350">
        <f t="shared" si="276"/>
        <v>138590484.69856435</v>
      </c>
      <c r="AX677" s="350">
        <f t="shared" si="277"/>
        <v>174609642.96413088</v>
      </c>
      <c r="AY677" s="350">
        <f t="shared" si="278"/>
        <v>518226956.15204525</v>
      </c>
      <c r="AZ677" s="365"/>
      <c r="BA677" s="377">
        <f t="shared" si="279"/>
        <v>0</v>
      </c>
      <c r="BB677" s="377">
        <f t="shared" si="280"/>
        <v>0</v>
      </c>
      <c r="BC677" s="377">
        <f t="shared" si="281"/>
        <v>0</v>
      </c>
      <c r="BD677" s="377">
        <f t="shared" si="282"/>
        <v>0</v>
      </c>
      <c r="BE677" s="377">
        <f t="shared" si="283"/>
        <v>0</v>
      </c>
      <c r="BF677" s="377">
        <f t="shared" si="284"/>
        <v>0</v>
      </c>
      <c r="BG677" s="328"/>
    </row>
    <row r="678" spans="2:59">
      <c r="B678" s="332">
        <v>663</v>
      </c>
      <c r="C678" s="350">
        <v>116602589.57902932</v>
      </c>
      <c r="D678" s="350">
        <v>117558964.0738923</v>
      </c>
      <c r="E678" s="350">
        <v>118475265.08073327</v>
      </c>
      <c r="F678" s="350">
        <v>119393743.47047788</v>
      </c>
      <c r="G678" s="350">
        <v>120317252.31665416</v>
      </c>
      <c r="H678" s="348">
        <v>592347814.52078688</v>
      </c>
      <c r="I678" s="369"/>
      <c r="J678" s="350">
        <v>147054212.75465098</v>
      </c>
      <c r="K678" s="350">
        <v>179054239.47964072</v>
      </c>
      <c r="L678" s="350">
        <v>211483766.68671671</v>
      </c>
      <c r="M678" s="350">
        <v>244397790.43067092</v>
      </c>
      <c r="N678" s="350">
        <v>277804609.32874864</v>
      </c>
      <c r="O678" s="348">
        <v>1059794618.680428</v>
      </c>
      <c r="P678" s="369"/>
      <c r="Q678" s="350">
        <f t="shared" si="285"/>
        <v>30451623.175621659</v>
      </c>
      <c r="R678" s="350">
        <f t="shared" si="286"/>
        <v>61495275.405748427</v>
      </c>
      <c r="S678" s="350">
        <f t="shared" si="287"/>
        <v>93008501.605983436</v>
      </c>
      <c r="T678" s="350">
        <f t="shared" si="288"/>
        <v>125004046.96019304</v>
      </c>
      <c r="U678" s="350">
        <f t="shared" si="289"/>
        <v>157487357.0120945</v>
      </c>
      <c r="V678" s="350">
        <f t="shared" si="290"/>
        <v>467446804.15964115</v>
      </c>
      <c r="W678" s="365"/>
      <c r="X678" s="377">
        <f t="shared" si="268"/>
        <v>0</v>
      </c>
      <c r="Y678" s="377">
        <f t="shared" si="269"/>
        <v>0</v>
      </c>
      <c r="Z678" s="377">
        <f t="shared" si="270"/>
        <v>0</v>
      </c>
      <c r="AA678" s="377">
        <f t="shared" si="271"/>
        <v>0</v>
      </c>
      <c r="AB678" s="377">
        <f t="shared" si="272"/>
        <v>0</v>
      </c>
      <c r="AC678" s="377">
        <f t="shared" si="273"/>
        <v>0</v>
      </c>
      <c r="AD678" s="376"/>
      <c r="AE678" s="332">
        <v>663</v>
      </c>
      <c r="AF678" s="350">
        <v>127508067.93985535</v>
      </c>
      <c r="AG678" s="350">
        <v>128553889.17339049</v>
      </c>
      <c r="AH678" s="350">
        <v>129555888.96992546</v>
      </c>
      <c r="AI678" s="350">
        <v>130560269.79323018</v>
      </c>
      <c r="AJ678" s="350">
        <v>131570151.55594598</v>
      </c>
      <c r="AK678" s="348">
        <v>647748267.43234742</v>
      </c>
      <c r="AL678" s="369"/>
      <c r="AM678" s="350">
        <v>157415718.54047149</v>
      </c>
      <c r="AN678" s="350">
        <v>188972990.93017122</v>
      </c>
      <c r="AO678" s="350">
        <v>220947975.98429531</v>
      </c>
      <c r="AP678" s="350">
        <v>253399394.91860592</v>
      </c>
      <c r="AQ678" s="350">
        <v>286335719.32411528</v>
      </c>
      <c r="AR678" s="348">
        <v>1107071799.697659</v>
      </c>
      <c r="AS678" s="369"/>
      <c r="AT678" s="350">
        <f t="shared" si="291"/>
        <v>29907650.600616142</v>
      </c>
      <c r="AU678" s="350">
        <f t="shared" si="274"/>
        <v>60419101.756780729</v>
      </c>
      <c r="AV678" s="350">
        <f t="shared" si="275"/>
        <v>91392087.014369845</v>
      </c>
      <c r="AW678" s="350">
        <f t="shared" si="276"/>
        <v>122839125.12537575</v>
      </c>
      <c r="AX678" s="350">
        <f t="shared" si="277"/>
        <v>154765567.76816928</v>
      </c>
      <c r="AY678" s="350">
        <f t="shared" si="278"/>
        <v>459323532.2653116</v>
      </c>
      <c r="AZ678" s="365"/>
      <c r="BA678" s="377">
        <f t="shared" si="279"/>
        <v>0</v>
      </c>
      <c r="BB678" s="377">
        <f t="shared" si="280"/>
        <v>0</v>
      </c>
      <c r="BC678" s="377">
        <f t="shared" si="281"/>
        <v>0</v>
      </c>
      <c r="BD678" s="377">
        <f t="shared" si="282"/>
        <v>0</v>
      </c>
      <c r="BE678" s="377">
        <f t="shared" si="283"/>
        <v>0</v>
      </c>
      <c r="BF678" s="377">
        <f t="shared" si="284"/>
        <v>0</v>
      </c>
      <c r="BG678" s="328"/>
    </row>
    <row r="679" spans="2:59">
      <c r="B679" s="332">
        <v>664</v>
      </c>
      <c r="C679" s="350">
        <v>117833747.39844583</v>
      </c>
      <c r="D679" s="350">
        <v>118800219.85032579</v>
      </c>
      <c r="E679" s="350">
        <v>119726195.69503772</v>
      </c>
      <c r="F679" s="350">
        <v>120654371.91272587</v>
      </c>
      <c r="G679" s="350">
        <v>121587631.70132437</v>
      </c>
      <c r="H679" s="348">
        <v>598602166.55785954</v>
      </c>
      <c r="I679" s="369"/>
      <c r="J679" s="350">
        <v>150662500.23304024</v>
      </c>
      <c r="K679" s="350">
        <v>185108507.12235287</v>
      </c>
      <c r="L679" s="350">
        <v>220020442.93102962</v>
      </c>
      <c r="M679" s="350">
        <v>255454745.44055563</v>
      </c>
      <c r="N679" s="350">
        <v>291420170.39902431</v>
      </c>
      <c r="O679" s="348">
        <v>1102666366.1260026</v>
      </c>
      <c r="P679" s="369"/>
      <c r="Q679" s="350">
        <f t="shared" si="285"/>
        <v>32828752.834594414</v>
      </c>
      <c r="R679" s="350">
        <f t="shared" si="286"/>
        <v>66308287.272027075</v>
      </c>
      <c r="S679" s="350">
        <f t="shared" si="287"/>
        <v>100294247.2359919</v>
      </c>
      <c r="T679" s="350">
        <f t="shared" si="288"/>
        <v>134800373.52782977</v>
      </c>
      <c r="U679" s="350">
        <f t="shared" si="289"/>
        <v>169832538.69769993</v>
      </c>
      <c r="V679" s="350">
        <f t="shared" si="290"/>
        <v>504064199.56814301</v>
      </c>
      <c r="W679" s="365"/>
      <c r="X679" s="377">
        <f t="shared" si="268"/>
        <v>0</v>
      </c>
      <c r="Y679" s="377">
        <f t="shared" si="269"/>
        <v>0</v>
      </c>
      <c r="Z679" s="377">
        <f t="shared" si="270"/>
        <v>0</v>
      </c>
      <c r="AA679" s="377">
        <f t="shared" si="271"/>
        <v>0</v>
      </c>
      <c r="AB679" s="377">
        <f t="shared" si="272"/>
        <v>0</v>
      </c>
      <c r="AC679" s="377">
        <f t="shared" si="273"/>
        <v>0</v>
      </c>
      <c r="AD679" s="376"/>
      <c r="AE679" s="332">
        <v>664</v>
      </c>
      <c r="AF679" s="350">
        <v>116801479.7807301</v>
      </c>
      <c r="AG679" s="350">
        <v>117759485.57312146</v>
      </c>
      <c r="AH679" s="350">
        <v>118677349.52374208</v>
      </c>
      <c r="AI679" s="350">
        <v>119597394.57125008</v>
      </c>
      <c r="AJ679" s="350">
        <v>120522478.65568952</v>
      </c>
      <c r="AK679" s="348">
        <v>593358188.1045332</v>
      </c>
      <c r="AL679" s="369"/>
      <c r="AM679" s="350">
        <v>145884714.27323541</v>
      </c>
      <c r="AN679" s="350">
        <v>176504740.08282188</v>
      </c>
      <c r="AO679" s="350">
        <v>207533305.28944457</v>
      </c>
      <c r="AP679" s="350">
        <v>239024906.0343143</v>
      </c>
      <c r="AQ679" s="350">
        <v>270987603.13696325</v>
      </c>
      <c r="AR679" s="348">
        <v>1039935268.8167794</v>
      </c>
      <c r="AS679" s="369"/>
      <c r="AT679" s="350">
        <f t="shared" si="291"/>
        <v>29083234.492505312</v>
      </c>
      <c r="AU679" s="350">
        <f t="shared" si="274"/>
        <v>58745254.509700418</v>
      </c>
      <c r="AV679" s="350">
        <f t="shared" si="275"/>
        <v>88855955.765702486</v>
      </c>
      <c r="AW679" s="350">
        <f t="shared" si="276"/>
        <v>119427511.46306422</v>
      </c>
      <c r="AX679" s="350">
        <f t="shared" si="277"/>
        <v>150465124.48127371</v>
      </c>
      <c r="AY679" s="350">
        <f t="shared" si="278"/>
        <v>446577080.71224618</v>
      </c>
      <c r="AZ679" s="365"/>
      <c r="BA679" s="377">
        <f t="shared" si="279"/>
        <v>0</v>
      </c>
      <c r="BB679" s="377">
        <f t="shared" si="280"/>
        <v>0</v>
      </c>
      <c r="BC679" s="377">
        <f t="shared" si="281"/>
        <v>0</v>
      </c>
      <c r="BD679" s="377">
        <f t="shared" si="282"/>
        <v>0</v>
      </c>
      <c r="BE679" s="377">
        <f t="shared" si="283"/>
        <v>0</v>
      </c>
      <c r="BF679" s="377">
        <f t="shared" si="284"/>
        <v>0</v>
      </c>
      <c r="BG679" s="328"/>
    </row>
    <row r="680" spans="2:59">
      <c r="B680" s="332">
        <v>665</v>
      </c>
      <c r="C680" s="350">
        <v>128811219.6930467</v>
      </c>
      <c r="D680" s="350">
        <v>129867729.3778777</v>
      </c>
      <c r="E680" s="350">
        <v>130879969.76398982</v>
      </c>
      <c r="F680" s="350">
        <v>131894615.51132575</v>
      </c>
      <c r="G680" s="350">
        <v>132914818.4185061</v>
      </c>
      <c r="H680" s="348">
        <v>654368352.76474607</v>
      </c>
      <c r="I680" s="369"/>
      <c r="J680" s="350">
        <v>154677330.7381618</v>
      </c>
      <c r="K680" s="350">
        <v>182126150.11461025</v>
      </c>
      <c r="L680" s="350">
        <v>209929927.58974215</v>
      </c>
      <c r="M680" s="350">
        <v>238146165.08865604</v>
      </c>
      <c r="N680" s="350">
        <v>266782643.5041554</v>
      </c>
      <c r="O680" s="348">
        <v>1051662217.0353256</v>
      </c>
      <c r="P680" s="369"/>
      <c r="Q680" s="350">
        <f t="shared" si="285"/>
        <v>25866111.045115098</v>
      </c>
      <c r="R680" s="350">
        <f t="shared" si="286"/>
        <v>52258420.736732557</v>
      </c>
      <c r="S680" s="350">
        <f t="shared" si="287"/>
        <v>79049957.825752333</v>
      </c>
      <c r="T680" s="350">
        <f t="shared" si="288"/>
        <v>106251549.57733029</v>
      </c>
      <c r="U680" s="350">
        <f t="shared" si="289"/>
        <v>133867825.0856493</v>
      </c>
      <c r="V680" s="350">
        <f t="shared" si="290"/>
        <v>397293864.27057958</v>
      </c>
      <c r="W680" s="365"/>
      <c r="X680" s="377">
        <f t="shared" si="268"/>
        <v>0</v>
      </c>
      <c r="Y680" s="377">
        <f t="shared" si="269"/>
        <v>0</v>
      </c>
      <c r="Z680" s="377">
        <f t="shared" si="270"/>
        <v>0</v>
      </c>
      <c r="AA680" s="377">
        <f t="shared" si="271"/>
        <v>0</v>
      </c>
      <c r="AB680" s="377">
        <f t="shared" si="272"/>
        <v>0</v>
      </c>
      <c r="AC680" s="377">
        <f t="shared" si="273"/>
        <v>0</v>
      </c>
      <c r="AD680" s="376"/>
      <c r="AE680" s="332">
        <v>665</v>
      </c>
      <c r="AF680" s="350">
        <v>113212831.98471606</v>
      </c>
      <c r="AG680" s="350">
        <v>114141403.68618762</v>
      </c>
      <c r="AH680" s="350">
        <v>115031066.87728341</v>
      </c>
      <c r="AI680" s="350">
        <v>115922844.15251514</v>
      </c>
      <c r="AJ680" s="350">
        <v>116819505.64361945</v>
      </c>
      <c r="AK680" s="348">
        <v>575127652.34432161</v>
      </c>
      <c r="AL680" s="369"/>
      <c r="AM680" s="350">
        <v>147024562.96027094</v>
      </c>
      <c r="AN680" s="350">
        <v>182419564.84769017</v>
      </c>
      <c r="AO680" s="350">
        <v>218297004.75326771</v>
      </c>
      <c r="AP680" s="350">
        <v>254712056.64308304</v>
      </c>
      <c r="AQ680" s="350">
        <v>291673536.66203356</v>
      </c>
      <c r="AR680" s="348">
        <v>1094126725.8663454</v>
      </c>
      <c r="AS680" s="369"/>
      <c r="AT680" s="350">
        <f t="shared" si="291"/>
        <v>33811730.975554883</v>
      </c>
      <c r="AU680" s="350">
        <f t="shared" si="274"/>
        <v>68278161.16150254</v>
      </c>
      <c r="AV680" s="350">
        <f t="shared" si="275"/>
        <v>103265937.8759843</v>
      </c>
      <c r="AW680" s="350">
        <f t="shared" si="276"/>
        <v>138789212.49056789</v>
      </c>
      <c r="AX680" s="350">
        <f t="shared" si="277"/>
        <v>174854031.01841411</v>
      </c>
      <c r="AY680" s="350">
        <f t="shared" si="278"/>
        <v>518999073.5220238</v>
      </c>
      <c r="AZ680" s="365"/>
      <c r="BA680" s="377">
        <f t="shared" si="279"/>
        <v>0</v>
      </c>
      <c r="BB680" s="377">
        <f t="shared" si="280"/>
        <v>0</v>
      </c>
      <c r="BC680" s="377">
        <f t="shared" si="281"/>
        <v>0</v>
      </c>
      <c r="BD680" s="377">
        <f t="shared" si="282"/>
        <v>0</v>
      </c>
      <c r="BE680" s="377">
        <f t="shared" si="283"/>
        <v>0</v>
      </c>
      <c r="BF680" s="377">
        <f t="shared" si="284"/>
        <v>0</v>
      </c>
      <c r="BG680" s="328"/>
    </row>
    <row r="681" spans="2:59">
      <c r="B681" s="332">
        <v>666</v>
      </c>
      <c r="C681" s="350">
        <v>141193515.88027573</v>
      </c>
      <c r="D681" s="350">
        <v>142351585.16428941</v>
      </c>
      <c r="E681" s="350">
        <v>143461129.65406102</v>
      </c>
      <c r="F681" s="350">
        <v>144573310.72633651</v>
      </c>
      <c r="G681" s="350">
        <v>145691583.15415239</v>
      </c>
      <c r="H681" s="348">
        <v>717271124.57911503</v>
      </c>
      <c r="I681" s="369"/>
      <c r="J681" s="350">
        <v>176326180.96682546</v>
      </c>
      <c r="K681" s="350">
        <v>213311800.58117744</v>
      </c>
      <c r="L681" s="350">
        <v>250790837.27928689</v>
      </c>
      <c r="M681" s="350">
        <v>288829157.47752452</v>
      </c>
      <c r="N681" s="350">
        <v>327436500.39358932</v>
      </c>
      <c r="O681" s="348">
        <v>1256694476.6984036</v>
      </c>
      <c r="P681" s="369"/>
      <c r="Q681" s="350">
        <f t="shared" si="285"/>
        <v>35132665.086549729</v>
      </c>
      <c r="R681" s="350">
        <f t="shared" si="286"/>
        <v>70960215.416888028</v>
      </c>
      <c r="S681" s="350">
        <f t="shared" si="287"/>
        <v>107329707.62522587</v>
      </c>
      <c r="T681" s="350">
        <f t="shared" si="288"/>
        <v>144255846.75118801</v>
      </c>
      <c r="U681" s="350">
        <f t="shared" si="289"/>
        <v>181744917.23943692</v>
      </c>
      <c r="V681" s="350">
        <f t="shared" si="290"/>
        <v>539423352.11928856</v>
      </c>
      <c r="W681" s="365"/>
      <c r="X681" s="377">
        <f t="shared" si="268"/>
        <v>0</v>
      </c>
      <c r="Y681" s="377">
        <f t="shared" si="269"/>
        <v>0</v>
      </c>
      <c r="Z681" s="377">
        <f t="shared" si="270"/>
        <v>0</v>
      </c>
      <c r="AA681" s="377">
        <f t="shared" si="271"/>
        <v>0</v>
      </c>
      <c r="AB681" s="377">
        <f t="shared" si="272"/>
        <v>0</v>
      </c>
      <c r="AC681" s="377">
        <f t="shared" si="273"/>
        <v>0</v>
      </c>
      <c r="AD681" s="376"/>
      <c r="AE681" s="332">
        <v>666</v>
      </c>
      <c r="AF681" s="350">
        <v>137074341.10209686</v>
      </c>
      <c r="AG681" s="350">
        <v>138198624.91263217</v>
      </c>
      <c r="AH681" s="350">
        <v>139275799.58960435</v>
      </c>
      <c r="AI681" s="350">
        <v>140355533.9295131</v>
      </c>
      <c r="AJ681" s="350">
        <v>141441181.9159652</v>
      </c>
      <c r="AK681" s="348">
        <v>696345481.4498117</v>
      </c>
      <c r="AL681" s="369"/>
      <c r="AM681" s="350">
        <v>167456124.18281341</v>
      </c>
      <c r="AN681" s="350">
        <v>199573595.15464726</v>
      </c>
      <c r="AO681" s="350">
        <v>232112777.20571512</v>
      </c>
      <c r="AP681" s="350">
        <v>265136056.23761499</v>
      </c>
      <c r="AQ681" s="350">
        <v>298652222.45314419</v>
      </c>
      <c r="AR681" s="348">
        <v>1162930775.2339349</v>
      </c>
      <c r="AS681" s="369"/>
      <c r="AT681" s="350">
        <f t="shared" si="291"/>
        <v>30381783.08071655</v>
      </c>
      <c r="AU681" s="350">
        <f t="shared" si="274"/>
        <v>61374970.242015094</v>
      </c>
      <c r="AV681" s="350">
        <f t="shared" si="275"/>
        <v>92836977.616110772</v>
      </c>
      <c r="AW681" s="350">
        <f t="shared" si="276"/>
        <v>124780522.30810189</v>
      </c>
      <c r="AX681" s="350">
        <f t="shared" si="277"/>
        <v>157211040.53717899</v>
      </c>
      <c r="AY681" s="350">
        <f t="shared" si="278"/>
        <v>466585293.78412318</v>
      </c>
      <c r="AZ681" s="365"/>
      <c r="BA681" s="377">
        <f t="shared" si="279"/>
        <v>0</v>
      </c>
      <c r="BB681" s="377">
        <f t="shared" si="280"/>
        <v>0</v>
      </c>
      <c r="BC681" s="377">
        <f t="shared" si="281"/>
        <v>0</v>
      </c>
      <c r="BD681" s="377">
        <f t="shared" si="282"/>
        <v>0</v>
      </c>
      <c r="BE681" s="377">
        <f t="shared" si="283"/>
        <v>0</v>
      </c>
      <c r="BF681" s="377">
        <f t="shared" si="284"/>
        <v>0</v>
      </c>
      <c r="BG681" s="328"/>
    </row>
    <row r="682" spans="2:59">
      <c r="B682" s="332">
        <v>667</v>
      </c>
      <c r="C682" s="350">
        <v>144373127.45583427</v>
      </c>
      <c r="D682" s="350">
        <v>145557275.91549414</v>
      </c>
      <c r="E682" s="350">
        <v>146691806.82536644</v>
      </c>
      <c r="F682" s="350">
        <v>147829033.69234058</v>
      </c>
      <c r="G682" s="350">
        <v>148972489.08931729</v>
      </c>
      <c r="H682" s="348">
        <v>733423732.97835279</v>
      </c>
      <c r="I682" s="369"/>
      <c r="J682" s="350">
        <v>182186860.10747784</v>
      </c>
      <c r="K682" s="350">
        <v>221946580.63864997</v>
      </c>
      <c r="L682" s="350">
        <v>262240199.61474958</v>
      </c>
      <c r="M682" s="350">
        <v>303135858.53693956</v>
      </c>
      <c r="N682" s="350">
        <v>344643856.13118654</v>
      </c>
      <c r="O682" s="348">
        <v>1314153355.0290034</v>
      </c>
      <c r="P682" s="369"/>
      <c r="Q682" s="350">
        <f t="shared" si="285"/>
        <v>37813732.651643574</v>
      </c>
      <c r="R682" s="350">
        <f t="shared" si="286"/>
        <v>76389304.723155826</v>
      </c>
      <c r="S682" s="350">
        <f t="shared" si="287"/>
        <v>115548392.78938314</v>
      </c>
      <c r="T682" s="350">
        <f t="shared" si="288"/>
        <v>155306824.84459898</v>
      </c>
      <c r="U682" s="350">
        <f t="shared" si="289"/>
        <v>195671367.04186925</v>
      </c>
      <c r="V682" s="350">
        <f t="shared" si="290"/>
        <v>580729622.0506506</v>
      </c>
      <c r="W682" s="365"/>
      <c r="X682" s="377">
        <f t="shared" si="268"/>
        <v>0</v>
      </c>
      <c r="Y682" s="377">
        <f t="shared" si="269"/>
        <v>0</v>
      </c>
      <c r="Z682" s="377">
        <f t="shared" si="270"/>
        <v>0</v>
      </c>
      <c r="AA682" s="377">
        <f t="shared" si="271"/>
        <v>0</v>
      </c>
      <c r="AB682" s="377">
        <f t="shared" si="272"/>
        <v>0</v>
      </c>
      <c r="AC682" s="377">
        <f t="shared" si="273"/>
        <v>0</v>
      </c>
      <c r="AD682" s="376"/>
      <c r="AE682" s="332">
        <v>667</v>
      </c>
      <c r="AF682" s="350">
        <v>104316319.47405052</v>
      </c>
      <c r="AG682" s="350">
        <v>105171921.97570285</v>
      </c>
      <c r="AH682" s="350">
        <v>105991673.48301594</v>
      </c>
      <c r="AI682" s="350">
        <v>106813372.94509929</v>
      </c>
      <c r="AJ682" s="350">
        <v>107639572.81066522</v>
      </c>
      <c r="AK682" s="348">
        <v>529932860.68853378</v>
      </c>
      <c r="AL682" s="369"/>
      <c r="AM682" s="350">
        <v>135782064.66605175</v>
      </c>
      <c r="AN682" s="350">
        <v>168705558.30052233</v>
      </c>
      <c r="AO682" s="350">
        <v>202078263.3619265</v>
      </c>
      <c r="AP682" s="350">
        <v>235951147.89920309</v>
      </c>
      <c r="AQ682" s="350">
        <v>270332389.7909677</v>
      </c>
      <c r="AR682" s="348">
        <v>1012849424.0186714</v>
      </c>
      <c r="AS682" s="369"/>
      <c r="AT682" s="350">
        <f t="shared" si="291"/>
        <v>31465745.192001224</v>
      </c>
      <c r="AU682" s="350">
        <f t="shared" si="274"/>
        <v>63533636.324819475</v>
      </c>
      <c r="AV682" s="350">
        <f t="shared" si="275"/>
        <v>96086589.878910556</v>
      </c>
      <c r="AW682" s="350">
        <f t="shared" si="276"/>
        <v>129137774.9541038</v>
      </c>
      <c r="AX682" s="350">
        <f t="shared" si="277"/>
        <v>162692816.98030248</v>
      </c>
      <c r="AY682" s="350">
        <f t="shared" si="278"/>
        <v>482916563.33013761</v>
      </c>
      <c r="AZ682" s="365"/>
      <c r="BA682" s="377">
        <f t="shared" si="279"/>
        <v>0</v>
      </c>
      <c r="BB682" s="377">
        <f t="shared" si="280"/>
        <v>0</v>
      </c>
      <c r="BC682" s="377">
        <f t="shared" si="281"/>
        <v>0</v>
      </c>
      <c r="BD682" s="377">
        <f t="shared" si="282"/>
        <v>0</v>
      </c>
      <c r="BE682" s="377">
        <f t="shared" si="283"/>
        <v>0</v>
      </c>
      <c r="BF682" s="377">
        <f t="shared" si="284"/>
        <v>0</v>
      </c>
      <c r="BG682" s="328"/>
    </row>
    <row r="683" spans="2:59">
      <c r="B683" s="332">
        <v>668</v>
      </c>
      <c r="C683" s="350">
        <v>124737915.07192551</v>
      </c>
      <c r="D683" s="350">
        <v>125761015.51032807</v>
      </c>
      <c r="E683" s="350">
        <v>126741246.54622784</v>
      </c>
      <c r="F683" s="350">
        <v>127723806.88034216</v>
      </c>
      <c r="G683" s="350">
        <v>128711748.64422923</v>
      </c>
      <c r="H683" s="348">
        <v>633675732.65305281</v>
      </c>
      <c r="I683" s="369"/>
      <c r="J683" s="350">
        <v>153912467.00862217</v>
      </c>
      <c r="K683" s="350">
        <v>184701031.84553245</v>
      </c>
      <c r="L683" s="350">
        <v>215896978.03211606</v>
      </c>
      <c r="M683" s="350">
        <v>247557716.26671484</v>
      </c>
      <c r="N683" s="350">
        <v>279691519.47039968</v>
      </c>
      <c r="O683" s="348">
        <v>1081759712.6233852</v>
      </c>
      <c r="P683" s="369"/>
      <c r="Q683" s="350">
        <f t="shared" si="285"/>
        <v>29174551.936696663</v>
      </c>
      <c r="R683" s="350">
        <f t="shared" si="286"/>
        <v>58940016.335204378</v>
      </c>
      <c r="S683" s="350">
        <f t="shared" si="287"/>
        <v>89155731.485888213</v>
      </c>
      <c r="T683" s="350">
        <f t="shared" si="288"/>
        <v>119833909.38637269</v>
      </c>
      <c r="U683" s="350">
        <f t="shared" si="289"/>
        <v>150979770.82617044</v>
      </c>
      <c r="V683" s="350">
        <f t="shared" si="290"/>
        <v>448083979.97033238</v>
      </c>
      <c r="W683" s="365"/>
      <c r="X683" s="377">
        <f t="shared" si="268"/>
        <v>0</v>
      </c>
      <c r="Y683" s="377">
        <f t="shared" si="269"/>
        <v>0</v>
      </c>
      <c r="Z683" s="377">
        <f t="shared" si="270"/>
        <v>0</v>
      </c>
      <c r="AA683" s="377">
        <f t="shared" si="271"/>
        <v>0</v>
      </c>
      <c r="AB683" s="377">
        <f t="shared" si="272"/>
        <v>0</v>
      </c>
      <c r="AC683" s="377">
        <f t="shared" si="273"/>
        <v>0</v>
      </c>
      <c r="AD683" s="376"/>
      <c r="AE683" s="332">
        <v>668</v>
      </c>
      <c r="AF683" s="350">
        <v>113502508.38152769</v>
      </c>
      <c r="AG683" s="350">
        <v>114433456.00894292</v>
      </c>
      <c r="AH683" s="350">
        <v>115325395.5712155</v>
      </c>
      <c r="AI683" s="350">
        <v>116219454.62690727</v>
      </c>
      <c r="AJ683" s="350">
        <v>117118410.39565966</v>
      </c>
      <c r="AK683" s="348">
        <v>576599224.98425305</v>
      </c>
      <c r="AL683" s="369"/>
      <c r="AM683" s="350">
        <v>144801858.57313505</v>
      </c>
      <c r="AN683" s="350">
        <v>177644164.56045985</v>
      </c>
      <c r="AO683" s="350">
        <v>210930163.2084533</v>
      </c>
      <c r="AP683" s="350">
        <v>244714082.26049829</v>
      </c>
      <c r="AQ683" s="350">
        <v>279004296.60956413</v>
      </c>
      <c r="AR683" s="348">
        <v>1057094565.2121105</v>
      </c>
      <c r="AS683" s="369"/>
      <c r="AT683" s="350">
        <f t="shared" si="291"/>
        <v>31299350.191607356</v>
      </c>
      <c r="AU683" s="350">
        <f t="shared" si="274"/>
        <v>63210708.551516935</v>
      </c>
      <c r="AV683" s="350">
        <f t="shared" si="275"/>
        <v>95604767.637237802</v>
      </c>
      <c r="AW683" s="350">
        <f t="shared" si="276"/>
        <v>128494627.63359101</v>
      </c>
      <c r="AX683" s="350">
        <f t="shared" si="277"/>
        <v>161885886.21390447</v>
      </c>
      <c r="AY683" s="350">
        <f t="shared" si="278"/>
        <v>480495340.22785747</v>
      </c>
      <c r="AZ683" s="365"/>
      <c r="BA683" s="377">
        <f t="shared" si="279"/>
        <v>0</v>
      </c>
      <c r="BB683" s="377">
        <f t="shared" si="280"/>
        <v>0</v>
      </c>
      <c r="BC683" s="377">
        <f t="shared" si="281"/>
        <v>0</v>
      </c>
      <c r="BD683" s="377">
        <f t="shared" si="282"/>
        <v>0</v>
      </c>
      <c r="BE683" s="377">
        <f t="shared" si="283"/>
        <v>0</v>
      </c>
      <c r="BF683" s="377">
        <f t="shared" si="284"/>
        <v>0</v>
      </c>
      <c r="BG683" s="328"/>
    </row>
    <row r="684" spans="2:59">
      <c r="B684" s="332">
        <v>669</v>
      </c>
      <c r="C684" s="350">
        <v>115615452.45255268</v>
      </c>
      <c r="D684" s="350">
        <v>116563730.44823754</v>
      </c>
      <c r="E684" s="350">
        <v>117472274.21104006</v>
      </c>
      <c r="F684" s="350">
        <v>118382976.92340347</v>
      </c>
      <c r="G684" s="350">
        <v>119298667.50523432</v>
      </c>
      <c r="H684" s="348">
        <v>587333101.5404681</v>
      </c>
      <c r="I684" s="369"/>
      <c r="J684" s="350">
        <v>144591268.70089567</v>
      </c>
      <c r="K684" s="350">
        <v>175103011.71364069</v>
      </c>
      <c r="L684" s="350">
        <v>206022216.03056955</v>
      </c>
      <c r="M684" s="350">
        <v>237402903.68650812</v>
      </c>
      <c r="N684" s="350">
        <v>269253088.94334918</v>
      </c>
      <c r="O684" s="348">
        <v>1032372489.0749631</v>
      </c>
      <c r="P684" s="369"/>
      <c r="Q684" s="350">
        <f t="shared" si="285"/>
        <v>28975816.248342991</v>
      </c>
      <c r="R684" s="350">
        <f t="shared" si="286"/>
        <v>58539281.265403152</v>
      </c>
      <c r="S684" s="350">
        <f t="shared" si="287"/>
        <v>88549941.819529489</v>
      </c>
      <c r="T684" s="350">
        <f t="shared" si="288"/>
        <v>119019926.76310465</v>
      </c>
      <c r="U684" s="350">
        <f t="shared" si="289"/>
        <v>149954421.43811488</v>
      </c>
      <c r="V684" s="350">
        <f t="shared" si="290"/>
        <v>445039387.534495</v>
      </c>
      <c r="W684" s="365"/>
      <c r="X684" s="377">
        <f t="shared" si="268"/>
        <v>0</v>
      </c>
      <c r="Y684" s="377">
        <f t="shared" si="269"/>
        <v>0</v>
      </c>
      <c r="Z684" s="377">
        <f t="shared" si="270"/>
        <v>0</v>
      </c>
      <c r="AA684" s="377">
        <f t="shared" si="271"/>
        <v>0</v>
      </c>
      <c r="AB684" s="377">
        <f t="shared" si="272"/>
        <v>0</v>
      </c>
      <c r="AC684" s="377">
        <f t="shared" si="273"/>
        <v>0</v>
      </c>
      <c r="AD684" s="376"/>
      <c r="AE684" s="332">
        <v>669</v>
      </c>
      <c r="AF684" s="350">
        <v>146937437.32362181</v>
      </c>
      <c r="AG684" s="350">
        <v>148142618.25402984</v>
      </c>
      <c r="AH684" s="350">
        <v>149297300.3434101</v>
      </c>
      <c r="AI684" s="350">
        <v>150454726.27463034</v>
      </c>
      <c r="AJ684" s="350">
        <v>151618491.36503488</v>
      </c>
      <c r="AK684" s="348">
        <v>746450573.56072688</v>
      </c>
      <c r="AL684" s="369"/>
      <c r="AM684" s="350">
        <v>182393215.71775484</v>
      </c>
      <c r="AN684" s="350">
        <v>219739414.7268728</v>
      </c>
      <c r="AO684" s="350">
        <v>257581790.99663717</v>
      </c>
      <c r="AP684" s="350">
        <v>295988426.59997159</v>
      </c>
      <c r="AQ684" s="350">
        <v>334969256.64876914</v>
      </c>
      <c r="AR684" s="348">
        <v>1290672104.6900055</v>
      </c>
      <c r="AS684" s="369"/>
      <c r="AT684" s="350">
        <f t="shared" si="291"/>
        <v>35455778.394133031</v>
      </c>
      <c r="AU684" s="350">
        <f t="shared" si="274"/>
        <v>71596796.472842962</v>
      </c>
      <c r="AV684" s="350">
        <f t="shared" si="275"/>
        <v>108284490.65322706</v>
      </c>
      <c r="AW684" s="350">
        <f t="shared" si="276"/>
        <v>145533700.32534125</v>
      </c>
      <c r="AX684" s="350">
        <f t="shared" si="277"/>
        <v>183350765.28373426</v>
      </c>
      <c r="AY684" s="350">
        <f t="shared" si="278"/>
        <v>544221531.12927866</v>
      </c>
      <c r="AZ684" s="365"/>
      <c r="BA684" s="377">
        <f t="shared" si="279"/>
        <v>0</v>
      </c>
      <c r="BB684" s="377">
        <f t="shared" si="280"/>
        <v>0</v>
      </c>
      <c r="BC684" s="377">
        <f t="shared" si="281"/>
        <v>0</v>
      </c>
      <c r="BD684" s="377">
        <f t="shared" si="282"/>
        <v>0</v>
      </c>
      <c r="BE684" s="377">
        <f t="shared" si="283"/>
        <v>0</v>
      </c>
      <c r="BF684" s="377">
        <f t="shared" si="284"/>
        <v>0</v>
      </c>
      <c r="BG684" s="328"/>
    </row>
    <row r="685" spans="2:59">
      <c r="B685" s="332">
        <v>670</v>
      </c>
      <c r="C685" s="350">
        <v>120311459.87514687</v>
      </c>
      <c r="D685" s="350">
        <v>121298254.52593233</v>
      </c>
      <c r="E685" s="350">
        <v>122243701.03973714</v>
      </c>
      <c r="F685" s="350">
        <v>123191394.1941765</v>
      </c>
      <c r="G685" s="350">
        <v>124144277.81273264</v>
      </c>
      <c r="H685" s="348">
        <v>611189087.44772542</v>
      </c>
      <c r="I685" s="369"/>
      <c r="J685" s="350">
        <v>151453131.68774718</v>
      </c>
      <c r="K685" s="350">
        <v>184179376.84365857</v>
      </c>
      <c r="L685" s="350">
        <v>217344369.10382214</v>
      </c>
      <c r="M685" s="350">
        <v>251004736.8158417</v>
      </c>
      <c r="N685" s="350">
        <v>285168991.57543558</v>
      </c>
      <c r="O685" s="348">
        <v>1089150606.0265052</v>
      </c>
      <c r="P685" s="369"/>
      <c r="Q685" s="350">
        <f t="shared" si="285"/>
        <v>31141671.812600315</v>
      </c>
      <c r="R685" s="350">
        <f t="shared" si="286"/>
        <v>62881122.31772624</v>
      </c>
      <c r="S685" s="350">
        <f t="shared" si="287"/>
        <v>95100668.064085007</v>
      </c>
      <c r="T685" s="350">
        <f t="shared" si="288"/>
        <v>127813342.62166521</v>
      </c>
      <c r="U685" s="350">
        <f t="shared" si="289"/>
        <v>161024713.76270294</v>
      </c>
      <c r="V685" s="350">
        <f t="shared" si="290"/>
        <v>477961518.57877982</v>
      </c>
      <c r="W685" s="365"/>
      <c r="X685" s="377">
        <f t="shared" si="268"/>
        <v>0</v>
      </c>
      <c r="Y685" s="377">
        <f t="shared" si="269"/>
        <v>0</v>
      </c>
      <c r="Z685" s="377">
        <f t="shared" si="270"/>
        <v>0</v>
      </c>
      <c r="AA685" s="377">
        <f t="shared" si="271"/>
        <v>0</v>
      </c>
      <c r="AB685" s="377">
        <f t="shared" si="272"/>
        <v>0</v>
      </c>
      <c r="AC685" s="377">
        <f t="shared" si="273"/>
        <v>0</v>
      </c>
      <c r="AD685" s="376"/>
      <c r="AE685" s="332">
        <v>670</v>
      </c>
      <c r="AF685" s="350">
        <v>131350937.75899939</v>
      </c>
      <c r="AG685" s="350">
        <v>132428278.21260825</v>
      </c>
      <c r="AH685" s="350">
        <v>133460476.52786529</v>
      </c>
      <c r="AI685" s="350">
        <v>134495127.62986815</v>
      </c>
      <c r="AJ685" s="350">
        <v>135535445.45996034</v>
      </c>
      <c r="AK685" s="348">
        <v>667270265.58930135</v>
      </c>
      <c r="AL685" s="369"/>
      <c r="AM685" s="350">
        <v>165217611.74404186</v>
      </c>
      <c r="AN685" s="350">
        <v>200821452.45654982</v>
      </c>
      <c r="AO685" s="350">
        <v>236902408.07144254</v>
      </c>
      <c r="AP685" s="350">
        <v>273522248.10669422</v>
      </c>
      <c r="AQ685" s="350">
        <v>310690242.96160704</v>
      </c>
      <c r="AR685" s="348">
        <v>1187153963.3403354</v>
      </c>
      <c r="AS685" s="369"/>
      <c r="AT685" s="350">
        <f t="shared" si="291"/>
        <v>33866673.985042468</v>
      </c>
      <c r="AU685" s="350">
        <f t="shared" si="274"/>
        <v>68393174.243941575</v>
      </c>
      <c r="AV685" s="350">
        <f t="shared" si="275"/>
        <v>103441931.54357725</v>
      </c>
      <c r="AW685" s="350">
        <f t="shared" si="276"/>
        <v>139027120.47682607</v>
      </c>
      <c r="AX685" s="350">
        <f t="shared" si="277"/>
        <v>175154797.5016467</v>
      </c>
      <c r="AY685" s="350">
        <f t="shared" si="278"/>
        <v>519883697.75103402</v>
      </c>
      <c r="AZ685" s="365"/>
      <c r="BA685" s="377">
        <f t="shared" si="279"/>
        <v>0</v>
      </c>
      <c r="BB685" s="377">
        <f t="shared" si="280"/>
        <v>0</v>
      </c>
      <c r="BC685" s="377">
        <f t="shared" si="281"/>
        <v>0</v>
      </c>
      <c r="BD685" s="377">
        <f t="shared" si="282"/>
        <v>0</v>
      </c>
      <c r="BE685" s="377">
        <f t="shared" si="283"/>
        <v>0</v>
      </c>
      <c r="BF685" s="377">
        <f t="shared" si="284"/>
        <v>0</v>
      </c>
      <c r="BG685" s="328"/>
    </row>
    <row r="686" spans="2:59">
      <c r="B686" s="332">
        <v>671</v>
      </c>
      <c r="C686" s="350">
        <v>118524300.46254207</v>
      </c>
      <c r="D686" s="350">
        <v>119496436.83098032</v>
      </c>
      <c r="E686" s="350">
        <v>120427839.26587513</v>
      </c>
      <c r="F686" s="350">
        <v>121361454.96881509</v>
      </c>
      <c r="G686" s="350">
        <v>122300184.03443182</v>
      </c>
      <c r="H686" s="348">
        <v>602110215.56264448</v>
      </c>
      <c r="I686" s="369"/>
      <c r="J686" s="350">
        <v>149288445.78841174</v>
      </c>
      <c r="K686" s="350">
        <v>181629862.02167532</v>
      </c>
      <c r="L686" s="350">
        <v>214405047.06719589</v>
      </c>
      <c r="M686" s="350">
        <v>247669824.50364971</v>
      </c>
      <c r="N686" s="350">
        <v>281432596.92949444</v>
      </c>
      <c r="O686" s="348">
        <v>1074425776.3104272</v>
      </c>
      <c r="P686" s="369"/>
      <c r="Q686" s="350">
        <f t="shared" si="285"/>
        <v>30764145.325869665</v>
      </c>
      <c r="R686" s="350">
        <f t="shared" si="286"/>
        <v>62133425.190695003</v>
      </c>
      <c r="S686" s="350">
        <f t="shared" si="287"/>
        <v>93977207.801320761</v>
      </c>
      <c r="T686" s="350">
        <f t="shared" si="288"/>
        <v>126308369.53483462</v>
      </c>
      <c r="U686" s="350">
        <f t="shared" si="289"/>
        <v>159132412.89506263</v>
      </c>
      <c r="V686" s="350">
        <f t="shared" si="290"/>
        <v>472315560.74778271</v>
      </c>
      <c r="W686" s="365"/>
      <c r="X686" s="377">
        <f t="shared" si="268"/>
        <v>0</v>
      </c>
      <c r="Y686" s="377">
        <f t="shared" si="269"/>
        <v>0</v>
      </c>
      <c r="Z686" s="377">
        <f t="shared" si="270"/>
        <v>0</v>
      </c>
      <c r="AA686" s="377">
        <f t="shared" si="271"/>
        <v>0</v>
      </c>
      <c r="AB686" s="377">
        <f t="shared" si="272"/>
        <v>0</v>
      </c>
      <c r="AC686" s="377">
        <f t="shared" si="273"/>
        <v>0</v>
      </c>
      <c r="AD686" s="376"/>
      <c r="AE686" s="332">
        <v>671</v>
      </c>
      <c r="AF686" s="350">
        <v>133265232.25577623</v>
      </c>
      <c r="AG686" s="350">
        <v>134358273.75375283</v>
      </c>
      <c r="AH686" s="350">
        <v>135405515.21668875</v>
      </c>
      <c r="AI686" s="350">
        <v>136455245.21302193</v>
      </c>
      <c r="AJ686" s="350">
        <v>137510724.52373254</v>
      </c>
      <c r="AK686" s="348">
        <v>676994990.96297228</v>
      </c>
      <c r="AL686" s="369"/>
      <c r="AM686" s="350">
        <v>165845489.08621335</v>
      </c>
      <c r="AN686" s="350">
        <v>200150737.99540615</v>
      </c>
      <c r="AO686" s="350">
        <v>234912562.26577303</v>
      </c>
      <c r="AP686" s="350">
        <v>270192886.48398912</v>
      </c>
      <c r="AQ686" s="350">
        <v>306000797.40666652</v>
      </c>
      <c r="AR686" s="348">
        <v>1177102473.2380481</v>
      </c>
      <c r="AS686" s="369"/>
      <c r="AT686" s="350">
        <f t="shared" si="291"/>
        <v>32580256.830437124</v>
      </c>
      <c r="AU686" s="350">
        <f t="shared" si="274"/>
        <v>65792464.241653323</v>
      </c>
      <c r="AV686" s="350">
        <f t="shared" si="275"/>
        <v>99507047.049084276</v>
      </c>
      <c r="AW686" s="350">
        <f t="shared" si="276"/>
        <v>133737641.27096719</v>
      </c>
      <c r="AX686" s="350">
        <f t="shared" si="277"/>
        <v>168490072.88293397</v>
      </c>
      <c r="AY686" s="350">
        <f t="shared" si="278"/>
        <v>500107482.27507579</v>
      </c>
      <c r="AZ686" s="365"/>
      <c r="BA686" s="377">
        <f t="shared" si="279"/>
        <v>0</v>
      </c>
      <c r="BB686" s="377">
        <f t="shared" si="280"/>
        <v>0</v>
      </c>
      <c r="BC686" s="377">
        <f t="shared" si="281"/>
        <v>0</v>
      </c>
      <c r="BD686" s="377">
        <f t="shared" si="282"/>
        <v>0</v>
      </c>
      <c r="BE686" s="377">
        <f t="shared" si="283"/>
        <v>0</v>
      </c>
      <c r="BF686" s="377">
        <f t="shared" si="284"/>
        <v>0</v>
      </c>
      <c r="BG686" s="328"/>
    </row>
    <row r="687" spans="2:59">
      <c r="B687" s="332">
        <v>672</v>
      </c>
      <c r="C687" s="350">
        <v>150642671.15660769</v>
      </c>
      <c r="D687" s="350">
        <v>151878242.41666594</v>
      </c>
      <c r="E687" s="350">
        <v>153062041.43650207</v>
      </c>
      <c r="F687" s="350">
        <v>154248653.48800349</v>
      </c>
      <c r="G687" s="350">
        <v>155441764.54949033</v>
      </c>
      <c r="H687" s="348">
        <v>765273373.04726958</v>
      </c>
      <c r="I687" s="369"/>
      <c r="J687" s="350">
        <v>180130634.49704969</v>
      </c>
      <c r="K687" s="350">
        <v>211474744.95349455</v>
      </c>
      <c r="L687" s="350">
        <v>243222534.25843582</v>
      </c>
      <c r="M687" s="350">
        <v>275440932.16587132</v>
      </c>
      <c r="N687" s="350">
        <v>308138905.08755851</v>
      </c>
      <c r="O687" s="348">
        <v>1218407750.96241</v>
      </c>
      <c r="P687" s="369"/>
      <c r="Q687" s="350">
        <f t="shared" si="285"/>
        <v>29487963.340442002</v>
      </c>
      <c r="R687" s="350">
        <f t="shared" si="286"/>
        <v>59596502.536828607</v>
      </c>
      <c r="S687" s="350">
        <f t="shared" si="287"/>
        <v>90160492.821933746</v>
      </c>
      <c r="T687" s="350">
        <f t="shared" si="288"/>
        <v>121192278.67786783</v>
      </c>
      <c r="U687" s="350">
        <f t="shared" si="289"/>
        <v>152697140.53806818</v>
      </c>
      <c r="V687" s="350">
        <f t="shared" si="290"/>
        <v>453134377.91514039</v>
      </c>
      <c r="W687" s="365"/>
      <c r="X687" s="377">
        <f t="shared" si="268"/>
        <v>0</v>
      </c>
      <c r="Y687" s="377">
        <f t="shared" si="269"/>
        <v>0</v>
      </c>
      <c r="Z687" s="377">
        <f t="shared" si="270"/>
        <v>0</v>
      </c>
      <c r="AA687" s="377">
        <f t="shared" si="271"/>
        <v>0</v>
      </c>
      <c r="AB687" s="377">
        <f t="shared" si="272"/>
        <v>0</v>
      </c>
      <c r="AC687" s="377">
        <f t="shared" si="273"/>
        <v>0</v>
      </c>
      <c r="AD687" s="376"/>
      <c r="AE687" s="332">
        <v>672</v>
      </c>
      <c r="AF687" s="350">
        <v>119787383.9598005</v>
      </c>
      <c r="AG687" s="350">
        <v>120769880.1396805</v>
      </c>
      <c r="AH687" s="350">
        <v>121711208.29478821</v>
      </c>
      <c r="AI687" s="350">
        <v>122654773.30417895</v>
      </c>
      <c r="AJ687" s="350">
        <v>123603506.16805941</v>
      </c>
      <c r="AK687" s="348">
        <v>608526751.86650753</v>
      </c>
      <c r="AL687" s="369"/>
      <c r="AM687" s="350">
        <v>152815925.82991865</v>
      </c>
      <c r="AN687" s="350">
        <v>187462257.17623666</v>
      </c>
      <c r="AO687" s="350">
        <v>222576624.84215629</v>
      </c>
      <c r="AP687" s="350">
        <v>258216257.05109245</v>
      </c>
      <c r="AQ687" s="350">
        <v>294389990.12383342</v>
      </c>
      <c r="AR687" s="348">
        <v>1115461055.0232375</v>
      </c>
      <c r="AS687" s="369"/>
      <c r="AT687" s="350">
        <f t="shared" si="291"/>
        <v>33028541.870118156</v>
      </c>
      <c r="AU687" s="350">
        <f t="shared" si="274"/>
        <v>66692377.036556154</v>
      </c>
      <c r="AV687" s="350">
        <f t="shared" si="275"/>
        <v>100865416.54736808</v>
      </c>
      <c r="AW687" s="350">
        <f t="shared" si="276"/>
        <v>135561483.74691349</v>
      </c>
      <c r="AX687" s="350">
        <f t="shared" si="277"/>
        <v>170786483.95577401</v>
      </c>
      <c r="AY687" s="350">
        <f t="shared" si="278"/>
        <v>506934303.15672994</v>
      </c>
      <c r="AZ687" s="365"/>
      <c r="BA687" s="377">
        <f t="shared" si="279"/>
        <v>0</v>
      </c>
      <c r="BB687" s="377">
        <f t="shared" si="280"/>
        <v>0</v>
      </c>
      <c r="BC687" s="377">
        <f t="shared" si="281"/>
        <v>0</v>
      </c>
      <c r="BD687" s="377">
        <f t="shared" si="282"/>
        <v>0</v>
      </c>
      <c r="BE687" s="377">
        <f t="shared" si="283"/>
        <v>0</v>
      </c>
      <c r="BF687" s="377">
        <f t="shared" si="284"/>
        <v>0</v>
      </c>
      <c r="BG687" s="328"/>
    </row>
    <row r="688" spans="2:59">
      <c r="B688" s="332">
        <v>673</v>
      </c>
      <c r="C688" s="350">
        <v>138872034.49929246</v>
      </c>
      <c r="D688" s="350">
        <v>140011062.99192157</v>
      </c>
      <c r="E688" s="350">
        <v>141102364.52727479</v>
      </c>
      <c r="F688" s="350">
        <v>142196259.29486072</v>
      </c>
      <c r="G688" s="350">
        <v>143296145.26488602</v>
      </c>
      <c r="H688" s="348">
        <v>705477866.57823551</v>
      </c>
      <c r="I688" s="369"/>
      <c r="J688" s="350">
        <v>179442383.39010131</v>
      </c>
      <c r="K688" s="350">
        <v>221950484.71461153</v>
      </c>
      <c r="L688" s="350">
        <v>265036622.5323112</v>
      </c>
      <c r="M688" s="350">
        <v>308768097.84924829</v>
      </c>
      <c r="N688" s="350">
        <v>353155565.19307703</v>
      </c>
      <c r="O688" s="348">
        <v>1328353153.6793494</v>
      </c>
      <c r="P688" s="369"/>
      <c r="Q688" s="350">
        <f t="shared" si="285"/>
        <v>40570348.890808851</v>
      </c>
      <c r="R688" s="350">
        <f t="shared" si="286"/>
        <v>81939421.722689956</v>
      </c>
      <c r="S688" s="350">
        <f t="shared" si="287"/>
        <v>123934258.00503641</v>
      </c>
      <c r="T688" s="350">
        <f t="shared" si="288"/>
        <v>166571838.55438757</v>
      </c>
      <c r="U688" s="350">
        <f t="shared" si="289"/>
        <v>209859419.92819101</v>
      </c>
      <c r="V688" s="350">
        <f t="shared" si="290"/>
        <v>622875287.10111392</v>
      </c>
      <c r="W688" s="365"/>
      <c r="X688" s="377">
        <f t="shared" si="268"/>
        <v>0</v>
      </c>
      <c r="Y688" s="377">
        <f t="shared" si="269"/>
        <v>0</v>
      </c>
      <c r="Z688" s="377">
        <f t="shared" si="270"/>
        <v>0</v>
      </c>
      <c r="AA688" s="377">
        <f t="shared" si="271"/>
        <v>0</v>
      </c>
      <c r="AB688" s="377">
        <f t="shared" si="272"/>
        <v>0</v>
      </c>
      <c r="AC688" s="377">
        <f t="shared" si="273"/>
        <v>0</v>
      </c>
      <c r="AD688" s="376"/>
      <c r="AE688" s="332">
        <v>673</v>
      </c>
      <c r="AF688" s="350">
        <v>129203126.84171435</v>
      </c>
      <c r="AG688" s="350">
        <v>130262850.94916405</v>
      </c>
      <c r="AH688" s="350">
        <v>131278171.06889284</v>
      </c>
      <c r="AI688" s="350">
        <v>132295903.86813839</v>
      </c>
      <c r="AJ688" s="350">
        <v>133319210.73484471</v>
      </c>
      <c r="AK688" s="348">
        <v>656359263.46275437</v>
      </c>
      <c r="AL688" s="369"/>
      <c r="AM688" s="350">
        <v>160080371.62369493</v>
      </c>
      <c r="AN688" s="350">
        <v>192650196.71176717</v>
      </c>
      <c r="AO688" s="350">
        <v>225652262.45837376</v>
      </c>
      <c r="AP688" s="350">
        <v>259146310.66251597</v>
      </c>
      <c r="AQ688" s="350">
        <v>293141029.33694941</v>
      </c>
      <c r="AR688" s="348">
        <v>1130670170.7933013</v>
      </c>
      <c r="AS688" s="369"/>
      <c r="AT688" s="350">
        <f t="shared" si="291"/>
        <v>30877244.781980574</v>
      </c>
      <c r="AU688" s="350">
        <f t="shared" si="274"/>
        <v>62387345.762603119</v>
      </c>
      <c r="AV688" s="350">
        <f t="shared" si="275"/>
        <v>94374091.389480919</v>
      </c>
      <c r="AW688" s="350">
        <f t="shared" si="276"/>
        <v>126850406.79437758</v>
      </c>
      <c r="AX688" s="350">
        <f t="shared" si="277"/>
        <v>159821818.60210469</v>
      </c>
      <c r="AY688" s="350">
        <f t="shared" si="278"/>
        <v>474310907.33054698</v>
      </c>
      <c r="AZ688" s="365"/>
      <c r="BA688" s="377">
        <f t="shared" si="279"/>
        <v>0</v>
      </c>
      <c r="BB688" s="377">
        <f t="shared" si="280"/>
        <v>0</v>
      </c>
      <c r="BC688" s="377">
        <f t="shared" si="281"/>
        <v>0</v>
      </c>
      <c r="BD688" s="377">
        <f t="shared" si="282"/>
        <v>0</v>
      </c>
      <c r="BE688" s="377">
        <f t="shared" si="283"/>
        <v>0</v>
      </c>
      <c r="BF688" s="377">
        <f t="shared" si="284"/>
        <v>0</v>
      </c>
      <c r="BG688" s="328"/>
    </row>
    <row r="689" spans="2:59">
      <c r="B689" s="332">
        <v>674</v>
      </c>
      <c r="C689" s="350">
        <v>122919518.49996366</v>
      </c>
      <c r="D689" s="350">
        <v>123927704.44882312</v>
      </c>
      <c r="E689" s="350">
        <v>124893645.93407279</v>
      </c>
      <c r="F689" s="350">
        <v>125861882.76163924</v>
      </c>
      <c r="G689" s="350">
        <v>126835422.56990832</v>
      </c>
      <c r="H689" s="348">
        <v>624438174.21440721</v>
      </c>
      <c r="I689" s="369"/>
      <c r="J689" s="350">
        <v>156209755.12165627</v>
      </c>
      <c r="K689" s="350">
        <v>191169119.89277154</v>
      </c>
      <c r="L689" s="350">
        <v>226599800.48633331</v>
      </c>
      <c r="M689" s="350">
        <v>262560270.72449473</v>
      </c>
      <c r="N689" s="350">
        <v>299059493.50255775</v>
      </c>
      <c r="O689" s="348">
        <v>1135598439.7278135</v>
      </c>
      <c r="P689" s="369"/>
      <c r="Q689" s="350">
        <f t="shared" si="285"/>
        <v>33290236.621692613</v>
      </c>
      <c r="R689" s="350">
        <f t="shared" si="286"/>
        <v>67241415.443948418</v>
      </c>
      <c r="S689" s="350">
        <f t="shared" si="287"/>
        <v>101706154.55226052</v>
      </c>
      <c r="T689" s="350">
        <f t="shared" si="288"/>
        <v>136698387.96285549</v>
      </c>
      <c r="U689" s="350">
        <f t="shared" si="289"/>
        <v>172224070.93264943</v>
      </c>
      <c r="V689" s="350">
        <f t="shared" si="290"/>
        <v>511160265.51340628</v>
      </c>
      <c r="W689" s="365"/>
      <c r="X689" s="377">
        <f t="shared" si="268"/>
        <v>0</v>
      </c>
      <c r="Y689" s="377">
        <f t="shared" si="269"/>
        <v>0</v>
      </c>
      <c r="Z689" s="377">
        <f t="shared" si="270"/>
        <v>0</v>
      </c>
      <c r="AA689" s="377">
        <f t="shared" si="271"/>
        <v>0</v>
      </c>
      <c r="AB689" s="377">
        <f t="shared" si="272"/>
        <v>0</v>
      </c>
      <c r="AC689" s="377">
        <f t="shared" si="273"/>
        <v>0</v>
      </c>
      <c r="AD689" s="376"/>
      <c r="AE689" s="332">
        <v>674</v>
      </c>
      <c r="AF689" s="350">
        <v>125250086.50380859</v>
      </c>
      <c r="AG689" s="350">
        <v>126277387.77253756</v>
      </c>
      <c r="AH689" s="350">
        <v>127261643.61783829</v>
      </c>
      <c r="AI689" s="350">
        <v>128248238.32540628</v>
      </c>
      <c r="AJ689" s="350">
        <v>129240236.55879214</v>
      </c>
      <c r="AK689" s="348">
        <v>636277592.7783829</v>
      </c>
      <c r="AL689" s="369"/>
      <c r="AM689" s="350">
        <v>153777607.63019803</v>
      </c>
      <c r="AN689" s="350">
        <v>183894961.93663782</v>
      </c>
      <c r="AO689" s="350">
        <v>214409297.82361329</v>
      </c>
      <c r="AP689" s="350">
        <v>245377939.88899451</v>
      </c>
      <c r="AQ689" s="350">
        <v>276809055.46794486</v>
      </c>
      <c r="AR689" s="348">
        <v>1074268862.7473886</v>
      </c>
      <c r="AS689" s="369"/>
      <c r="AT689" s="350">
        <f t="shared" si="291"/>
        <v>28527521.126389444</v>
      </c>
      <c r="AU689" s="350">
        <f t="shared" si="274"/>
        <v>57617574.16410026</v>
      </c>
      <c r="AV689" s="350">
        <f t="shared" si="275"/>
        <v>87147654.205774993</v>
      </c>
      <c r="AW689" s="350">
        <f t="shared" si="276"/>
        <v>117129701.56358823</v>
      </c>
      <c r="AX689" s="350">
        <f t="shared" si="277"/>
        <v>147568818.90915272</v>
      </c>
      <c r="AY689" s="350">
        <f t="shared" si="278"/>
        <v>437991269.9690057</v>
      </c>
      <c r="AZ689" s="365"/>
      <c r="BA689" s="377">
        <f t="shared" si="279"/>
        <v>0</v>
      </c>
      <c r="BB689" s="377">
        <f t="shared" si="280"/>
        <v>0</v>
      </c>
      <c r="BC689" s="377">
        <f t="shared" si="281"/>
        <v>0</v>
      </c>
      <c r="BD689" s="377">
        <f t="shared" si="282"/>
        <v>0</v>
      </c>
      <c r="BE689" s="377">
        <f t="shared" si="283"/>
        <v>0</v>
      </c>
      <c r="BF689" s="377">
        <f t="shared" si="284"/>
        <v>0</v>
      </c>
      <c r="BG689" s="328"/>
    </row>
    <row r="690" spans="2:59">
      <c r="B690" s="332">
        <v>675</v>
      </c>
      <c r="C690" s="350">
        <v>113956115.5776888</v>
      </c>
      <c r="D690" s="350">
        <v>114890783.6915414</v>
      </c>
      <c r="E690" s="350">
        <v>115786287.84643623</v>
      </c>
      <c r="F690" s="350">
        <v>116683919.96520162</v>
      </c>
      <c r="G690" s="350">
        <v>117586468.36650065</v>
      </c>
      <c r="H690" s="348">
        <v>578903575.44736862</v>
      </c>
      <c r="I690" s="369"/>
      <c r="J690" s="350">
        <v>145474503.07795018</v>
      </c>
      <c r="K690" s="350">
        <v>178554687.98212206</v>
      </c>
      <c r="L690" s="350">
        <v>212081956.61599508</v>
      </c>
      <c r="M690" s="350">
        <v>246110793.36640051</v>
      </c>
      <c r="N690" s="350">
        <v>280649625.05300939</v>
      </c>
      <c r="O690" s="348">
        <v>1062871566.0954772</v>
      </c>
      <c r="P690" s="369"/>
      <c r="Q690" s="350">
        <f t="shared" si="285"/>
        <v>31518387.500261381</v>
      </c>
      <c r="R690" s="350">
        <f t="shared" si="286"/>
        <v>63663904.29058066</v>
      </c>
      <c r="S690" s="350">
        <f t="shared" si="287"/>
        <v>96295668.769558847</v>
      </c>
      <c r="T690" s="350">
        <f t="shared" si="288"/>
        <v>129426873.40119889</v>
      </c>
      <c r="U690" s="350">
        <f t="shared" si="289"/>
        <v>163063156.68650874</v>
      </c>
      <c r="V690" s="350">
        <f t="shared" si="290"/>
        <v>483967990.6481086</v>
      </c>
      <c r="W690" s="365"/>
      <c r="X690" s="377">
        <f t="shared" si="268"/>
        <v>0</v>
      </c>
      <c r="Y690" s="377">
        <f t="shared" si="269"/>
        <v>0</v>
      </c>
      <c r="Z690" s="377">
        <f t="shared" si="270"/>
        <v>0</v>
      </c>
      <c r="AA690" s="377">
        <f t="shared" si="271"/>
        <v>0</v>
      </c>
      <c r="AB690" s="377">
        <f t="shared" si="272"/>
        <v>0</v>
      </c>
      <c r="AC690" s="377">
        <f t="shared" si="273"/>
        <v>0</v>
      </c>
      <c r="AD690" s="376"/>
      <c r="AE690" s="332">
        <v>675</v>
      </c>
      <c r="AF690" s="350">
        <v>147672529.8101953</v>
      </c>
      <c r="AG690" s="350">
        <v>148883739.96952584</v>
      </c>
      <c r="AH690" s="350">
        <v>150044198.65433165</v>
      </c>
      <c r="AI690" s="350">
        <v>151207414.90775502</v>
      </c>
      <c r="AJ690" s="350">
        <v>152377002.03364396</v>
      </c>
      <c r="AK690" s="348">
        <v>750184885.3754518</v>
      </c>
      <c r="AL690" s="369"/>
      <c r="AM690" s="350">
        <v>181885822.39929426</v>
      </c>
      <c r="AN690" s="350">
        <v>217993354.3324315</v>
      </c>
      <c r="AO690" s="350">
        <v>254577993.45892087</v>
      </c>
      <c r="AP690" s="350">
        <v>291707569.40291822</v>
      </c>
      <c r="AQ690" s="350">
        <v>329391816.42378008</v>
      </c>
      <c r="AR690" s="348">
        <v>1275556556.017345</v>
      </c>
      <c r="AS690" s="369"/>
      <c r="AT690" s="350">
        <f t="shared" si="291"/>
        <v>34213292.58909896</v>
      </c>
      <c r="AU690" s="350">
        <f t="shared" si="274"/>
        <v>69109614.362905651</v>
      </c>
      <c r="AV690" s="350">
        <f t="shared" si="275"/>
        <v>104533794.80458921</v>
      </c>
      <c r="AW690" s="350">
        <f t="shared" si="276"/>
        <v>140500154.4951632</v>
      </c>
      <c r="AX690" s="350">
        <f t="shared" si="277"/>
        <v>177014814.39013612</v>
      </c>
      <c r="AY690" s="350">
        <f t="shared" si="278"/>
        <v>525371670.64189315</v>
      </c>
      <c r="AZ690" s="365"/>
      <c r="BA690" s="377">
        <f t="shared" si="279"/>
        <v>0</v>
      </c>
      <c r="BB690" s="377">
        <f t="shared" si="280"/>
        <v>0</v>
      </c>
      <c r="BC690" s="377">
        <f t="shared" si="281"/>
        <v>0</v>
      </c>
      <c r="BD690" s="377">
        <f t="shared" si="282"/>
        <v>0</v>
      </c>
      <c r="BE690" s="377">
        <f t="shared" si="283"/>
        <v>0</v>
      </c>
      <c r="BF690" s="377">
        <f t="shared" si="284"/>
        <v>0</v>
      </c>
      <c r="BG690" s="328"/>
    </row>
    <row r="691" spans="2:59">
      <c r="B691" s="332">
        <v>676</v>
      </c>
      <c r="C691" s="350">
        <v>144196046.4988842</v>
      </c>
      <c r="D691" s="350">
        <v>145378742.5404515</v>
      </c>
      <c r="E691" s="350">
        <v>146511881.8906703</v>
      </c>
      <c r="F691" s="350">
        <v>147647713.89126301</v>
      </c>
      <c r="G691" s="350">
        <v>148789766.78225055</v>
      </c>
      <c r="H691" s="348">
        <v>732524151.60351956</v>
      </c>
      <c r="I691" s="369"/>
      <c r="J691" s="350">
        <v>176377721.69828802</v>
      </c>
      <c r="K691" s="350">
        <v>210385762.68298408</v>
      </c>
      <c r="L691" s="350">
        <v>244840779.59995317</v>
      </c>
      <c r="M691" s="350">
        <v>279808492.06905317</v>
      </c>
      <c r="N691" s="350">
        <v>315298186.00082707</v>
      </c>
      <c r="O691" s="348">
        <v>1226710942.0511055</v>
      </c>
      <c r="P691" s="369"/>
      <c r="Q691" s="350">
        <f t="shared" si="285"/>
        <v>32181675.199403822</v>
      </c>
      <c r="R691" s="350">
        <f t="shared" si="286"/>
        <v>65007020.142532587</v>
      </c>
      <c r="S691" s="350">
        <f t="shared" si="287"/>
        <v>98328897.709282875</v>
      </c>
      <c r="T691" s="350">
        <f t="shared" si="288"/>
        <v>132160778.17779016</v>
      </c>
      <c r="U691" s="350">
        <f t="shared" si="289"/>
        <v>166508419.21857652</v>
      </c>
      <c r="V691" s="350">
        <f t="shared" si="290"/>
        <v>494186790.44758594</v>
      </c>
      <c r="W691" s="365"/>
      <c r="X691" s="377">
        <f t="shared" si="268"/>
        <v>0</v>
      </c>
      <c r="Y691" s="377">
        <f t="shared" si="269"/>
        <v>0</v>
      </c>
      <c r="Z691" s="377">
        <f t="shared" si="270"/>
        <v>0</v>
      </c>
      <c r="AA691" s="377">
        <f t="shared" si="271"/>
        <v>0</v>
      </c>
      <c r="AB691" s="377">
        <f t="shared" si="272"/>
        <v>0</v>
      </c>
      <c r="AC691" s="377">
        <f t="shared" si="273"/>
        <v>0</v>
      </c>
      <c r="AD691" s="376"/>
      <c r="AE691" s="332">
        <v>676</v>
      </c>
      <c r="AF691" s="350">
        <v>142474940.36504796</v>
      </c>
      <c r="AG691" s="350">
        <v>143643519.89329168</v>
      </c>
      <c r="AH691" s="350">
        <v>144763134.23271093</v>
      </c>
      <c r="AI691" s="350">
        <v>145885409.08336306</v>
      </c>
      <c r="AJ691" s="350">
        <v>147013830.57263348</v>
      </c>
      <c r="AK691" s="348">
        <v>723780834.14704716</v>
      </c>
      <c r="AL691" s="369"/>
      <c r="AM691" s="350">
        <v>179556538.8406207</v>
      </c>
      <c r="AN691" s="350">
        <v>218517799.52560893</v>
      </c>
      <c r="AO691" s="350">
        <v>258001751.92129099</v>
      </c>
      <c r="AP691" s="350">
        <v>298075541.26609719</v>
      </c>
      <c r="AQ691" s="350">
        <v>338749283.340886</v>
      </c>
      <c r="AR691" s="348">
        <v>1292900914.8945038</v>
      </c>
      <c r="AS691" s="369"/>
      <c r="AT691" s="350">
        <f t="shared" si="291"/>
        <v>37081598.475572735</v>
      </c>
      <c r="AU691" s="350">
        <f t="shared" si="274"/>
        <v>74874279.632317245</v>
      </c>
      <c r="AV691" s="350">
        <f t="shared" si="275"/>
        <v>113238617.68858007</v>
      </c>
      <c r="AW691" s="350">
        <f t="shared" si="276"/>
        <v>152190132.18273413</v>
      </c>
      <c r="AX691" s="350">
        <f t="shared" si="277"/>
        <v>191735452.76825252</v>
      </c>
      <c r="AY691" s="350">
        <f t="shared" si="278"/>
        <v>569120080.74745667</v>
      </c>
      <c r="AZ691" s="365"/>
      <c r="BA691" s="377">
        <f t="shared" si="279"/>
        <v>0</v>
      </c>
      <c r="BB691" s="377">
        <f t="shared" si="280"/>
        <v>0</v>
      </c>
      <c r="BC691" s="377">
        <f t="shared" si="281"/>
        <v>0</v>
      </c>
      <c r="BD691" s="377">
        <f t="shared" si="282"/>
        <v>0</v>
      </c>
      <c r="BE691" s="377">
        <f t="shared" si="283"/>
        <v>0</v>
      </c>
      <c r="BF691" s="377">
        <f t="shared" si="284"/>
        <v>0</v>
      </c>
      <c r="BG691" s="328"/>
    </row>
    <row r="692" spans="2:59">
      <c r="B692" s="332">
        <v>677</v>
      </c>
      <c r="C692" s="350">
        <v>125430553.56733894</v>
      </c>
      <c r="D692" s="350">
        <v>126459335.02700837</v>
      </c>
      <c r="E692" s="350">
        <v>127445009.04108745</v>
      </c>
      <c r="F692" s="350">
        <v>128433025.28739238</v>
      </c>
      <c r="G692" s="350">
        <v>129426452.84520586</v>
      </c>
      <c r="H692" s="348">
        <v>637194375.76803303</v>
      </c>
      <c r="I692" s="369"/>
      <c r="J692" s="350">
        <v>163481898.70626494</v>
      </c>
      <c r="K692" s="350">
        <v>203295048.35755768</v>
      </c>
      <c r="L692" s="350">
        <v>243651749.39424342</v>
      </c>
      <c r="M692" s="350">
        <v>284613377.08057827</v>
      </c>
      <c r="N692" s="350">
        <v>326189804.03648436</v>
      </c>
      <c r="O692" s="348">
        <v>1221231877.5751286</v>
      </c>
      <c r="P692" s="369"/>
      <c r="Q692" s="350">
        <f t="shared" si="285"/>
        <v>38051345.138925999</v>
      </c>
      <c r="R692" s="350">
        <f t="shared" si="286"/>
        <v>76835713.330549315</v>
      </c>
      <c r="S692" s="350">
        <f t="shared" si="287"/>
        <v>116206740.35315597</v>
      </c>
      <c r="T692" s="350">
        <f t="shared" si="288"/>
        <v>156180351.79318589</v>
      </c>
      <c r="U692" s="350">
        <f t="shared" si="289"/>
        <v>196763351.19127852</v>
      </c>
      <c r="V692" s="350">
        <f t="shared" si="290"/>
        <v>584037501.80709553</v>
      </c>
      <c r="W692" s="365"/>
      <c r="X692" s="377">
        <f t="shared" si="268"/>
        <v>0</v>
      </c>
      <c r="Y692" s="377">
        <f t="shared" si="269"/>
        <v>0</v>
      </c>
      <c r="Z692" s="377">
        <f t="shared" si="270"/>
        <v>0</v>
      </c>
      <c r="AA692" s="377">
        <f t="shared" si="271"/>
        <v>0</v>
      </c>
      <c r="AB692" s="377">
        <f t="shared" si="272"/>
        <v>0</v>
      </c>
      <c r="AC692" s="377">
        <f t="shared" si="273"/>
        <v>0</v>
      </c>
      <c r="AD692" s="376"/>
      <c r="AE692" s="332">
        <v>677</v>
      </c>
      <c r="AF692" s="350">
        <v>106431654.38901784</v>
      </c>
      <c r="AG692" s="350">
        <v>107304606.86864299</v>
      </c>
      <c r="AH692" s="350">
        <v>108140981.36451393</v>
      </c>
      <c r="AI692" s="350">
        <v>108979343.31594236</v>
      </c>
      <c r="AJ692" s="350">
        <v>109822296.93040577</v>
      </c>
      <c r="AK692" s="348">
        <v>540678882.86852288</v>
      </c>
      <c r="AL692" s="369"/>
      <c r="AM692" s="350">
        <v>140082896.16827229</v>
      </c>
      <c r="AN692" s="350">
        <v>175266672.72209829</v>
      </c>
      <c r="AO692" s="350">
        <v>210932867.78597519</v>
      </c>
      <c r="AP692" s="350">
        <v>247134131.44453686</v>
      </c>
      <c r="AQ692" s="350">
        <v>283879086.44040489</v>
      </c>
      <c r="AR692" s="348">
        <v>1057295654.5612876</v>
      </c>
      <c r="AS692" s="369"/>
      <c r="AT692" s="350">
        <f t="shared" si="291"/>
        <v>33651241.779254451</v>
      </c>
      <c r="AU692" s="350">
        <f t="shared" si="274"/>
        <v>67962065.853455305</v>
      </c>
      <c r="AV692" s="350">
        <f t="shared" si="275"/>
        <v>102791886.42146125</v>
      </c>
      <c r="AW692" s="350">
        <f t="shared" si="276"/>
        <v>138154788.12859452</v>
      </c>
      <c r="AX692" s="350">
        <f t="shared" si="277"/>
        <v>174056789.50999913</v>
      </c>
      <c r="AY692" s="350">
        <f t="shared" si="278"/>
        <v>516616771.69276476</v>
      </c>
      <c r="AZ692" s="365"/>
      <c r="BA692" s="377">
        <f t="shared" si="279"/>
        <v>0</v>
      </c>
      <c r="BB692" s="377">
        <f t="shared" si="280"/>
        <v>0</v>
      </c>
      <c r="BC692" s="377">
        <f t="shared" si="281"/>
        <v>0</v>
      </c>
      <c r="BD692" s="377">
        <f t="shared" si="282"/>
        <v>0</v>
      </c>
      <c r="BE692" s="377">
        <f t="shared" si="283"/>
        <v>0</v>
      </c>
      <c r="BF692" s="377">
        <f t="shared" si="284"/>
        <v>0</v>
      </c>
      <c r="BG692" s="328"/>
    </row>
    <row r="693" spans="2:59">
      <c r="B693" s="332">
        <v>678</v>
      </c>
      <c r="C693" s="350">
        <v>154872677.90013379</v>
      </c>
      <c r="D693" s="350">
        <v>156142943.6775026</v>
      </c>
      <c r="E693" s="350">
        <v>157359983.4637062</v>
      </c>
      <c r="F693" s="350">
        <v>158579915.27076736</v>
      </c>
      <c r="G693" s="350">
        <v>159806528.57831183</v>
      </c>
      <c r="H693" s="348">
        <v>786762048.89042175</v>
      </c>
      <c r="I693" s="369"/>
      <c r="J693" s="350">
        <v>196093369.14625514</v>
      </c>
      <c r="K693" s="350">
        <v>239383170.96818665</v>
      </c>
      <c r="L693" s="350">
        <v>283255343.52467686</v>
      </c>
      <c r="M693" s="350">
        <v>327783257.14192426</v>
      </c>
      <c r="N693" s="350">
        <v>372978072.24364746</v>
      </c>
      <c r="O693" s="348">
        <v>1419493213.0246904</v>
      </c>
      <c r="P693" s="369"/>
      <c r="Q693" s="350">
        <f t="shared" si="285"/>
        <v>41220691.246121347</v>
      </c>
      <c r="R693" s="350">
        <f t="shared" si="286"/>
        <v>83240227.290684044</v>
      </c>
      <c r="S693" s="350">
        <f t="shared" si="287"/>
        <v>125895360.06097066</v>
      </c>
      <c r="T693" s="350">
        <f t="shared" si="288"/>
        <v>169203341.8711569</v>
      </c>
      <c r="U693" s="350">
        <f t="shared" si="289"/>
        <v>213171543.66533563</v>
      </c>
      <c r="V693" s="350">
        <f t="shared" si="290"/>
        <v>632731164.13426864</v>
      </c>
      <c r="W693" s="365"/>
      <c r="X693" s="377">
        <f t="shared" si="268"/>
        <v>0</v>
      </c>
      <c r="Y693" s="377">
        <f t="shared" si="269"/>
        <v>0</v>
      </c>
      <c r="Z693" s="377">
        <f t="shared" si="270"/>
        <v>0</v>
      </c>
      <c r="AA693" s="377">
        <f t="shared" si="271"/>
        <v>0</v>
      </c>
      <c r="AB693" s="377">
        <f t="shared" si="272"/>
        <v>0</v>
      </c>
      <c r="AC693" s="377">
        <f t="shared" si="273"/>
        <v>0</v>
      </c>
      <c r="AD693" s="376"/>
      <c r="AE693" s="332">
        <v>678</v>
      </c>
      <c r="AF693" s="350">
        <v>142398426.59289619</v>
      </c>
      <c r="AG693" s="350">
        <v>143566378.55514455</v>
      </c>
      <c r="AH693" s="350">
        <v>144685391.6245001</v>
      </c>
      <c r="AI693" s="350">
        <v>145807063.77630568</v>
      </c>
      <c r="AJ693" s="350">
        <v>146934879.26578072</v>
      </c>
      <c r="AK693" s="348">
        <v>723392139.81462717</v>
      </c>
      <c r="AL693" s="369"/>
      <c r="AM693" s="350">
        <v>173036664.4691695</v>
      </c>
      <c r="AN693" s="350">
        <v>205462906.16321263</v>
      </c>
      <c r="AO693" s="350">
        <v>238313040.87805513</v>
      </c>
      <c r="AP693" s="350">
        <v>271651491.23387557</v>
      </c>
      <c r="AQ693" s="350">
        <v>305487224.1248405</v>
      </c>
      <c r="AR693" s="348">
        <v>1193951326.8691533</v>
      </c>
      <c r="AS693" s="369"/>
      <c r="AT693" s="350">
        <f t="shared" si="291"/>
        <v>30638237.876273304</v>
      </c>
      <c r="AU693" s="350">
        <f t="shared" si="274"/>
        <v>61896527.608068079</v>
      </c>
      <c r="AV693" s="350">
        <f t="shared" si="275"/>
        <v>93627649.25355503</v>
      </c>
      <c r="AW693" s="350">
        <f t="shared" si="276"/>
        <v>125844427.4575699</v>
      </c>
      <c r="AX693" s="350">
        <f t="shared" si="277"/>
        <v>158552344.85905978</v>
      </c>
      <c r="AY693" s="350">
        <f t="shared" si="278"/>
        <v>470559187.05452609</v>
      </c>
      <c r="AZ693" s="365"/>
      <c r="BA693" s="377">
        <f t="shared" si="279"/>
        <v>0</v>
      </c>
      <c r="BB693" s="377">
        <f t="shared" si="280"/>
        <v>0</v>
      </c>
      <c r="BC693" s="377">
        <f t="shared" si="281"/>
        <v>0</v>
      </c>
      <c r="BD693" s="377">
        <f t="shared" si="282"/>
        <v>0</v>
      </c>
      <c r="BE693" s="377">
        <f t="shared" si="283"/>
        <v>0</v>
      </c>
      <c r="BF693" s="377">
        <f t="shared" si="284"/>
        <v>0</v>
      </c>
      <c r="BG693" s="328"/>
    </row>
    <row r="694" spans="2:59">
      <c r="B694" s="332">
        <v>679</v>
      </c>
      <c r="C694" s="350">
        <v>131129365.09921345</v>
      </c>
      <c r="D694" s="350">
        <v>132204888.213762</v>
      </c>
      <c r="E694" s="350">
        <v>133235345.33911934</v>
      </c>
      <c r="F694" s="350">
        <v>134268251.11367702</v>
      </c>
      <c r="G694" s="350">
        <v>135306814.0572601</v>
      </c>
      <c r="H694" s="348">
        <v>666144663.8230319</v>
      </c>
      <c r="I694" s="369"/>
      <c r="J694" s="350">
        <v>162030947.49991256</v>
      </c>
      <c r="K694" s="350">
        <v>194633449.0004034</v>
      </c>
      <c r="L694" s="350">
        <v>227667780.78024638</v>
      </c>
      <c r="M694" s="350">
        <v>261194392.35501596</v>
      </c>
      <c r="N694" s="350">
        <v>295222022.01058221</v>
      </c>
      <c r="O694" s="348">
        <v>1140748591.6461606</v>
      </c>
      <c r="P694" s="369"/>
      <c r="Q694" s="350">
        <f t="shared" si="285"/>
        <v>30901582.400699109</v>
      </c>
      <c r="R694" s="350">
        <f t="shared" si="286"/>
        <v>62428560.786641404</v>
      </c>
      <c r="S694" s="350">
        <f t="shared" si="287"/>
        <v>94432435.441127032</v>
      </c>
      <c r="T694" s="350">
        <f t="shared" si="288"/>
        <v>126926141.24133894</v>
      </c>
      <c r="U694" s="350">
        <f t="shared" si="289"/>
        <v>159915207.95332211</v>
      </c>
      <c r="V694" s="350">
        <f t="shared" si="290"/>
        <v>474603927.8231287</v>
      </c>
      <c r="W694" s="365"/>
      <c r="X694" s="377">
        <f t="shared" si="268"/>
        <v>0</v>
      </c>
      <c r="Y694" s="377">
        <f t="shared" si="269"/>
        <v>0</v>
      </c>
      <c r="Z694" s="377">
        <f t="shared" si="270"/>
        <v>0</v>
      </c>
      <c r="AA694" s="377">
        <f t="shared" si="271"/>
        <v>0</v>
      </c>
      <c r="AB694" s="377">
        <f t="shared" si="272"/>
        <v>0</v>
      </c>
      <c r="AC694" s="377">
        <f t="shared" si="273"/>
        <v>0</v>
      </c>
      <c r="AD694" s="376"/>
      <c r="AE694" s="332">
        <v>679</v>
      </c>
      <c r="AF694" s="350">
        <v>144140201.04935178</v>
      </c>
      <c r="AG694" s="350">
        <v>145322439.04651558</v>
      </c>
      <c r="AH694" s="350">
        <v>146455139.54506037</v>
      </c>
      <c r="AI694" s="350">
        <v>147590531.65114689</v>
      </c>
      <c r="AJ694" s="350">
        <v>148732142.23834988</v>
      </c>
      <c r="AK694" s="348">
        <v>732240453.53042459</v>
      </c>
      <c r="AL694" s="369"/>
      <c r="AM694" s="350">
        <v>176184118.41034624</v>
      </c>
      <c r="AN694" s="350">
        <v>210059965.45450565</v>
      </c>
      <c r="AO694" s="350">
        <v>244380818.97808674</v>
      </c>
      <c r="AP694" s="350">
        <v>279212321.19181859</v>
      </c>
      <c r="AQ694" s="350">
        <v>314563733.33311999</v>
      </c>
      <c r="AR694" s="348">
        <v>1224400957.3678772</v>
      </c>
      <c r="AS694" s="369"/>
      <c r="AT694" s="350">
        <f t="shared" si="291"/>
        <v>32043917.360994458</v>
      </c>
      <c r="AU694" s="350">
        <f t="shared" si="274"/>
        <v>64737526.407990068</v>
      </c>
      <c r="AV694" s="350">
        <f t="shared" si="275"/>
        <v>97925679.433026373</v>
      </c>
      <c r="AW694" s="350">
        <f t="shared" si="276"/>
        <v>131621789.54067171</v>
      </c>
      <c r="AX694" s="350">
        <f t="shared" si="277"/>
        <v>165831591.0947701</v>
      </c>
      <c r="AY694" s="350">
        <f t="shared" si="278"/>
        <v>492160503.83745265</v>
      </c>
      <c r="AZ694" s="365"/>
      <c r="BA694" s="377">
        <f t="shared" si="279"/>
        <v>0</v>
      </c>
      <c r="BB694" s="377">
        <f t="shared" si="280"/>
        <v>0</v>
      </c>
      <c r="BC694" s="377">
        <f t="shared" si="281"/>
        <v>0</v>
      </c>
      <c r="BD694" s="377">
        <f t="shared" si="282"/>
        <v>0</v>
      </c>
      <c r="BE694" s="377">
        <f t="shared" si="283"/>
        <v>0</v>
      </c>
      <c r="BF694" s="377">
        <f t="shared" si="284"/>
        <v>0</v>
      </c>
      <c r="BG694" s="328"/>
    </row>
    <row r="695" spans="2:59">
      <c r="B695" s="332">
        <v>680</v>
      </c>
      <c r="C695" s="350">
        <v>102282981.30769981</v>
      </c>
      <c r="D695" s="350">
        <v>103121906.36875027</v>
      </c>
      <c r="E695" s="350">
        <v>103925679.24457839</v>
      </c>
      <c r="F695" s="350">
        <v>104731362.10555896</v>
      </c>
      <c r="G695" s="350">
        <v>105541457.64796476</v>
      </c>
      <c r="H695" s="348">
        <v>519603386.67455226</v>
      </c>
      <c r="I695" s="369"/>
      <c r="J695" s="350">
        <v>131826209.05785027</v>
      </c>
      <c r="K695" s="350">
        <v>162786630.19796151</v>
      </c>
      <c r="L695" s="350">
        <v>194167526.16458616</v>
      </c>
      <c r="M695" s="350">
        <v>226018324.32999289</v>
      </c>
      <c r="N695" s="350">
        <v>258346811.08469695</v>
      </c>
      <c r="O695" s="348">
        <v>973145500.83508778</v>
      </c>
      <c r="P695" s="369"/>
      <c r="Q695" s="350">
        <f t="shared" si="285"/>
        <v>29543227.750150457</v>
      </c>
      <c r="R695" s="350">
        <f t="shared" si="286"/>
        <v>59664723.829211235</v>
      </c>
      <c r="S695" s="350">
        <f t="shared" si="287"/>
        <v>90241846.920007765</v>
      </c>
      <c r="T695" s="350">
        <f t="shared" si="288"/>
        <v>121286962.22443393</v>
      </c>
      <c r="U695" s="350">
        <f t="shared" si="289"/>
        <v>152805353.43673217</v>
      </c>
      <c r="V695" s="350">
        <f t="shared" si="290"/>
        <v>453542114.16053551</v>
      </c>
      <c r="W695" s="365"/>
      <c r="X695" s="377">
        <f t="shared" si="268"/>
        <v>0</v>
      </c>
      <c r="Y695" s="377">
        <f t="shared" si="269"/>
        <v>0</v>
      </c>
      <c r="Z695" s="377">
        <f t="shared" si="270"/>
        <v>0</v>
      </c>
      <c r="AA695" s="377">
        <f t="shared" si="271"/>
        <v>0</v>
      </c>
      <c r="AB695" s="377">
        <f t="shared" si="272"/>
        <v>0</v>
      </c>
      <c r="AC695" s="377">
        <f t="shared" si="273"/>
        <v>0</v>
      </c>
      <c r="AD695" s="376"/>
      <c r="AE695" s="332">
        <v>680</v>
      </c>
      <c r="AF695" s="350">
        <v>141923440.47492138</v>
      </c>
      <c r="AG695" s="350">
        <v>143087496.60080555</v>
      </c>
      <c r="AH695" s="350">
        <v>144202777.07503</v>
      </c>
      <c r="AI695" s="350">
        <v>145320707.76203313</v>
      </c>
      <c r="AJ695" s="350">
        <v>146444761.29490542</v>
      </c>
      <c r="AK695" s="348">
        <v>720979183.20769548</v>
      </c>
      <c r="AL695" s="369"/>
      <c r="AM695" s="350">
        <v>181997155.86190295</v>
      </c>
      <c r="AN695" s="350">
        <v>224011482.63007104</v>
      </c>
      <c r="AO695" s="350">
        <v>266594943.87872487</v>
      </c>
      <c r="AP695" s="350">
        <v>309815737.73318195</v>
      </c>
      <c r="AQ695" s="350">
        <v>353684502.66290969</v>
      </c>
      <c r="AR695" s="348">
        <v>1336103822.7667906</v>
      </c>
      <c r="AS695" s="369"/>
      <c r="AT695" s="350">
        <f t="shared" si="291"/>
        <v>40073715.386981577</v>
      </c>
      <c r="AU695" s="350">
        <f t="shared" si="274"/>
        <v>80923986.029265493</v>
      </c>
      <c r="AV695" s="350">
        <f t="shared" si="275"/>
        <v>122392166.80369487</v>
      </c>
      <c r="AW695" s="350">
        <f t="shared" si="276"/>
        <v>164495029.97114882</v>
      </c>
      <c r="AX695" s="350">
        <f t="shared" si="277"/>
        <v>207239741.36800426</v>
      </c>
      <c r="AY695" s="350">
        <f t="shared" si="278"/>
        <v>615124639.55909514</v>
      </c>
      <c r="AZ695" s="365"/>
      <c r="BA695" s="377">
        <f t="shared" si="279"/>
        <v>0</v>
      </c>
      <c r="BB695" s="377">
        <f t="shared" si="280"/>
        <v>0</v>
      </c>
      <c r="BC695" s="377">
        <f t="shared" si="281"/>
        <v>0</v>
      </c>
      <c r="BD695" s="377">
        <f t="shared" si="282"/>
        <v>0</v>
      </c>
      <c r="BE695" s="377">
        <f t="shared" si="283"/>
        <v>0</v>
      </c>
      <c r="BF695" s="377">
        <f t="shared" si="284"/>
        <v>0</v>
      </c>
      <c r="BG695" s="328"/>
    </row>
    <row r="696" spans="2:59">
      <c r="B696" s="332">
        <v>681</v>
      </c>
      <c r="C696" s="350">
        <v>131556150.16592062</v>
      </c>
      <c r="D696" s="350">
        <v>132635173.77178815</v>
      </c>
      <c r="E696" s="350">
        <v>133668984.71276602</v>
      </c>
      <c r="F696" s="350">
        <v>134705252.27253151</v>
      </c>
      <c r="G696" s="350">
        <v>135747195.41363797</v>
      </c>
      <c r="H696" s="348">
        <v>668312756.33664429</v>
      </c>
      <c r="I696" s="369"/>
      <c r="J696" s="350">
        <v>161854844.56237823</v>
      </c>
      <c r="K696" s="350">
        <v>193849943.17045569</v>
      </c>
      <c r="L696" s="350">
        <v>226267486.42040741</v>
      </c>
      <c r="M696" s="350">
        <v>259167826.34701923</v>
      </c>
      <c r="N696" s="350">
        <v>292559604.43245715</v>
      </c>
      <c r="O696" s="348">
        <v>1133699704.9327178</v>
      </c>
      <c r="P696" s="369"/>
      <c r="Q696" s="350">
        <f t="shared" si="285"/>
        <v>30298694.396457613</v>
      </c>
      <c r="R696" s="350">
        <f t="shared" si="286"/>
        <v>61214769.398667544</v>
      </c>
      <c r="S696" s="350">
        <f t="shared" si="287"/>
        <v>92598501.707641393</v>
      </c>
      <c r="T696" s="350">
        <f t="shared" si="288"/>
        <v>124462574.07448772</v>
      </c>
      <c r="U696" s="350">
        <f t="shared" si="289"/>
        <v>156812409.01881918</v>
      </c>
      <c r="V696" s="350">
        <f t="shared" si="290"/>
        <v>465386948.59607351</v>
      </c>
      <c r="W696" s="365"/>
      <c r="X696" s="377">
        <f t="shared" si="268"/>
        <v>0</v>
      </c>
      <c r="Y696" s="377">
        <f t="shared" si="269"/>
        <v>0</v>
      </c>
      <c r="Z696" s="377">
        <f t="shared" si="270"/>
        <v>0</v>
      </c>
      <c r="AA696" s="377">
        <f t="shared" si="271"/>
        <v>0</v>
      </c>
      <c r="AB696" s="377">
        <f t="shared" si="272"/>
        <v>0</v>
      </c>
      <c r="AC696" s="377">
        <f t="shared" si="273"/>
        <v>0</v>
      </c>
      <c r="AD696" s="376"/>
      <c r="AE696" s="332">
        <v>681</v>
      </c>
      <c r="AF696" s="350">
        <v>102921626.89617169</v>
      </c>
      <c r="AG696" s="350">
        <v>103765790.12864079</v>
      </c>
      <c r="AH696" s="350">
        <v>104574581.68885528</v>
      </c>
      <c r="AI696" s="350">
        <v>105385295.15999499</v>
      </c>
      <c r="AJ696" s="350">
        <v>106200448.8649395</v>
      </c>
      <c r="AK696" s="348">
        <v>522847742.73860222</v>
      </c>
      <c r="AL696" s="369"/>
      <c r="AM696" s="350">
        <v>133287048.65981767</v>
      </c>
      <c r="AN696" s="350">
        <v>165093426.56444964</v>
      </c>
      <c r="AO696" s="350">
        <v>197332777.90092725</v>
      </c>
      <c r="AP696" s="350">
        <v>230055105.7154904</v>
      </c>
      <c r="AQ696" s="350">
        <v>263268359.44265389</v>
      </c>
      <c r="AR696" s="348">
        <v>989036718.28333879</v>
      </c>
      <c r="AS696" s="369"/>
      <c r="AT696" s="350">
        <f t="shared" si="291"/>
        <v>30365421.763645977</v>
      </c>
      <c r="AU696" s="350">
        <f t="shared" si="274"/>
        <v>61327636.435808852</v>
      </c>
      <c r="AV696" s="350">
        <f t="shared" si="275"/>
        <v>92758196.21207197</v>
      </c>
      <c r="AW696" s="350">
        <f t="shared" si="276"/>
        <v>124669810.55549541</v>
      </c>
      <c r="AX696" s="350">
        <f t="shared" si="277"/>
        <v>157067910.57771438</v>
      </c>
      <c r="AY696" s="350">
        <f t="shared" si="278"/>
        <v>466188975.54473656</v>
      </c>
      <c r="AZ696" s="365"/>
      <c r="BA696" s="377">
        <f t="shared" si="279"/>
        <v>0</v>
      </c>
      <c r="BB696" s="377">
        <f t="shared" si="280"/>
        <v>0</v>
      </c>
      <c r="BC696" s="377">
        <f t="shared" si="281"/>
        <v>0</v>
      </c>
      <c r="BD696" s="377">
        <f t="shared" si="282"/>
        <v>0</v>
      </c>
      <c r="BE696" s="377">
        <f t="shared" si="283"/>
        <v>0</v>
      </c>
      <c r="BF696" s="377">
        <f t="shared" si="284"/>
        <v>0</v>
      </c>
      <c r="BG696" s="328"/>
    </row>
    <row r="697" spans="2:59">
      <c r="B697" s="332">
        <v>682</v>
      </c>
      <c r="C697" s="350">
        <v>132738521.96615745</v>
      </c>
      <c r="D697" s="350">
        <v>133827243.38608959</v>
      </c>
      <c r="E697" s="350">
        <v>134870345.78856009</v>
      </c>
      <c r="F697" s="350">
        <v>135915926.88888317</v>
      </c>
      <c r="G697" s="350">
        <v>136967234.5803048</v>
      </c>
      <c r="H697" s="348">
        <v>674319272.60999513</v>
      </c>
      <c r="I697" s="369"/>
      <c r="J697" s="350">
        <v>162102255.381199</v>
      </c>
      <c r="K697" s="350">
        <v>193148810.83839124</v>
      </c>
      <c r="L697" s="350">
        <v>224602907.63451535</v>
      </c>
      <c r="M697" s="350">
        <v>256524934.63506919</v>
      </c>
      <c r="N697" s="350">
        <v>288923394.27862006</v>
      </c>
      <c r="O697" s="348">
        <v>1125302302.7677948</v>
      </c>
      <c r="P697" s="369"/>
      <c r="Q697" s="350">
        <f t="shared" si="285"/>
        <v>29363733.415041551</v>
      </c>
      <c r="R697" s="350">
        <f t="shared" si="286"/>
        <v>59321567.452301651</v>
      </c>
      <c r="S697" s="350">
        <f t="shared" si="287"/>
        <v>89732561.845955253</v>
      </c>
      <c r="T697" s="350">
        <f t="shared" si="288"/>
        <v>120609007.74618602</v>
      </c>
      <c r="U697" s="350">
        <f t="shared" si="289"/>
        <v>151956159.69831526</v>
      </c>
      <c r="V697" s="350">
        <f t="shared" si="290"/>
        <v>450983030.15779972</v>
      </c>
      <c r="W697" s="365"/>
      <c r="X697" s="377">
        <f t="shared" si="268"/>
        <v>0</v>
      </c>
      <c r="Y697" s="377">
        <f t="shared" si="269"/>
        <v>0</v>
      </c>
      <c r="Z697" s="377">
        <f t="shared" si="270"/>
        <v>0</v>
      </c>
      <c r="AA697" s="377">
        <f t="shared" si="271"/>
        <v>0</v>
      </c>
      <c r="AB697" s="377">
        <f t="shared" si="272"/>
        <v>0</v>
      </c>
      <c r="AC697" s="377">
        <f t="shared" si="273"/>
        <v>0</v>
      </c>
      <c r="AD697" s="376"/>
      <c r="AE697" s="332">
        <v>682</v>
      </c>
      <c r="AF697" s="350">
        <v>166580190.84217429</v>
      </c>
      <c r="AG697" s="350">
        <v>167946481.64622962</v>
      </c>
      <c r="AH697" s="350">
        <v>169255522.87026682</v>
      </c>
      <c r="AI697" s="350">
        <v>170567674.73585108</v>
      </c>
      <c r="AJ697" s="350">
        <v>171887013.1861881</v>
      </c>
      <c r="AK697" s="348">
        <v>846236883.28070986</v>
      </c>
      <c r="AL697" s="369"/>
      <c r="AM697" s="350">
        <v>207315991.10997224</v>
      </c>
      <c r="AN697" s="350">
        <v>250225545.25668219</v>
      </c>
      <c r="AO697" s="350">
        <v>293706250.67702162</v>
      </c>
      <c r="AP697" s="350">
        <v>337835517.96376133</v>
      </c>
      <c r="AQ697" s="350">
        <v>382624710.04753703</v>
      </c>
      <c r="AR697" s="348">
        <v>1471708015.0549743</v>
      </c>
      <c r="AS697" s="369"/>
      <c r="AT697" s="350">
        <f t="shared" si="291"/>
        <v>40735800.267797947</v>
      </c>
      <c r="AU697" s="350">
        <f t="shared" si="274"/>
        <v>82279063.610452563</v>
      </c>
      <c r="AV697" s="350">
        <f t="shared" si="275"/>
        <v>124450727.8067548</v>
      </c>
      <c r="AW697" s="350">
        <f t="shared" si="276"/>
        <v>167267843.22791025</v>
      </c>
      <c r="AX697" s="350">
        <f t="shared" si="277"/>
        <v>210737696.86134893</v>
      </c>
      <c r="AY697" s="350">
        <f t="shared" si="278"/>
        <v>625471131.77426445</v>
      </c>
      <c r="AZ697" s="365"/>
      <c r="BA697" s="377">
        <f t="shared" si="279"/>
        <v>0</v>
      </c>
      <c r="BB697" s="377">
        <f t="shared" si="280"/>
        <v>0</v>
      </c>
      <c r="BC697" s="377">
        <f t="shared" si="281"/>
        <v>0</v>
      </c>
      <c r="BD697" s="377">
        <f t="shared" si="282"/>
        <v>0</v>
      </c>
      <c r="BE697" s="377">
        <f t="shared" si="283"/>
        <v>0</v>
      </c>
      <c r="BF697" s="377">
        <f t="shared" si="284"/>
        <v>0</v>
      </c>
      <c r="BG697" s="328"/>
    </row>
    <row r="698" spans="2:59">
      <c r="B698" s="332">
        <v>683</v>
      </c>
      <c r="C698" s="350">
        <v>135894757.37973067</v>
      </c>
      <c r="D698" s="350">
        <v>137009366.24401739</v>
      </c>
      <c r="E698" s="350">
        <v>138077271.36911801</v>
      </c>
      <c r="F698" s="350">
        <v>139147714.13015363</v>
      </c>
      <c r="G698" s="350">
        <v>140224019.64825791</v>
      </c>
      <c r="H698" s="348">
        <v>690353128.77127767</v>
      </c>
      <c r="I698" s="369"/>
      <c r="J698" s="350">
        <v>171408828.42950463</v>
      </c>
      <c r="K698" s="350">
        <v>208735849.84639928</v>
      </c>
      <c r="L698" s="350">
        <v>246563929.09221807</v>
      </c>
      <c r="M698" s="350">
        <v>284957171.99490106</v>
      </c>
      <c r="N698" s="350">
        <v>323925255.72127563</v>
      </c>
      <c r="O698" s="348">
        <v>1235591035.0842986</v>
      </c>
      <c r="P698" s="369"/>
      <c r="Q698" s="350">
        <f t="shared" si="285"/>
        <v>35514071.049773961</v>
      </c>
      <c r="R698" s="350">
        <f t="shared" si="286"/>
        <v>71726483.602381885</v>
      </c>
      <c r="S698" s="350">
        <f t="shared" si="287"/>
        <v>108486657.72310007</v>
      </c>
      <c r="T698" s="350">
        <f t="shared" si="288"/>
        <v>145809457.86474743</v>
      </c>
      <c r="U698" s="350">
        <f t="shared" si="289"/>
        <v>183701236.07301772</v>
      </c>
      <c r="V698" s="350">
        <f t="shared" si="290"/>
        <v>545237906.31302094</v>
      </c>
      <c r="W698" s="365"/>
      <c r="X698" s="377">
        <f t="shared" si="268"/>
        <v>0</v>
      </c>
      <c r="Y698" s="377">
        <f t="shared" si="269"/>
        <v>0</v>
      </c>
      <c r="Z698" s="377">
        <f t="shared" si="270"/>
        <v>0</v>
      </c>
      <c r="AA698" s="377">
        <f t="shared" si="271"/>
        <v>0</v>
      </c>
      <c r="AB698" s="377">
        <f t="shared" si="272"/>
        <v>0</v>
      </c>
      <c r="AC698" s="377">
        <f t="shared" si="273"/>
        <v>0</v>
      </c>
      <c r="AD698" s="376"/>
      <c r="AE698" s="332">
        <v>683</v>
      </c>
      <c r="AF698" s="350">
        <v>129695257.8723408</v>
      </c>
      <c r="AG698" s="350">
        <v>130759018.43873644</v>
      </c>
      <c r="AH698" s="350">
        <v>131778205.88388641</v>
      </c>
      <c r="AI698" s="350">
        <v>132799815.19838078</v>
      </c>
      <c r="AJ698" s="350">
        <v>133827019.81180015</v>
      </c>
      <c r="AK698" s="348">
        <v>658859317.20514452</v>
      </c>
      <c r="AL698" s="369"/>
      <c r="AM698" s="350">
        <v>165411002.8638632</v>
      </c>
      <c r="AN698" s="350">
        <v>202903036.18008456</v>
      </c>
      <c r="AO698" s="350">
        <v>240901527.8461383</v>
      </c>
      <c r="AP698" s="350">
        <v>279468422.28418493</v>
      </c>
      <c r="AQ698" s="350">
        <v>318613282.60098416</v>
      </c>
      <c r="AR698" s="348">
        <v>1207297271.7752552</v>
      </c>
      <c r="AS698" s="369"/>
      <c r="AT698" s="350">
        <f t="shared" si="291"/>
        <v>35715744.991522402</v>
      </c>
      <c r="AU698" s="350">
        <f t="shared" si="274"/>
        <v>72144017.741348118</v>
      </c>
      <c r="AV698" s="350">
        <f t="shared" si="275"/>
        <v>109123321.96225189</v>
      </c>
      <c r="AW698" s="350">
        <f t="shared" si="276"/>
        <v>146668607.08580416</v>
      </c>
      <c r="AX698" s="350">
        <f t="shared" si="277"/>
        <v>184786262.789184</v>
      </c>
      <c r="AY698" s="350">
        <f t="shared" si="278"/>
        <v>548437954.57011068</v>
      </c>
      <c r="AZ698" s="365"/>
      <c r="BA698" s="377">
        <f t="shared" si="279"/>
        <v>0</v>
      </c>
      <c r="BB698" s="377">
        <f t="shared" si="280"/>
        <v>0</v>
      </c>
      <c r="BC698" s="377">
        <f t="shared" si="281"/>
        <v>0</v>
      </c>
      <c r="BD698" s="377">
        <f t="shared" si="282"/>
        <v>0</v>
      </c>
      <c r="BE698" s="377">
        <f t="shared" si="283"/>
        <v>0</v>
      </c>
      <c r="BF698" s="377">
        <f t="shared" si="284"/>
        <v>0</v>
      </c>
      <c r="BG698" s="328"/>
    </row>
    <row r="699" spans="2:59">
      <c r="B699" s="332">
        <v>684</v>
      </c>
      <c r="C699" s="350">
        <v>149755686.70263714</v>
      </c>
      <c r="D699" s="350">
        <v>150983982.91578451</v>
      </c>
      <c r="E699" s="350">
        <v>152160811.72379979</v>
      </c>
      <c r="F699" s="350">
        <v>153340437.00034234</v>
      </c>
      <c r="G699" s="350">
        <v>154526523.02068204</v>
      </c>
      <c r="H699" s="348">
        <v>760767441.36324596</v>
      </c>
      <c r="I699" s="369"/>
      <c r="J699" s="350">
        <v>180355794.38989872</v>
      </c>
      <c r="K699" s="350">
        <v>212790171.54992986</v>
      </c>
      <c r="L699" s="350">
        <v>245645117.32645336</v>
      </c>
      <c r="M699" s="350">
        <v>278987703.53791893</v>
      </c>
      <c r="N699" s="350">
        <v>312827068.2440418</v>
      </c>
      <c r="O699" s="348">
        <v>1230605855.0482426</v>
      </c>
      <c r="P699" s="369"/>
      <c r="Q699" s="350">
        <f t="shared" si="285"/>
        <v>30600107.687261581</v>
      </c>
      <c r="R699" s="350">
        <f t="shared" si="286"/>
        <v>61806188.634145349</v>
      </c>
      <c r="S699" s="350">
        <f t="shared" si="287"/>
        <v>93484305.602653563</v>
      </c>
      <c r="T699" s="350">
        <f t="shared" si="288"/>
        <v>125647266.53757659</v>
      </c>
      <c r="U699" s="350">
        <f t="shared" si="289"/>
        <v>158300545.22335976</v>
      </c>
      <c r="V699" s="350">
        <f t="shared" si="290"/>
        <v>469838413.6849966</v>
      </c>
      <c r="W699" s="365"/>
      <c r="X699" s="377">
        <f t="shared" si="268"/>
        <v>0</v>
      </c>
      <c r="Y699" s="377">
        <f t="shared" si="269"/>
        <v>0</v>
      </c>
      <c r="Z699" s="377">
        <f t="shared" si="270"/>
        <v>0</v>
      </c>
      <c r="AA699" s="377">
        <f t="shared" si="271"/>
        <v>0</v>
      </c>
      <c r="AB699" s="377">
        <f t="shared" si="272"/>
        <v>0</v>
      </c>
      <c r="AC699" s="377">
        <f t="shared" si="273"/>
        <v>0</v>
      </c>
      <c r="AD699" s="376"/>
      <c r="AE699" s="332">
        <v>684</v>
      </c>
      <c r="AF699" s="350">
        <v>100146251.20945376</v>
      </c>
      <c r="AG699" s="350">
        <v>100967650.80922806</v>
      </c>
      <c r="AH699" s="350">
        <v>101754632.56620161</v>
      </c>
      <c r="AI699" s="350">
        <v>102543484.40801668</v>
      </c>
      <c r="AJ699" s="350">
        <v>103336656.74867585</v>
      </c>
      <c r="AK699" s="348">
        <v>508748675.74157596</v>
      </c>
      <c r="AL699" s="369"/>
      <c r="AM699" s="350">
        <v>128662151.08054581</v>
      </c>
      <c r="AN699" s="350">
        <v>158551880.3591449</v>
      </c>
      <c r="AO699" s="350">
        <v>188846885.63785481</v>
      </c>
      <c r="AP699" s="350">
        <v>219595389.74377891</v>
      </c>
      <c r="AQ699" s="350">
        <v>250804942.17683086</v>
      </c>
      <c r="AR699" s="348">
        <v>946461248.99815536</v>
      </c>
      <c r="AS699" s="369"/>
      <c r="AT699" s="350">
        <f t="shared" si="291"/>
        <v>28515899.871092051</v>
      </c>
      <c r="AU699" s="350">
        <f t="shared" si="274"/>
        <v>57584229.549916834</v>
      </c>
      <c r="AV699" s="350">
        <f t="shared" si="275"/>
        <v>87092253.071653202</v>
      </c>
      <c r="AW699" s="350">
        <f t="shared" si="276"/>
        <v>117051905.33576223</v>
      </c>
      <c r="AX699" s="350">
        <f t="shared" si="277"/>
        <v>147468285.428155</v>
      </c>
      <c r="AY699" s="350">
        <f t="shared" si="278"/>
        <v>437712573.2565794</v>
      </c>
      <c r="AZ699" s="365"/>
      <c r="BA699" s="377">
        <f t="shared" si="279"/>
        <v>0</v>
      </c>
      <c r="BB699" s="377">
        <f t="shared" si="280"/>
        <v>0</v>
      </c>
      <c r="BC699" s="377">
        <f t="shared" si="281"/>
        <v>0</v>
      </c>
      <c r="BD699" s="377">
        <f t="shared" si="282"/>
        <v>0</v>
      </c>
      <c r="BE699" s="377">
        <f t="shared" si="283"/>
        <v>0</v>
      </c>
      <c r="BF699" s="377">
        <f t="shared" si="284"/>
        <v>0</v>
      </c>
      <c r="BG699" s="328"/>
    </row>
    <row r="700" spans="2:59">
      <c r="B700" s="332">
        <v>685</v>
      </c>
      <c r="C700" s="350">
        <v>134504796.49929526</v>
      </c>
      <c r="D700" s="350">
        <v>135608004.90378341</v>
      </c>
      <c r="E700" s="350">
        <v>136664987.26500025</v>
      </c>
      <c r="F700" s="350">
        <v>137724481.30666453</v>
      </c>
      <c r="G700" s="350">
        <v>138789778.13985401</v>
      </c>
      <c r="H700" s="348">
        <v>683292048.11459732</v>
      </c>
      <c r="I700" s="369"/>
      <c r="J700" s="350">
        <v>170285454.64991826</v>
      </c>
      <c r="K700" s="350">
        <v>207876913.35177234</v>
      </c>
      <c r="L700" s="350">
        <v>245974081.85000107</v>
      </c>
      <c r="M700" s="350">
        <v>284640674.12419474</v>
      </c>
      <c r="N700" s="350">
        <v>323886381.62475598</v>
      </c>
      <c r="O700" s="348">
        <v>1232663505.6006424</v>
      </c>
      <c r="P700" s="369"/>
      <c r="Q700" s="350">
        <f t="shared" si="285"/>
        <v>35780658.150622994</v>
      </c>
      <c r="R700" s="350">
        <f t="shared" si="286"/>
        <v>72268908.447988927</v>
      </c>
      <c r="S700" s="350">
        <f t="shared" si="287"/>
        <v>109309094.58500081</v>
      </c>
      <c r="T700" s="350">
        <f t="shared" si="288"/>
        <v>146916192.81753021</v>
      </c>
      <c r="U700" s="350">
        <f t="shared" si="289"/>
        <v>185096603.48490196</v>
      </c>
      <c r="V700" s="350">
        <f t="shared" si="290"/>
        <v>549371457.48604512</v>
      </c>
      <c r="W700" s="365"/>
      <c r="X700" s="377">
        <f t="shared" si="268"/>
        <v>0</v>
      </c>
      <c r="Y700" s="377">
        <f t="shared" si="269"/>
        <v>0</v>
      </c>
      <c r="Z700" s="377">
        <f t="shared" si="270"/>
        <v>0</v>
      </c>
      <c r="AA700" s="377">
        <f t="shared" si="271"/>
        <v>0</v>
      </c>
      <c r="AB700" s="377">
        <f t="shared" si="272"/>
        <v>0</v>
      </c>
      <c r="AC700" s="377">
        <f t="shared" si="273"/>
        <v>0</v>
      </c>
      <c r="AD700" s="376"/>
      <c r="AE700" s="332">
        <v>685</v>
      </c>
      <c r="AF700" s="350">
        <v>139914237.32704747</v>
      </c>
      <c r="AG700" s="350">
        <v>141061813.96776265</v>
      </c>
      <c r="AH700" s="350">
        <v>142161305.47131339</v>
      </c>
      <c r="AI700" s="350">
        <v>143263409.66871116</v>
      </c>
      <c r="AJ700" s="350">
        <v>144371550.03115106</v>
      </c>
      <c r="AK700" s="348">
        <v>710772316.46598577</v>
      </c>
      <c r="AL700" s="369"/>
      <c r="AM700" s="350">
        <v>174065485.47924897</v>
      </c>
      <c r="AN700" s="350">
        <v>210033578.31073442</v>
      </c>
      <c r="AO700" s="350">
        <v>246480292.21173841</v>
      </c>
      <c r="AP700" s="350">
        <v>283470618.92867416</v>
      </c>
      <c r="AQ700" s="350">
        <v>321014089.87667751</v>
      </c>
      <c r="AR700" s="348">
        <v>1235064064.8070736</v>
      </c>
      <c r="AS700" s="369"/>
      <c r="AT700" s="350">
        <f t="shared" si="291"/>
        <v>34151248.152201504</v>
      </c>
      <c r="AU700" s="350">
        <f t="shared" si="274"/>
        <v>68971764.342971772</v>
      </c>
      <c r="AV700" s="350">
        <f t="shared" si="275"/>
        <v>104318986.74042502</v>
      </c>
      <c r="AW700" s="350">
        <f t="shared" si="276"/>
        <v>140207209.25996301</v>
      </c>
      <c r="AX700" s="350">
        <f t="shared" si="277"/>
        <v>176642539.84552646</v>
      </c>
      <c r="AY700" s="350">
        <f t="shared" si="278"/>
        <v>524291748.34108782</v>
      </c>
      <c r="AZ700" s="365"/>
      <c r="BA700" s="377">
        <f t="shared" si="279"/>
        <v>0</v>
      </c>
      <c r="BB700" s="377">
        <f t="shared" si="280"/>
        <v>0</v>
      </c>
      <c r="BC700" s="377">
        <f t="shared" si="281"/>
        <v>0</v>
      </c>
      <c r="BD700" s="377">
        <f t="shared" si="282"/>
        <v>0</v>
      </c>
      <c r="BE700" s="377">
        <f t="shared" si="283"/>
        <v>0</v>
      </c>
      <c r="BF700" s="377">
        <f t="shared" si="284"/>
        <v>0</v>
      </c>
      <c r="BG700" s="328"/>
    </row>
    <row r="701" spans="2:59">
      <c r="B701" s="332">
        <v>686</v>
      </c>
      <c r="C701" s="350">
        <v>139400812.9005363</v>
      </c>
      <c r="D701" s="350">
        <v>140544178.43386251</v>
      </c>
      <c r="E701" s="350">
        <v>141639635.28157371</v>
      </c>
      <c r="F701" s="350">
        <v>142737695.23568133</v>
      </c>
      <c r="G701" s="350">
        <v>143841769.20472947</v>
      </c>
      <c r="H701" s="348">
        <v>708164091.05638325</v>
      </c>
      <c r="I701" s="369"/>
      <c r="J701" s="350">
        <v>178043021.34548223</v>
      </c>
      <c r="K701" s="350">
        <v>218566863.61962819</v>
      </c>
      <c r="L701" s="350">
        <v>259638470.03741902</v>
      </c>
      <c r="M701" s="350">
        <v>301324524.92964548</v>
      </c>
      <c r="N701" s="350">
        <v>343635347.45443988</v>
      </c>
      <c r="O701" s="348">
        <v>1301208227.3866148</v>
      </c>
      <c r="P701" s="369"/>
      <c r="Q701" s="350">
        <f t="shared" si="285"/>
        <v>38642208.444945931</v>
      </c>
      <c r="R701" s="350">
        <f t="shared" si="286"/>
        <v>78022685.185765684</v>
      </c>
      <c r="S701" s="350">
        <f t="shared" si="287"/>
        <v>117998834.75584531</v>
      </c>
      <c r="T701" s="350">
        <f t="shared" si="288"/>
        <v>158586829.69396415</v>
      </c>
      <c r="U701" s="350">
        <f t="shared" si="289"/>
        <v>199793578.24971041</v>
      </c>
      <c r="V701" s="350">
        <f t="shared" si="290"/>
        <v>593044136.33023155</v>
      </c>
      <c r="W701" s="365"/>
      <c r="X701" s="377">
        <f t="shared" si="268"/>
        <v>0</v>
      </c>
      <c r="Y701" s="377">
        <f t="shared" si="269"/>
        <v>0</v>
      </c>
      <c r="Z701" s="377">
        <f t="shared" si="270"/>
        <v>0</v>
      </c>
      <c r="AA701" s="377">
        <f t="shared" si="271"/>
        <v>0</v>
      </c>
      <c r="AB701" s="377">
        <f t="shared" si="272"/>
        <v>0</v>
      </c>
      <c r="AC701" s="377">
        <f t="shared" si="273"/>
        <v>0</v>
      </c>
      <c r="AD701" s="376"/>
      <c r="AE701" s="332">
        <v>686</v>
      </c>
      <c r="AF701" s="350">
        <v>113069650.51575179</v>
      </c>
      <c r="AG701" s="350">
        <v>113997047.84274718</v>
      </c>
      <c r="AH701" s="350">
        <v>114885585.86737245</v>
      </c>
      <c r="AI701" s="350">
        <v>115776235.30242905</v>
      </c>
      <c r="AJ701" s="350">
        <v>116671762.77623856</v>
      </c>
      <c r="AK701" s="348">
        <v>574400282.30453908</v>
      </c>
      <c r="AL701" s="369"/>
      <c r="AM701" s="350">
        <v>143932241.72615269</v>
      </c>
      <c r="AN701" s="350">
        <v>176335648.11431688</v>
      </c>
      <c r="AO701" s="350">
        <v>209176315.30426303</v>
      </c>
      <c r="AP701" s="350">
        <v>242508131.94320929</v>
      </c>
      <c r="AQ701" s="350">
        <v>276339385.74022514</v>
      </c>
      <c r="AR701" s="348">
        <v>1048291722.828167</v>
      </c>
      <c r="AS701" s="369"/>
      <c r="AT701" s="350">
        <f t="shared" si="291"/>
        <v>30862591.210400894</v>
      </c>
      <c r="AU701" s="350">
        <f t="shared" si="274"/>
        <v>62338600.271569699</v>
      </c>
      <c r="AV701" s="350">
        <f t="shared" si="275"/>
        <v>94290729.436890572</v>
      </c>
      <c r="AW701" s="350">
        <f t="shared" si="276"/>
        <v>126731896.64078024</v>
      </c>
      <c r="AX701" s="350">
        <f t="shared" si="277"/>
        <v>159667622.96398658</v>
      </c>
      <c r="AY701" s="350">
        <f t="shared" si="278"/>
        <v>473891440.52362788</v>
      </c>
      <c r="AZ701" s="365"/>
      <c r="BA701" s="377">
        <f t="shared" si="279"/>
        <v>0</v>
      </c>
      <c r="BB701" s="377">
        <f t="shared" si="280"/>
        <v>0</v>
      </c>
      <c r="BC701" s="377">
        <f t="shared" si="281"/>
        <v>0</v>
      </c>
      <c r="BD701" s="377">
        <f t="shared" si="282"/>
        <v>0</v>
      </c>
      <c r="BE701" s="377">
        <f t="shared" si="283"/>
        <v>0</v>
      </c>
      <c r="BF701" s="377">
        <f t="shared" si="284"/>
        <v>0</v>
      </c>
      <c r="BG701" s="328"/>
    </row>
    <row r="702" spans="2:59">
      <c r="B702" s="332">
        <v>687</v>
      </c>
      <c r="C702" s="350">
        <v>82405527.885782361</v>
      </c>
      <c r="D702" s="350">
        <v>83081418.064467177</v>
      </c>
      <c r="E702" s="350">
        <v>83728987.457596526</v>
      </c>
      <c r="F702" s="350">
        <v>84378095.653493792</v>
      </c>
      <c r="G702" s="350">
        <v>85030758.979849547</v>
      </c>
      <c r="H702" s="348">
        <v>418624788.04118943</v>
      </c>
      <c r="I702" s="369"/>
      <c r="J702" s="350">
        <v>108079192.98740578</v>
      </c>
      <c r="K702" s="350">
        <v>134926117.49531433</v>
      </c>
      <c r="L702" s="350">
        <v>162140589.94490412</v>
      </c>
      <c r="M702" s="350">
        <v>189763215.24956316</v>
      </c>
      <c r="N702" s="350">
        <v>217800600.58733821</v>
      </c>
      <c r="O702" s="348">
        <v>812709716.26452565</v>
      </c>
      <c r="P702" s="369"/>
      <c r="Q702" s="350">
        <f t="shared" si="285"/>
        <v>25673665.101623416</v>
      </c>
      <c r="R702" s="350">
        <f t="shared" si="286"/>
        <v>51844699.430847153</v>
      </c>
      <c r="S702" s="350">
        <f t="shared" si="287"/>
        <v>78411602.487307593</v>
      </c>
      <c r="T702" s="350">
        <f t="shared" si="288"/>
        <v>105385119.59606937</v>
      </c>
      <c r="U702" s="350">
        <f t="shared" si="289"/>
        <v>132769841.60748866</v>
      </c>
      <c r="V702" s="350">
        <f t="shared" si="290"/>
        <v>394084928.22333622</v>
      </c>
      <c r="W702" s="365"/>
      <c r="X702" s="377">
        <f t="shared" si="268"/>
        <v>0</v>
      </c>
      <c r="Y702" s="377">
        <f t="shared" si="269"/>
        <v>0</v>
      </c>
      <c r="Z702" s="377">
        <f t="shared" si="270"/>
        <v>0</v>
      </c>
      <c r="AA702" s="377">
        <f t="shared" si="271"/>
        <v>0</v>
      </c>
      <c r="AB702" s="377">
        <f t="shared" si="272"/>
        <v>0</v>
      </c>
      <c r="AC702" s="377">
        <f t="shared" si="273"/>
        <v>0</v>
      </c>
      <c r="AD702" s="376"/>
      <c r="AE702" s="332">
        <v>687</v>
      </c>
      <c r="AF702" s="350">
        <v>140290531.36120436</v>
      </c>
      <c r="AG702" s="350">
        <v>141441194.36576557</v>
      </c>
      <c r="AH702" s="350">
        <v>142543642.91000998</v>
      </c>
      <c r="AI702" s="350">
        <v>143648711.17484236</v>
      </c>
      <c r="AJ702" s="350">
        <v>144759831.83875376</v>
      </c>
      <c r="AK702" s="348">
        <v>712683911.65057611</v>
      </c>
      <c r="AL702" s="369"/>
      <c r="AM702" s="350">
        <v>170689810.22098878</v>
      </c>
      <c r="AN702" s="350">
        <v>202858425.36766434</v>
      </c>
      <c r="AO702" s="350">
        <v>235448024.07303441</v>
      </c>
      <c r="AP702" s="350">
        <v>268522165.33077526</v>
      </c>
      <c r="AQ702" s="350">
        <v>302089722.22493517</v>
      </c>
      <c r="AR702" s="348">
        <v>1179608147.2173979</v>
      </c>
      <c r="AS702" s="369"/>
      <c r="AT702" s="350">
        <f t="shared" si="291"/>
        <v>30399278.859784424</v>
      </c>
      <c r="AU702" s="350">
        <f t="shared" si="274"/>
        <v>61417231.001898766</v>
      </c>
      <c r="AV702" s="350">
        <f t="shared" si="275"/>
        <v>92904381.163024426</v>
      </c>
      <c r="AW702" s="350">
        <f t="shared" si="276"/>
        <v>124873454.1559329</v>
      </c>
      <c r="AX702" s="350">
        <f t="shared" si="277"/>
        <v>157329890.38618141</v>
      </c>
      <c r="AY702" s="350">
        <f t="shared" si="278"/>
        <v>466924235.56682181</v>
      </c>
      <c r="AZ702" s="365"/>
      <c r="BA702" s="377">
        <f t="shared" si="279"/>
        <v>0</v>
      </c>
      <c r="BB702" s="377">
        <f t="shared" si="280"/>
        <v>0</v>
      </c>
      <c r="BC702" s="377">
        <f t="shared" si="281"/>
        <v>0</v>
      </c>
      <c r="BD702" s="377">
        <f t="shared" si="282"/>
        <v>0</v>
      </c>
      <c r="BE702" s="377">
        <f t="shared" si="283"/>
        <v>0</v>
      </c>
      <c r="BF702" s="377">
        <f t="shared" si="284"/>
        <v>0</v>
      </c>
      <c r="BG702" s="328"/>
    </row>
    <row r="703" spans="2:59">
      <c r="B703" s="332">
        <v>688</v>
      </c>
      <c r="C703" s="350">
        <v>137308094.23930168</v>
      </c>
      <c r="D703" s="350">
        <v>138434295.29317883</v>
      </c>
      <c r="E703" s="350">
        <v>139513306.87819695</v>
      </c>
      <c r="F703" s="350">
        <v>140594882.49114972</v>
      </c>
      <c r="G703" s="350">
        <v>141682381.83519861</v>
      </c>
      <c r="H703" s="348">
        <v>697532960.73702574</v>
      </c>
      <c r="I703" s="369"/>
      <c r="J703" s="350">
        <v>171558435.53875241</v>
      </c>
      <c r="K703" s="350">
        <v>207610555.06407127</v>
      </c>
      <c r="L703" s="350">
        <v>244143787.69534874</v>
      </c>
      <c r="M703" s="350">
        <v>281222222.56261969</v>
      </c>
      <c r="N703" s="350">
        <v>318855345.7023921</v>
      </c>
      <c r="O703" s="348">
        <v>1223390346.5631843</v>
      </c>
      <c r="P703" s="369"/>
      <c r="Q703" s="350">
        <f t="shared" si="285"/>
        <v>34250341.299450725</v>
      </c>
      <c r="R703" s="350">
        <f t="shared" si="286"/>
        <v>69176259.770892441</v>
      </c>
      <c r="S703" s="350">
        <f t="shared" si="287"/>
        <v>104630480.81715178</v>
      </c>
      <c r="T703" s="350">
        <f t="shared" si="288"/>
        <v>140627340.07146996</v>
      </c>
      <c r="U703" s="350">
        <f t="shared" si="289"/>
        <v>177172963.86719349</v>
      </c>
      <c r="V703" s="350">
        <f t="shared" si="290"/>
        <v>525857385.82615852</v>
      </c>
      <c r="W703" s="365"/>
      <c r="X703" s="377">
        <f t="shared" si="268"/>
        <v>0</v>
      </c>
      <c r="Y703" s="377">
        <f t="shared" si="269"/>
        <v>0</v>
      </c>
      <c r="Z703" s="377">
        <f t="shared" si="270"/>
        <v>0</v>
      </c>
      <c r="AA703" s="377">
        <f t="shared" si="271"/>
        <v>0</v>
      </c>
      <c r="AB703" s="377">
        <f t="shared" si="272"/>
        <v>0</v>
      </c>
      <c r="AC703" s="377">
        <f t="shared" si="273"/>
        <v>0</v>
      </c>
      <c r="AD703" s="376"/>
      <c r="AE703" s="332">
        <v>688</v>
      </c>
      <c r="AF703" s="350">
        <v>142074418.95793891</v>
      </c>
      <c r="AG703" s="350">
        <v>143239713.40941215</v>
      </c>
      <c r="AH703" s="350">
        <v>144356180.32157508</v>
      </c>
      <c r="AI703" s="350">
        <v>145475300.26581913</v>
      </c>
      <c r="AJ703" s="350">
        <v>146600549.56942984</v>
      </c>
      <c r="AK703" s="348">
        <v>721746162.52417517</v>
      </c>
      <c r="AL703" s="369"/>
      <c r="AM703" s="350">
        <v>177897976.27237391</v>
      </c>
      <c r="AN703" s="350">
        <v>215610819.79824328</v>
      </c>
      <c r="AO703" s="350">
        <v>253827675.79217601</v>
      </c>
      <c r="AP703" s="350">
        <v>292615019.90129656</v>
      </c>
      <c r="AQ703" s="350">
        <v>331982738.83966613</v>
      </c>
      <c r="AR703" s="348">
        <v>1271934230.603756</v>
      </c>
      <c r="AS703" s="369"/>
      <c r="AT703" s="350">
        <f t="shared" si="291"/>
        <v>35823557.314435005</v>
      </c>
      <c r="AU703" s="350">
        <f t="shared" si="274"/>
        <v>72371106.388831139</v>
      </c>
      <c r="AV703" s="350">
        <f t="shared" si="275"/>
        <v>109471495.47060093</v>
      </c>
      <c r="AW703" s="350">
        <f t="shared" si="276"/>
        <v>147139719.63547742</v>
      </c>
      <c r="AX703" s="350">
        <f t="shared" si="277"/>
        <v>185382189.27023628</v>
      </c>
      <c r="AY703" s="350">
        <f t="shared" si="278"/>
        <v>550188068.07958078</v>
      </c>
      <c r="AZ703" s="365"/>
      <c r="BA703" s="377">
        <f t="shared" si="279"/>
        <v>0</v>
      </c>
      <c r="BB703" s="377">
        <f t="shared" si="280"/>
        <v>0</v>
      </c>
      <c r="BC703" s="377">
        <f t="shared" si="281"/>
        <v>0</v>
      </c>
      <c r="BD703" s="377">
        <f t="shared" si="282"/>
        <v>0</v>
      </c>
      <c r="BE703" s="377">
        <f t="shared" si="283"/>
        <v>0</v>
      </c>
      <c r="BF703" s="377">
        <f t="shared" si="284"/>
        <v>0</v>
      </c>
      <c r="BG703" s="328"/>
    </row>
    <row r="704" spans="2:59">
      <c r="B704" s="332">
        <v>689</v>
      </c>
      <c r="C704" s="350">
        <v>153476692.19798329</v>
      </c>
      <c r="D704" s="350">
        <v>154735508.09996292</v>
      </c>
      <c r="E704" s="350">
        <v>155941577.77727762</v>
      </c>
      <c r="F704" s="350">
        <v>157150513.40745756</v>
      </c>
      <c r="G704" s="350">
        <v>158366070.31265515</v>
      </c>
      <c r="H704" s="348">
        <v>779670361.79533648</v>
      </c>
      <c r="I704" s="369"/>
      <c r="J704" s="350">
        <v>186449774.07967749</v>
      </c>
      <c r="K704" s="350">
        <v>221332452.70743003</v>
      </c>
      <c r="L704" s="350">
        <v>256670992.48423412</v>
      </c>
      <c r="M704" s="350">
        <v>292534806.64030105</v>
      </c>
      <c r="N704" s="350">
        <v>328933548.42930865</v>
      </c>
      <c r="O704" s="348">
        <v>1285921574.3409514</v>
      </c>
      <c r="P704" s="369"/>
      <c r="Q704" s="350">
        <f t="shared" si="285"/>
        <v>32973081.881694198</v>
      </c>
      <c r="R704" s="350">
        <f t="shared" si="286"/>
        <v>66596944.607467115</v>
      </c>
      <c r="S704" s="350">
        <f t="shared" si="287"/>
        <v>100729414.70695651</v>
      </c>
      <c r="T704" s="350">
        <f t="shared" si="288"/>
        <v>135384293.23284349</v>
      </c>
      <c r="U704" s="350">
        <f t="shared" si="289"/>
        <v>170567478.1166535</v>
      </c>
      <c r="V704" s="350">
        <f t="shared" si="290"/>
        <v>506251212.54561496</v>
      </c>
      <c r="W704" s="365"/>
      <c r="X704" s="377">
        <f t="shared" si="268"/>
        <v>0</v>
      </c>
      <c r="Y704" s="377">
        <f t="shared" si="269"/>
        <v>0</v>
      </c>
      <c r="Z704" s="377">
        <f t="shared" si="270"/>
        <v>0</v>
      </c>
      <c r="AA704" s="377">
        <f t="shared" si="271"/>
        <v>0</v>
      </c>
      <c r="AB704" s="377">
        <f t="shared" si="272"/>
        <v>0</v>
      </c>
      <c r="AC704" s="377">
        <f t="shared" si="273"/>
        <v>0</v>
      </c>
      <c r="AD704" s="376"/>
      <c r="AE704" s="332">
        <v>689</v>
      </c>
      <c r="AF704" s="350">
        <v>130459620.24425189</v>
      </c>
      <c r="AG704" s="350">
        <v>131529650.11118339</v>
      </c>
      <c r="AH704" s="350">
        <v>132554844.16402107</v>
      </c>
      <c r="AI704" s="350">
        <v>133582474.3595531</v>
      </c>
      <c r="AJ704" s="350">
        <v>134615732.83004963</v>
      </c>
      <c r="AK704" s="348">
        <v>662742321.70905912</v>
      </c>
      <c r="AL704" s="369"/>
      <c r="AM704" s="350">
        <v>165658092.44326678</v>
      </c>
      <c r="AN704" s="350">
        <v>202633974.09913591</v>
      </c>
      <c r="AO704" s="350">
        <v>240108151.41355148</v>
      </c>
      <c r="AP704" s="350">
        <v>278142629.54890931</v>
      </c>
      <c r="AQ704" s="350">
        <v>316746898.56204122</v>
      </c>
      <c r="AR704" s="348">
        <v>1203289746.0669048</v>
      </c>
      <c r="AS704" s="369"/>
      <c r="AT704" s="350">
        <f t="shared" si="291"/>
        <v>35198472.199014887</v>
      </c>
      <c r="AU704" s="350">
        <f t="shared" si="274"/>
        <v>71104323.987952515</v>
      </c>
      <c r="AV704" s="350">
        <f t="shared" si="275"/>
        <v>107553307.2495304</v>
      </c>
      <c r="AW704" s="350">
        <f t="shared" si="276"/>
        <v>144560155.18935621</v>
      </c>
      <c r="AX704" s="350">
        <f t="shared" si="277"/>
        <v>182131165.73199159</v>
      </c>
      <c r="AY704" s="350">
        <f t="shared" si="278"/>
        <v>540547424.35784566</v>
      </c>
      <c r="AZ704" s="365"/>
      <c r="BA704" s="377">
        <f t="shared" si="279"/>
        <v>0</v>
      </c>
      <c r="BB704" s="377">
        <f t="shared" si="280"/>
        <v>0</v>
      </c>
      <c r="BC704" s="377">
        <f t="shared" si="281"/>
        <v>0</v>
      </c>
      <c r="BD704" s="377">
        <f t="shared" si="282"/>
        <v>0</v>
      </c>
      <c r="BE704" s="377">
        <f t="shared" si="283"/>
        <v>0</v>
      </c>
      <c r="BF704" s="377">
        <f t="shared" si="284"/>
        <v>0</v>
      </c>
      <c r="BG704" s="328"/>
    </row>
    <row r="705" spans="2:59">
      <c r="B705" s="332">
        <v>690</v>
      </c>
      <c r="C705" s="350">
        <v>130322472.57917377</v>
      </c>
      <c r="D705" s="350">
        <v>131391377.56089145</v>
      </c>
      <c r="E705" s="350">
        <v>132415493.86284861</v>
      </c>
      <c r="F705" s="350">
        <v>133442043.74646786</v>
      </c>
      <c r="G705" s="350">
        <v>134474215.98824179</v>
      </c>
      <c r="H705" s="348">
        <v>662045603.73762345</v>
      </c>
      <c r="I705" s="369"/>
      <c r="J705" s="350">
        <v>160727076.9923822</v>
      </c>
      <c r="K705" s="350">
        <v>192814509.29216599</v>
      </c>
      <c r="L705" s="350">
        <v>225326357.38631254</v>
      </c>
      <c r="M705" s="350">
        <v>258322570.30825946</v>
      </c>
      <c r="N705" s="350">
        <v>291811777.45149255</v>
      </c>
      <c r="O705" s="348">
        <v>1129002291.4306128</v>
      </c>
      <c r="P705" s="369"/>
      <c r="Q705" s="350">
        <f t="shared" si="285"/>
        <v>30404604.413208425</v>
      </c>
      <c r="R705" s="350">
        <f t="shared" si="286"/>
        <v>61423131.731274545</v>
      </c>
      <c r="S705" s="350">
        <f t="shared" si="287"/>
        <v>92910863.523463935</v>
      </c>
      <c r="T705" s="350">
        <f t="shared" si="288"/>
        <v>124880526.5617916</v>
      </c>
      <c r="U705" s="350">
        <f t="shared" si="289"/>
        <v>157337561.46325076</v>
      </c>
      <c r="V705" s="350">
        <f t="shared" si="290"/>
        <v>466956687.69298935</v>
      </c>
      <c r="W705" s="365"/>
      <c r="X705" s="377">
        <f t="shared" si="268"/>
        <v>0</v>
      </c>
      <c r="Y705" s="377">
        <f t="shared" si="269"/>
        <v>0</v>
      </c>
      <c r="Z705" s="377">
        <f t="shared" si="270"/>
        <v>0</v>
      </c>
      <c r="AA705" s="377">
        <f t="shared" si="271"/>
        <v>0</v>
      </c>
      <c r="AB705" s="377">
        <f t="shared" si="272"/>
        <v>0</v>
      </c>
      <c r="AC705" s="377">
        <f t="shared" si="273"/>
        <v>0</v>
      </c>
      <c r="AD705" s="376"/>
      <c r="AE705" s="332">
        <v>690</v>
      </c>
      <c r="AF705" s="350">
        <v>127688655.97161898</v>
      </c>
      <c r="AG705" s="350">
        <v>128735958.38827603</v>
      </c>
      <c r="AH705" s="350">
        <v>129739377.30419698</v>
      </c>
      <c r="AI705" s="350">
        <v>130745180.61910522</v>
      </c>
      <c r="AJ705" s="350">
        <v>131756492.66433407</v>
      </c>
      <c r="AK705" s="348">
        <v>648665664.94753122</v>
      </c>
      <c r="AL705" s="369"/>
      <c r="AM705" s="350">
        <v>169303074.57693672</v>
      </c>
      <c r="AN705" s="350">
        <v>212779812.48274198</v>
      </c>
      <c r="AO705" s="350">
        <v>256854467.79367852</v>
      </c>
      <c r="AP705" s="350">
        <v>301590725.98706394</v>
      </c>
      <c r="AQ705" s="350">
        <v>346999154.04714727</v>
      </c>
      <c r="AR705" s="348">
        <v>1287527234.8875685</v>
      </c>
      <c r="AS705" s="369"/>
      <c r="AT705" s="350">
        <f t="shared" si="291"/>
        <v>41614418.605317742</v>
      </c>
      <c r="AU705" s="350">
        <f t="shared" si="274"/>
        <v>84043854.094465956</v>
      </c>
      <c r="AV705" s="350">
        <f t="shared" si="275"/>
        <v>127115090.48948154</v>
      </c>
      <c r="AW705" s="350">
        <f t="shared" si="276"/>
        <v>170845545.36795872</v>
      </c>
      <c r="AX705" s="350">
        <f t="shared" si="277"/>
        <v>215242661.38281322</v>
      </c>
      <c r="AY705" s="350">
        <f t="shared" si="278"/>
        <v>638861569.94003725</v>
      </c>
      <c r="AZ705" s="365"/>
      <c r="BA705" s="377">
        <f t="shared" si="279"/>
        <v>0</v>
      </c>
      <c r="BB705" s="377">
        <f t="shared" si="280"/>
        <v>0</v>
      </c>
      <c r="BC705" s="377">
        <f t="shared" si="281"/>
        <v>0</v>
      </c>
      <c r="BD705" s="377">
        <f t="shared" si="282"/>
        <v>0</v>
      </c>
      <c r="BE705" s="377">
        <f t="shared" si="283"/>
        <v>0</v>
      </c>
      <c r="BF705" s="377">
        <f t="shared" si="284"/>
        <v>0</v>
      </c>
      <c r="BG705" s="328"/>
    </row>
    <row r="706" spans="2:59">
      <c r="B706" s="332">
        <v>691</v>
      </c>
      <c r="C706" s="350">
        <v>107352534.76199685</v>
      </c>
      <c r="D706" s="350">
        <v>108233040.30287668</v>
      </c>
      <c r="E706" s="350">
        <v>109076651.37570515</v>
      </c>
      <c r="F706" s="350">
        <v>109922267.10018592</v>
      </c>
      <c r="G706" s="350">
        <v>110772514.2162241</v>
      </c>
      <c r="H706" s="348">
        <v>545357007.75698876</v>
      </c>
      <c r="I706" s="369"/>
      <c r="J706" s="350">
        <v>137635142.92146373</v>
      </c>
      <c r="K706" s="350">
        <v>169408798.48019916</v>
      </c>
      <c r="L706" s="350">
        <v>201612867.09010309</v>
      </c>
      <c r="M706" s="350">
        <v>234298923.52665788</v>
      </c>
      <c r="N706" s="350">
        <v>267475013.17660001</v>
      </c>
      <c r="O706" s="348">
        <v>1010430745.1950238</v>
      </c>
      <c r="P706" s="369"/>
      <c r="Q706" s="350">
        <f t="shared" si="285"/>
        <v>30282608.159466878</v>
      </c>
      <c r="R706" s="350">
        <f t="shared" si="286"/>
        <v>61175758.177322477</v>
      </c>
      <c r="S706" s="350">
        <f t="shared" si="287"/>
        <v>92536215.714397937</v>
      </c>
      <c r="T706" s="350">
        <f t="shared" si="288"/>
        <v>124376656.42647196</v>
      </c>
      <c r="U706" s="350">
        <f t="shared" si="289"/>
        <v>156702498.96037591</v>
      </c>
      <c r="V706" s="350">
        <f t="shared" si="290"/>
        <v>465073737.43803501</v>
      </c>
      <c r="W706" s="365"/>
      <c r="X706" s="377">
        <f t="shared" si="268"/>
        <v>0</v>
      </c>
      <c r="Y706" s="377">
        <f t="shared" si="269"/>
        <v>0</v>
      </c>
      <c r="Z706" s="377">
        <f t="shared" si="270"/>
        <v>0</v>
      </c>
      <c r="AA706" s="377">
        <f t="shared" si="271"/>
        <v>0</v>
      </c>
      <c r="AB706" s="377">
        <f t="shared" si="272"/>
        <v>0</v>
      </c>
      <c r="AC706" s="377">
        <f t="shared" si="273"/>
        <v>0</v>
      </c>
      <c r="AD706" s="376"/>
      <c r="AE706" s="332">
        <v>691</v>
      </c>
      <c r="AF706" s="350">
        <v>124583070.76841763</v>
      </c>
      <c r="AG706" s="350">
        <v>125604901.17376956</v>
      </c>
      <c r="AH706" s="350">
        <v>126583915.39285833</v>
      </c>
      <c r="AI706" s="350">
        <v>127565256.01867062</v>
      </c>
      <c r="AJ706" s="350">
        <v>128551971.39397934</v>
      </c>
      <c r="AK706" s="348">
        <v>632889114.74769545</v>
      </c>
      <c r="AL706" s="369"/>
      <c r="AM706" s="350">
        <v>152937629.67610818</v>
      </c>
      <c r="AN706" s="350">
        <v>182874083.43636876</v>
      </c>
      <c r="AO706" s="350">
        <v>213205094.83558044</v>
      </c>
      <c r="AP706" s="350">
        <v>243987674.43725795</v>
      </c>
      <c r="AQ706" s="350">
        <v>275229942.46228099</v>
      </c>
      <c r="AR706" s="348">
        <v>1068234424.8475964</v>
      </c>
      <c r="AS706" s="369"/>
      <c r="AT706" s="350">
        <f t="shared" si="291"/>
        <v>28354558.907690555</v>
      </c>
      <c r="AU706" s="350">
        <f t="shared" si="274"/>
        <v>57269182.2625992</v>
      </c>
      <c r="AV706" s="350">
        <f t="shared" si="275"/>
        <v>86621179.442722112</v>
      </c>
      <c r="AW706" s="350">
        <f t="shared" si="276"/>
        <v>116422418.41858733</v>
      </c>
      <c r="AX706" s="350">
        <f t="shared" si="277"/>
        <v>146677971.06830165</v>
      </c>
      <c r="AY706" s="350">
        <f t="shared" si="278"/>
        <v>435345310.09990096</v>
      </c>
      <c r="AZ706" s="365"/>
      <c r="BA706" s="377">
        <f t="shared" si="279"/>
        <v>0</v>
      </c>
      <c r="BB706" s="377">
        <f t="shared" si="280"/>
        <v>0</v>
      </c>
      <c r="BC706" s="377">
        <f t="shared" si="281"/>
        <v>0</v>
      </c>
      <c r="BD706" s="377">
        <f t="shared" si="282"/>
        <v>0</v>
      </c>
      <c r="BE706" s="377">
        <f t="shared" si="283"/>
        <v>0</v>
      </c>
      <c r="BF706" s="377">
        <f t="shared" si="284"/>
        <v>0</v>
      </c>
      <c r="BG706" s="328"/>
    </row>
    <row r="707" spans="2:59">
      <c r="B707" s="332">
        <v>692</v>
      </c>
      <c r="C707" s="350">
        <v>119108831.24999213</v>
      </c>
      <c r="D707" s="350">
        <v>120085761.94022547</v>
      </c>
      <c r="E707" s="350">
        <v>121021757.8078305</v>
      </c>
      <c r="F707" s="350">
        <v>121959977.85873865</v>
      </c>
      <c r="G707" s="350">
        <v>122903336.49008818</v>
      </c>
      <c r="H707" s="348">
        <v>605079665.34687495</v>
      </c>
      <c r="I707" s="369"/>
      <c r="J707" s="350">
        <v>150180060.07569888</v>
      </c>
      <c r="K707" s="350">
        <v>182827054.60807711</v>
      </c>
      <c r="L707" s="350">
        <v>215912161.12127426</v>
      </c>
      <c r="M707" s="350">
        <v>249491542.84288347</v>
      </c>
      <c r="N707" s="350">
        <v>283573669.7155242</v>
      </c>
      <c r="O707" s="348">
        <v>1081984488.3634579</v>
      </c>
      <c r="P707" s="369"/>
      <c r="Q707" s="350">
        <f t="shared" si="285"/>
        <v>31071228.82570675</v>
      </c>
      <c r="R707" s="350">
        <f t="shared" si="286"/>
        <v>62741292.667851642</v>
      </c>
      <c r="S707" s="350">
        <f t="shared" si="287"/>
        <v>94890403.313443765</v>
      </c>
      <c r="T707" s="350">
        <f t="shared" si="288"/>
        <v>127531564.98414482</v>
      </c>
      <c r="U707" s="350">
        <f t="shared" si="289"/>
        <v>160670333.22543603</v>
      </c>
      <c r="V707" s="350">
        <f t="shared" si="290"/>
        <v>476904823.01658297</v>
      </c>
      <c r="W707" s="365"/>
      <c r="X707" s="377">
        <f t="shared" si="268"/>
        <v>0</v>
      </c>
      <c r="Y707" s="377">
        <f t="shared" si="269"/>
        <v>0</v>
      </c>
      <c r="Z707" s="377">
        <f t="shared" si="270"/>
        <v>0</v>
      </c>
      <c r="AA707" s="377">
        <f t="shared" si="271"/>
        <v>0</v>
      </c>
      <c r="AB707" s="377">
        <f t="shared" si="272"/>
        <v>0</v>
      </c>
      <c r="AC707" s="377">
        <f t="shared" si="273"/>
        <v>0</v>
      </c>
      <c r="AD707" s="376"/>
      <c r="AE707" s="332">
        <v>692</v>
      </c>
      <c r="AF707" s="350">
        <v>123319914.34440392</v>
      </c>
      <c r="AG707" s="350">
        <v>124331384.3401688</v>
      </c>
      <c r="AH707" s="350">
        <v>125300472.26596254</v>
      </c>
      <c r="AI707" s="350">
        <v>126271863.01088013</v>
      </c>
      <c r="AJ707" s="350">
        <v>127248574.010335</v>
      </c>
      <c r="AK707" s="348">
        <v>626472207.97175038</v>
      </c>
      <c r="AL707" s="369"/>
      <c r="AM707" s="350">
        <v>155894000.25677127</v>
      </c>
      <c r="AN707" s="350">
        <v>190133446.07573122</v>
      </c>
      <c r="AO707" s="350">
        <v>224833133.94120333</v>
      </c>
      <c r="AP707" s="350">
        <v>260051383.40347397</v>
      </c>
      <c r="AQ707" s="350">
        <v>295797040.13724488</v>
      </c>
      <c r="AR707" s="348">
        <v>1126709003.8144248</v>
      </c>
      <c r="AS707" s="369"/>
      <c r="AT707" s="350">
        <f t="shared" si="291"/>
        <v>32574085.912367344</v>
      </c>
      <c r="AU707" s="350">
        <f t="shared" si="274"/>
        <v>65802061.735562414</v>
      </c>
      <c r="AV707" s="350">
        <f t="shared" si="275"/>
        <v>99532661.675240785</v>
      </c>
      <c r="AW707" s="350">
        <f t="shared" si="276"/>
        <v>133779520.39259385</v>
      </c>
      <c r="AX707" s="350">
        <f t="shared" si="277"/>
        <v>168548466.12690988</v>
      </c>
      <c r="AY707" s="350">
        <f t="shared" si="278"/>
        <v>500236795.84267437</v>
      </c>
      <c r="AZ707" s="365"/>
      <c r="BA707" s="377">
        <f t="shared" si="279"/>
        <v>0</v>
      </c>
      <c r="BB707" s="377">
        <f t="shared" si="280"/>
        <v>0</v>
      </c>
      <c r="BC707" s="377">
        <f t="shared" si="281"/>
        <v>0</v>
      </c>
      <c r="BD707" s="377">
        <f t="shared" si="282"/>
        <v>0</v>
      </c>
      <c r="BE707" s="377">
        <f t="shared" si="283"/>
        <v>0</v>
      </c>
      <c r="BF707" s="377">
        <f t="shared" si="284"/>
        <v>0</v>
      </c>
      <c r="BG707" s="328"/>
    </row>
    <row r="708" spans="2:59">
      <c r="B708" s="332">
        <v>693</v>
      </c>
      <c r="C708" s="350">
        <v>126000285.89589083</v>
      </c>
      <c r="D708" s="350">
        <v>127033740.30038841</v>
      </c>
      <c r="E708" s="350">
        <v>128023891.456083</v>
      </c>
      <c r="F708" s="350">
        <v>129016395.48292184</v>
      </c>
      <c r="G708" s="350">
        <v>130014335.40060034</v>
      </c>
      <c r="H708" s="348">
        <v>640088648.53588438</v>
      </c>
      <c r="I708" s="369"/>
      <c r="J708" s="350">
        <v>153607757.51796895</v>
      </c>
      <c r="K708" s="350">
        <v>182781076.25448051</v>
      </c>
      <c r="L708" s="350">
        <v>212336740.28947747</v>
      </c>
      <c r="M708" s="350">
        <v>242331960.29794765</v>
      </c>
      <c r="N708" s="350">
        <v>272774755.57221168</v>
      </c>
      <c r="O708" s="348">
        <v>1063832289.9320862</v>
      </c>
      <c r="P708" s="369"/>
      <c r="Q708" s="350">
        <f t="shared" si="285"/>
        <v>27607471.622078121</v>
      </c>
      <c r="R708" s="350">
        <f t="shared" si="286"/>
        <v>55747335.9540921</v>
      </c>
      <c r="S708" s="350">
        <f t="shared" si="287"/>
        <v>84312848.833394468</v>
      </c>
      <c r="T708" s="350">
        <f t="shared" si="288"/>
        <v>113315564.81502581</v>
      </c>
      <c r="U708" s="350">
        <f t="shared" si="289"/>
        <v>142760420.17161134</v>
      </c>
      <c r="V708" s="350">
        <f t="shared" si="290"/>
        <v>423743641.39620185</v>
      </c>
      <c r="W708" s="365"/>
      <c r="X708" s="377">
        <f t="shared" si="268"/>
        <v>0</v>
      </c>
      <c r="Y708" s="377">
        <f t="shared" si="269"/>
        <v>0</v>
      </c>
      <c r="Z708" s="377">
        <f t="shared" si="270"/>
        <v>0</v>
      </c>
      <c r="AA708" s="377">
        <f t="shared" si="271"/>
        <v>0</v>
      </c>
      <c r="AB708" s="377">
        <f t="shared" si="272"/>
        <v>0</v>
      </c>
      <c r="AC708" s="377">
        <f t="shared" si="273"/>
        <v>0</v>
      </c>
      <c r="AD708" s="376"/>
      <c r="AE708" s="332">
        <v>693</v>
      </c>
      <c r="AF708" s="350">
        <v>140226291.26804143</v>
      </c>
      <c r="AG708" s="350">
        <v>141376427.37532818</v>
      </c>
      <c r="AH708" s="350">
        <v>142478371.10006338</v>
      </c>
      <c r="AI708" s="350">
        <v>143582933.34579664</v>
      </c>
      <c r="AJ708" s="350">
        <v>144693545.21916983</v>
      </c>
      <c r="AK708" s="348">
        <v>712357568.30839944</v>
      </c>
      <c r="AL708" s="369"/>
      <c r="AM708" s="350">
        <v>174500818.59395757</v>
      </c>
      <c r="AN708" s="350">
        <v>210590330.86763546</v>
      </c>
      <c r="AO708" s="350">
        <v>247160151.7182014</v>
      </c>
      <c r="AP708" s="350">
        <v>284275437.18298954</v>
      </c>
      <c r="AQ708" s="350">
        <v>321945747.31771076</v>
      </c>
      <c r="AR708" s="348">
        <v>1238472485.6804948</v>
      </c>
      <c r="AS708" s="369"/>
      <c r="AT708" s="350">
        <f t="shared" si="291"/>
        <v>34274527.325916141</v>
      </c>
      <c r="AU708" s="350">
        <f t="shared" si="274"/>
        <v>69213903.492307276</v>
      </c>
      <c r="AV708" s="350">
        <f t="shared" si="275"/>
        <v>104681780.61813802</v>
      </c>
      <c r="AW708" s="350">
        <f t="shared" si="276"/>
        <v>140692503.83719289</v>
      </c>
      <c r="AX708" s="350">
        <f t="shared" si="277"/>
        <v>177252202.09854093</v>
      </c>
      <c r="AY708" s="350">
        <f t="shared" si="278"/>
        <v>526114917.37209535</v>
      </c>
      <c r="AZ708" s="365"/>
      <c r="BA708" s="377">
        <f t="shared" si="279"/>
        <v>0</v>
      </c>
      <c r="BB708" s="377">
        <f t="shared" si="280"/>
        <v>0</v>
      </c>
      <c r="BC708" s="377">
        <f t="shared" si="281"/>
        <v>0</v>
      </c>
      <c r="BD708" s="377">
        <f t="shared" si="282"/>
        <v>0</v>
      </c>
      <c r="BE708" s="377">
        <f t="shared" si="283"/>
        <v>0</v>
      </c>
      <c r="BF708" s="377">
        <f t="shared" si="284"/>
        <v>0</v>
      </c>
      <c r="BG708" s="328"/>
    </row>
    <row r="709" spans="2:59">
      <c r="B709" s="332">
        <v>694</v>
      </c>
      <c r="C709" s="350">
        <v>118380253.05954534</v>
      </c>
      <c r="D709" s="350">
        <v>119351207.95111607</v>
      </c>
      <c r="E709" s="350">
        <v>120281478.41474959</v>
      </c>
      <c r="F709" s="350">
        <v>121213959.45655356</v>
      </c>
      <c r="G709" s="350">
        <v>122151547.64655669</v>
      </c>
      <c r="H709" s="348">
        <v>601378446.5285213</v>
      </c>
      <c r="I709" s="369"/>
      <c r="J709" s="350">
        <v>148211266.15341389</v>
      </c>
      <c r="K709" s="350">
        <v>179616741.77148455</v>
      </c>
      <c r="L709" s="350">
        <v>211441903.94799468</v>
      </c>
      <c r="M709" s="350">
        <v>243742134.43179211</v>
      </c>
      <c r="N709" s="350">
        <v>276525667.94921124</v>
      </c>
      <c r="O709" s="348">
        <v>1059537714.2538965</v>
      </c>
      <c r="P709" s="369"/>
      <c r="Q709" s="350">
        <f t="shared" si="285"/>
        <v>29831013.093868554</v>
      </c>
      <c r="R709" s="350">
        <f t="shared" si="286"/>
        <v>60265533.820368484</v>
      </c>
      <c r="S709" s="350">
        <f t="shared" si="287"/>
        <v>91160425.533245087</v>
      </c>
      <c r="T709" s="350">
        <f t="shared" si="288"/>
        <v>122528174.97523855</v>
      </c>
      <c r="U709" s="350">
        <f t="shared" si="289"/>
        <v>154374120.30265456</v>
      </c>
      <c r="V709" s="350">
        <f t="shared" si="290"/>
        <v>458159267.72537518</v>
      </c>
      <c r="W709" s="365"/>
      <c r="X709" s="377">
        <f t="shared" si="268"/>
        <v>0</v>
      </c>
      <c r="Y709" s="377">
        <f t="shared" si="269"/>
        <v>0</v>
      </c>
      <c r="Z709" s="377">
        <f t="shared" si="270"/>
        <v>0</v>
      </c>
      <c r="AA709" s="377">
        <f t="shared" si="271"/>
        <v>0</v>
      </c>
      <c r="AB709" s="377">
        <f t="shared" si="272"/>
        <v>0</v>
      </c>
      <c r="AC709" s="377">
        <f t="shared" si="273"/>
        <v>0</v>
      </c>
      <c r="AD709" s="376"/>
      <c r="AE709" s="332">
        <v>694</v>
      </c>
      <c r="AF709" s="350">
        <v>128857918.22956073</v>
      </c>
      <c r="AG709" s="350">
        <v>129914810.9358103</v>
      </c>
      <c r="AH709" s="350">
        <v>130927418.29418421</v>
      </c>
      <c r="AI709" s="350">
        <v>131942431.8858088</v>
      </c>
      <c r="AJ709" s="350">
        <v>132963004.65194106</v>
      </c>
      <c r="AK709" s="348">
        <v>654605583.99730515</v>
      </c>
      <c r="AL709" s="369"/>
      <c r="AM709" s="350">
        <v>158205212.80420119</v>
      </c>
      <c r="AN709" s="350">
        <v>189179054.26749671</v>
      </c>
      <c r="AO709" s="350">
        <v>220561141.13874874</v>
      </c>
      <c r="AP709" s="350">
        <v>252410447.92837104</v>
      </c>
      <c r="AQ709" s="350">
        <v>284735375.50047779</v>
      </c>
      <c r="AR709" s="348">
        <v>1105091231.6392956</v>
      </c>
      <c r="AS709" s="369"/>
      <c r="AT709" s="350">
        <f t="shared" si="291"/>
        <v>29347294.574640453</v>
      </c>
      <c r="AU709" s="350">
        <f t="shared" si="274"/>
        <v>59264243.331686407</v>
      </c>
      <c r="AV709" s="350">
        <f t="shared" si="275"/>
        <v>89633722.844564527</v>
      </c>
      <c r="AW709" s="350">
        <f t="shared" si="276"/>
        <v>120468016.04256225</v>
      </c>
      <c r="AX709" s="350">
        <f t="shared" si="277"/>
        <v>151772370.84853673</v>
      </c>
      <c r="AY709" s="350">
        <f t="shared" si="278"/>
        <v>450485647.64199042</v>
      </c>
      <c r="AZ709" s="365"/>
      <c r="BA709" s="377">
        <f t="shared" si="279"/>
        <v>0</v>
      </c>
      <c r="BB709" s="377">
        <f t="shared" si="280"/>
        <v>0</v>
      </c>
      <c r="BC709" s="377">
        <f t="shared" si="281"/>
        <v>0</v>
      </c>
      <c r="BD709" s="377">
        <f t="shared" si="282"/>
        <v>0</v>
      </c>
      <c r="BE709" s="377">
        <f t="shared" si="283"/>
        <v>0</v>
      </c>
      <c r="BF709" s="377">
        <f t="shared" si="284"/>
        <v>0</v>
      </c>
      <c r="BG709" s="328"/>
    </row>
    <row r="710" spans="2:59">
      <c r="B710" s="332">
        <v>695</v>
      </c>
      <c r="C710" s="350">
        <v>142990413.8540265</v>
      </c>
      <c r="D710" s="350">
        <v>144163221.29607058</v>
      </c>
      <c r="E710" s="350">
        <v>145286886.39352754</v>
      </c>
      <c r="F710" s="350">
        <v>146413221.62793112</v>
      </c>
      <c r="G710" s="350">
        <v>147545725.73945516</v>
      </c>
      <c r="H710" s="348">
        <v>726399468.91101098</v>
      </c>
      <c r="I710" s="369"/>
      <c r="J710" s="350">
        <v>187163520.76128185</v>
      </c>
      <c r="K710" s="350">
        <v>233364734.01859999</v>
      </c>
      <c r="L710" s="350">
        <v>280197914.12880605</v>
      </c>
      <c r="M710" s="350">
        <v>327733361.53538281</v>
      </c>
      <c r="N710" s="350">
        <v>375982473.74710381</v>
      </c>
      <c r="O710" s="348">
        <v>1404442004.1911745</v>
      </c>
      <c r="P710" s="369"/>
      <c r="Q710" s="350">
        <f t="shared" si="285"/>
        <v>44173106.907255352</v>
      </c>
      <c r="R710" s="350">
        <f t="shared" si="286"/>
        <v>89201512.722529411</v>
      </c>
      <c r="S710" s="350">
        <f t="shared" si="287"/>
        <v>134911027.73527852</v>
      </c>
      <c r="T710" s="350">
        <f t="shared" si="288"/>
        <v>181320139.90745169</v>
      </c>
      <c r="U710" s="350">
        <f t="shared" si="289"/>
        <v>228436748.00764865</v>
      </c>
      <c r="V710" s="350">
        <f t="shared" si="290"/>
        <v>678042535.28016353</v>
      </c>
      <c r="W710" s="365"/>
      <c r="X710" s="377">
        <f t="shared" si="268"/>
        <v>0</v>
      </c>
      <c r="Y710" s="377">
        <f t="shared" si="269"/>
        <v>0</v>
      </c>
      <c r="Z710" s="377">
        <f t="shared" si="270"/>
        <v>0</v>
      </c>
      <c r="AA710" s="377">
        <f t="shared" si="271"/>
        <v>0</v>
      </c>
      <c r="AB710" s="377">
        <f t="shared" si="272"/>
        <v>0</v>
      </c>
      <c r="AC710" s="377">
        <f t="shared" si="273"/>
        <v>0</v>
      </c>
      <c r="AD710" s="376"/>
      <c r="AE710" s="332">
        <v>695</v>
      </c>
      <c r="AF710" s="350">
        <v>156303352.91891313</v>
      </c>
      <c r="AG710" s="350">
        <v>157585353.09346244</v>
      </c>
      <c r="AH710" s="350">
        <v>158813635.58846781</v>
      </c>
      <c r="AI710" s="350">
        <v>160044836.8200953</v>
      </c>
      <c r="AJ710" s="350">
        <v>161282781.27423447</v>
      </c>
      <c r="AK710" s="348">
        <v>794029959.69517326</v>
      </c>
      <c r="AL710" s="369"/>
      <c r="AM710" s="350">
        <v>192669517.85222682</v>
      </c>
      <c r="AN710" s="350">
        <v>231051490.62365079</v>
      </c>
      <c r="AO710" s="350">
        <v>269940941.47871774</v>
      </c>
      <c r="AP710" s="350">
        <v>309409728.97088981</v>
      </c>
      <c r="AQ710" s="350">
        <v>349468184.89328563</v>
      </c>
      <c r="AR710" s="348">
        <v>1352539863.8187709</v>
      </c>
      <c r="AS710" s="369"/>
      <c r="AT710" s="350">
        <f t="shared" si="291"/>
        <v>36366164.933313698</v>
      </c>
      <c r="AU710" s="350">
        <f t="shared" si="274"/>
        <v>73466137.530188352</v>
      </c>
      <c r="AV710" s="350">
        <f t="shared" si="275"/>
        <v>111127305.89024994</v>
      </c>
      <c r="AW710" s="350">
        <f t="shared" si="276"/>
        <v>149364892.15079451</v>
      </c>
      <c r="AX710" s="350">
        <f t="shared" si="277"/>
        <v>188185403.61905116</v>
      </c>
      <c r="AY710" s="350">
        <f t="shared" si="278"/>
        <v>558509904.12359762</v>
      </c>
      <c r="AZ710" s="365"/>
      <c r="BA710" s="377">
        <f t="shared" si="279"/>
        <v>0</v>
      </c>
      <c r="BB710" s="377">
        <f t="shared" si="280"/>
        <v>0</v>
      </c>
      <c r="BC710" s="377">
        <f t="shared" si="281"/>
        <v>0</v>
      </c>
      <c r="BD710" s="377">
        <f t="shared" si="282"/>
        <v>0</v>
      </c>
      <c r="BE710" s="377">
        <f t="shared" si="283"/>
        <v>0</v>
      </c>
      <c r="BF710" s="377">
        <f t="shared" si="284"/>
        <v>0</v>
      </c>
      <c r="BG710" s="328"/>
    </row>
    <row r="711" spans="2:59">
      <c r="B711" s="332">
        <v>696</v>
      </c>
      <c r="C711" s="350">
        <v>155128373.75589111</v>
      </c>
      <c r="D711" s="350">
        <v>156400736.7507897</v>
      </c>
      <c r="E711" s="350">
        <v>157619785.87804586</v>
      </c>
      <c r="F711" s="350">
        <v>158841731.80090588</v>
      </c>
      <c r="G711" s="350">
        <v>160070370.25545245</v>
      </c>
      <c r="H711" s="348">
        <v>788060998.4410851</v>
      </c>
      <c r="I711" s="369"/>
      <c r="J711" s="350">
        <v>190948272.36683655</v>
      </c>
      <c r="K711" s="350">
        <v>228728376.45152473</v>
      </c>
      <c r="L711" s="350">
        <v>267007387.84283549</v>
      </c>
      <c r="M711" s="350">
        <v>305856508.74376088</v>
      </c>
      <c r="N711" s="350">
        <v>345285939.11584496</v>
      </c>
      <c r="O711" s="348">
        <v>1337826484.5208025</v>
      </c>
      <c r="P711" s="369"/>
      <c r="Q711" s="350">
        <f t="shared" si="285"/>
        <v>35819898.610945433</v>
      </c>
      <c r="R711" s="350">
        <f t="shared" si="286"/>
        <v>72327639.700735033</v>
      </c>
      <c r="S711" s="350">
        <f t="shared" si="287"/>
        <v>109387601.96478963</v>
      </c>
      <c r="T711" s="350">
        <f t="shared" si="288"/>
        <v>147014776.942855</v>
      </c>
      <c r="U711" s="350">
        <f t="shared" si="289"/>
        <v>185215568.86039251</v>
      </c>
      <c r="V711" s="350">
        <f t="shared" si="290"/>
        <v>549765486.0797174</v>
      </c>
      <c r="W711" s="365"/>
      <c r="X711" s="377">
        <f t="shared" si="268"/>
        <v>0</v>
      </c>
      <c r="Y711" s="377">
        <f t="shared" si="269"/>
        <v>0</v>
      </c>
      <c r="Z711" s="377">
        <f t="shared" si="270"/>
        <v>0</v>
      </c>
      <c r="AA711" s="377">
        <f t="shared" si="271"/>
        <v>0</v>
      </c>
      <c r="AB711" s="377">
        <f t="shared" si="272"/>
        <v>0</v>
      </c>
      <c r="AC711" s="377">
        <f t="shared" si="273"/>
        <v>0</v>
      </c>
      <c r="AD711" s="376"/>
      <c r="AE711" s="332">
        <v>696</v>
      </c>
      <c r="AF711" s="350">
        <v>130805403.68688032</v>
      </c>
      <c r="AG711" s="350">
        <v>131878269.66977173</v>
      </c>
      <c r="AH711" s="350">
        <v>132906181.0011688</v>
      </c>
      <c r="AI711" s="350">
        <v>133936534.93226048</v>
      </c>
      <c r="AJ711" s="350">
        <v>134972532.05606893</v>
      </c>
      <c r="AK711" s="348">
        <v>664498921.34615028</v>
      </c>
      <c r="AL711" s="369"/>
      <c r="AM711" s="350">
        <v>162106393.25005573</v>
      </c>
      <c r="AN711" s="350">
        <v>195150509.66766089</v>
      </c>
      <c r="AO711" s="350">
        <v>228633305.03154364</v>
      </c>
      <c r="AP711" s="350">
        <v>262615280.69888783</v>
      </c>
      <c r="AQ711" s="350">
        <v>297105244.1161533</v>
      </c>
      <c r="AR711" s="348">
        <v>1145610732.7643013</v>
      </c>
      <c r="AS711" s="369"/>
      <c r="AT711" s="350">
        <f t="shared" si="291"/>
        <v>31300989.56317541</v>
      </c>
      <c r="AU711" s="350">
        <f t="shared" si="274"/>
        <v>63272239.997889161</v>
      </c>
      <c r="AV711" s="350">
        <f t="shared" si="275"/>
        <v>95727124.03037484</v>
      </c>
      <c r="AW711" s="350">
        <f t="shared" si="276"/>
        <v>128678745.76662734</v>
      </c>
      <c r="AX711" s="350">
        <f t="shared" si="277"/>
        <v>162132712.06008437</v>
      </c>
      <c r="AY711" s="350">
        <f t="shared" si="278"/>
        <v>481111811.41815102</v>
      </c>
      <c r="AZ711" s="365"/>
      <c r="BA711" s="377">
        <f t="shared" si="279"/>
        <v>0</v>
      </c>
      <c r="BB711" s="377">
        <f t="shared" si="280"/>
        <v>0</v>
      </c>
      <c r="BC711" s="377">
        <f t="shared" si="281"/>
        <v>0</v>
      </c>
      <c r="BD711" s="377">
        <f t="shared" si="282"/>
        <v>0</v>
      </c>
      <c r="BE711" s="377">
        <f t="shared" si="283"/>
        <v>0</v>
      </c>
      <c r="BF711" s="377">
        <f t="shared" si="284"/>
        <v>0</v>
      </c>
      <c r="BG711" s="328"/>
    </row>
    <row r="712" spans="2:59">
      <c r="B712" s="332">
        <v>697</v>
      </c>
      <c r="C712" s="350">
        <v>158083493.66749549</v>
      </c>
      <c r="D712" s="350">
        <v>159380094.55730644</v>
      </c>
      <c r="E712" s="350">
        <v>160622365.97628114</v>
      </c>
      <c r="F712" s="350">
        <v>161867589.37340406</v>
      </c>
      <c r="G712" s="350">
        <v>163119632.79168022</v>
      </c>
      <c r="H712" s="348">
        <v>803073176.36616731</v>
      </c>
      <c r="I712" s="369"/>
      <c r="J712" s="350">
        <v>197914248.49921268</v>
      </c>
      <c r="K712" s="350">
        <v>239815083.17388031</v>
      </c>
      <c r="L712" s="350">
        <v>282275777.6573537</v>
      </c>
      <c r="M712" s="350">
        <v>325370284.06262183</v>
      </c>
      <c r="N712" s="350">
        <v>369109593.07282752</v>
      </c>
      <c r="O712" s="348">
        <v>1414484986.4658961</v>
      </c>
      <c r="P712" s="369"/>
      <c r="Q712" s="350">
        <f t="shared" si="285"/>
        <v>39830754.831717193</v>
      </c>
      <c r="R712" s="350">
        <f t="shared" si="286"/>
        <v>80434988.61657387</v>
      </c>
      <c r="S712" s="350">
        <f t="shared" si="287"/>
        <v>121653411.68107256</v>
      </c>
      <c r="T712" s="350">
        <f t="shared" si="288"/>
        <v>163502694.68921778</v>
      </c>
      <c r="U712" s="350">
        <f t="shared" si="289"/>
        <v>205989960.2811473</v>
      </c>
      <c r="V712" s="350">
        <f t="shared" si="290"/>
        <v>611411810.09972882</v>
      </c>
      <c r="W712" s="365"/>
      <c r="X712" s="377">
        <f t="shared" si="268"/>
        <v>0</v>
      </c>
      <c r="Y712" s="377">
        <f t="shared" si="269"/>
        <v>0</v>
      </c>
      <c r="Z712" s="377">
        <f t="shared" si="270"/>
        <v>0</v>
      </c>
      <c r="AA712" s="377">
        <f t="shared" si="271"/>
        <v>0</v>
      </c>
      <c r="AB712" s="377">
        <f t="shared" si="272"/>
        <v>0</v>
      </c>
      <c r="AC712" s="377">
        <f t="shared" si="273"/>
        <v>0</v>
      </c>
      <c r="AD712" s="376"/>
      <c r="AE712" s="332">
        <v>697</v>
      </c>
      <c r="AF712" s="350">
        <v>130994488.16210487</v>
      </c>
      <c r="AG712" s="350">
        <v>132068905.01595148</v>
      </c>
      <c r="AH712" s="350">
        <v>133098302.23454587</v>
      </c>
      <c r="AI712" s="350">
        <v>134130145.58371103</v>
      </c>
      <c r="AJ712" s="350">
        <v>135167640.2830551</v>
      </c>
      <c r="AK712" s="348">
        <v>665459481.2793684</v>
      </c>
      <c r="AL712" s="369"/>
      <c r="AM712" s="350">
        <v>165013511.85801044</v>
      </c>
      <c r="AN712" s="350">
        <v>200801507.81504384</v>
      </c>
      <c r="AO712" s="350">
        <v>237069585.67216435</v>
      </c>
      <c r="AP712" s="350">
        <v>273879451.31746769</v>
      </c>
      <c r="AQ712" s="350">
        <v>311240398.52163118</v>
      </c>
      <c r="AR712" s="348">
        <v>1188004455.1843176</v>
      </c>
      <c r="AS712" s="369"/>
      <c r="AT712" s="350">
        <f t="shared" si="291"/>
        <v>34019023.695905566</v>
      </c>
      <c r="AU712" s="350">
        <f t="shared" si="274"/>
        <v>68732602.799092352</v>
      </c>
      <c r="AV712" s="350">
        <f t="shared" si="275"/>
        <v>103971283.43761848</v>
      </c>
      <c r="AW712" s="350">
        <f t="shared" si="276"/>
        <v>139749305.73375666</v>
      </c>
      <c r="AX712" s="350">
        <f t="shared" si="277"/>
        <v>176072758.23857608</v>
      </c>
      <c r="AY712" s="350">
        <f t="shared" si="278"/>
        <v>522544973.90494919</v>
      </c>
      <c r="AZ712" s="365"/>
      <c r="BA712" s="377">
        <f t="shared" si="279"/>
        <v>0</v>
      </c>
      <c r="BB712" s="377">
        <f t="shared" si="280"/>
        <v>0</v>
      </c>
      <c r="BC712" s="377">
        <f t="shared" si="281"/>
        <v>0</v>
      </c>
      <c r="BD712" s="377">
        <f t="shared" si="282"/>
        <v>0</v>
      </c>
      <c r="BE712" s="377">
        <f t="shared" si="283"/>
        <v>0</v>
      </c>
      <c r="BF712" s="377">
        <f t="shared" si="284"/>
        <v>0</v>
      </c>
      <c r="BG712" s="328"/>
    </row>
    <row r="713" spans="2:59">
      <c r="B713" s="332">
        <v>698</v>
      </c>
      <c r="C713" s="350">
        <v>130244200.81724986</v>
      </c>
      <c r="D713" s="350">
        <v>131312463.81393921</v>
      </c>
      <c r="E713" s="350">
        <v>132335965.03097829</v>
      </c>
      <c r="F713" s="350">
        <v>133361898.36806874</v>
      </c>
      <c r="G713" s="350">
        <v>134393450.68652195</v>
      </c>
      <c r="H713" s="348">
        <v>661647978.71675801</v>
      </c>
      <c r="I713" s="369"/>
      <c r="J713" s="350">
        <v>163081583.48549286</v>
      </c>
      <c r="K713" s="350">
        <v>197659945.16897857</v>
      </c>
      <c r="L713" s="350">
        <v>232700442.98974442</v>
      </c>
      <c r="M713" s="350">
        <v>268264016.47021315</v>
      </c>
      <c r="N713" s="350">
        <v>304359729.88759905</v>
      </c>
      <c r="O713" s="348">
        <v>1166065718.002028</v>
      </c>
      <c r="P713" s="369"/>
      <c r="Q713" s="350">
        <f t="shared" si="285"/>
        <v>32837382.668242991</v>
      </c>
      <c r="R713" s="350">
        <f t="shared" si="286"/>
        <v>66347481.355039358</v>
      </c>
      <c r="S713" s="350">
        <f t="shared" si="287"/>
        <v>100364477.95876613</v>
      </c>
      <c r="T713" s="350">
        <f t="shared" si="288"/>
        <v>134902118.10214442</v>
      </c>
      <c r="U713" s="350">
        <f t="shared" si="289"/>
        <v>169966279.2010771</v>
      </c>
      <c r="V713" s="350">
        <f t="shared" si="290"/>
        <v>504417739.28526998</v>
      </c>
      <c r="W713" s="365"/>
      <c r="X713" s="377">
        <f t="shared" si="268"/>
        <v>0</v>
      </c>
      <c r="Y713" s="377">
        <f t="shared" si="269"/>
        <v>0</v>
      </c>
      <c r="Z713" s="377">
        <f t="shared" si="270"/>
        <v>0</v>
      </c>
      <c r="AA713" s="377">
        <f t="shared" si="271"/>
        <v>0</v>
      </c>
      <c r="AB713" s="377">
        <f t="shared" si="272"/>
        <v>0</v>
      </c>
      <c r="AC713" s="377">
        <f t="shared" si="273"/>
        <v>0</v>
      </c>
      <c r="AD713" s="376"/>
      <c r="AE713" s="332">
        <v>698</v>
      </c>
      <c r="AF713" s="350">
        <v>155720570.73195356</v>
      </c>
      <c r="AG713" s="350">
        <v>156997790.92672986</v>
      </c>
      <c r="AH713" s="350">
        <v>158221493.73009536</v>
      </c>
      <c r="AI713" s="350">
        <v>159448104.38747758</v>
      </c>
      <c r="AJ713" s="350">
        <v>160681433.12504482</v>
      </c>
      <c r="AK713" s="348">
        <v>791069392.90130115</v>
      </c>
      <c r="AL713" s="369"/>
      <c r="AM713" s="350">
        <v>193125312.59051943</v>
      </c>
      <c r="AN713" s="350">
        <v>232536151.65534854</v>
      </c>
      <c r="AO713" s="350">
        <v>272470292.66129524</v>
      </c>
      <c r="AP713" s="350">
        <v>312999816.27984023</v>
      </c>
      <c r="AQ713" s="350">
        <v>354135221.93428189</v>
      </c>
      <c r="AR713" s="348">
        <v>1365266795.1212852</v>
      </c>
      <c r="AS713" s="369"/>
      <c r="AT713" s="350">
        <f t="shared" si="291"/>
        <v>37404741.858565867</v>
      </c>
      <c r="AU713" s="350">
        <f t="shared" si="274"/>
        <v>75538360.728618681</v>
      </c>
      <c r="AV713" s="350">
        <f t="shared" si="275"/>
        <v>114248798.93119988</v>
      </c>
      <c r="AW713" s="350">
        <f t="shared" si="276"/>
        <v>153551711.89236265</v>
      </c>
      <c r="AX713" s="350">
        <f t="shared" si="277"/>
        <v>193453788.80923706</v>
      </c>
      <c r="AY713" s="350">
        <f t="shared" si="278"/>
        <v>574197402.21998405</v>
      </c>
      <c r="AZ713" s="365"/>
      <c r="BA713" s="377">
        <f t="shared" si="279"/>
        <v>0</v>
      </c>
      <c r="BB713" s="377">
        <f t="shared" si="280"/>
        <v>0</v>
      </c>
      <c r="BC713" s="377">
        <f t="shared" si="281"/>
        <v>0</v>
      </c>
      <c r="BD713" s="377">
        <f t="shared" si="282"/>
        <v>0</v>
      </c>
      <c r="BE713" s="377">
        <f t="shared" si="283"/>
        <v>0</v>
      </c>
      <c r="BF713" s="377">
        <f t="shared" si="284"/>
        <v>0</v>
      </c>
      <c r="BG713" s="328"/>
    </row>
    <row r="714" spans="2:59">
      <c r="B714" s="332">
        <v>699</v>
      </c>
      <c r="C714" s="350">
        <v>126327094.83497204</v>
      </c>
      <c r="D714" s="350">
        <v>127363229.7265425</v>
      </c>
      <c r="E714" s="350">
        <v>128355949.05298699</v>
      </c>
      <c r="F714" s="350">
        <v>129351027.35325499</v>
      </c>
      <c r="G714" s="350">
        <v>130351555.64351884</v>
      </c>
      <c r="H714" s="348">
        <v>641748856.61127532</v>
      </c>
      <c r="I714" s="369"/>
      <c r="J714" s="350">
        <v>159443878.13373283</v>
      </c>
      <c r="K714" s="350">
        <v>194254964.53636348</v>
      </c>
      <c r="L714" s="350">
        <v>229533530.2786862</v>
      </c>
      <c r="M714" s="350">
        <v>265339211.35218266</v>
      </c>
      <c r="N714" s="350">
        <v>301681023.10328221</v>
      </c>
      <c r="O714" s="348">
        <v>1150252607.4042473</v>
      </c>
      <c r="P714" s="369"/>
      <c r="Q714" s="350">
        <f t="shared" si="285"/>
        <v>33116783.298760787</v>
      </c>
      <c r="R714" s="350">
        <f t="shared" si="286"/>
        <v>66891734.80982098</v>
      </c>
      <c r="S714" s="350">
        <f t="shared" si="287"/>
        <v>101177581.2256992</v>
      </c>
      <c r="T714" s="350">
        <f t="shared" si="288"/>
        <v>135988183.99892765</v>
      </c>
      <c r="U714" s="350">
        <f t="shared" si="289"/>
        <v>171329467.45976338</v>
      </c>
      <c r="V714" s="350">
        <f t="shared" si="290"/>
        <v>508503750.79297197</v>
      </c>
      <c r="W714" s="365"/>
      <c r="X714" s="377">
        <f t="shared" si="268"/>
        <v>0</v>
      </c>
      <c r="Y714" s="377">
        <f t="shared" si="269"/>
        <v>0</v>
      </c>
      <c r="Z714" s="377">
        <f t="shared" si="270"/>
        <v>0</v>
      </c>
      <c r="AA714" s="377">
        <f t="shared" si="271"/>
        <v>0</v>
      </c>
      <c r="AB714" s="377">
        <f t="shared" si="272"/>
        <v>0</v>
      </c>
      <c r="AC714" s="377">
        <f t="shared" si="273"/>
        <v>0</v>
      </c>
      <c r="AD714" s="376"/>
      <c r="AE714" s="332">
        <v>699</v>
      </c>
      <c r="AF714" s="350">
        <v>164079865.95943952</v>
      </c>
      <c r="AG714" s="350">
        <v>165425649.09762436</v>
      </c>
      <c r="AH714" s="350">
        <v>166715041.95694044</v>
      </c>
      <c r="AI714" s="350">
        <v>168007498.76789144</v>
      </c>
      <c r="AJ714" s="350">
        <v>169307034.29484698</v>
      </c>
      <c r="AK714" s="348">
        <v>833535090.07674277</v>
      </c>
      <c r="AL714" s="369"/>
      <c r="AM714" s="350">
        <v>202249299.30976573</v>
      </c>
      <c r="AN714" s="350">
        <v>242498449.25130635</v>
      </c>
      <c r="AO714" s="350">
        <v>283279667.10660833</v>
      </c>
      <c r="AP714" s="350">
        <v>324668382.04012501</v>
      </c>
      <c r="AQ714" s="350">
        <v>366675433.26264012</v>
      </c>
      <c r="AR714" s="348">
        <v>1419371230.9704456</v>
      </c>
      <c r="AS714" s="369"/>
      <c r="AT714" s="350">
        <f t="shared" si="291"/>
        <v>38169433.35032621</v>
      </c>
      <c r="AU714" s="350">
        <f t="shared" si="274"/>
        <v>77072800.153681993</v>
      </c>
      <c r="AV714" s="350">
        <f t="shared" si="275"/>
        <v>116564625.14966789</v>
      </c>
      <c r="AW714" s="350">
        <f t="shared" si="276"/>
        <v>156660883.27223358</v>
      </c>
      <c r="AX714" s="350">
        <f t="shared" si="277"/>
        <v>197368398.96779314</v>
      </c>
      <c r="AY714" s="350">
        <f t="shared" si="278"/>
        <v>585836140.89370286</v>
      </c>
      <c r="AZ714" s="365"/>
      <c r="BA714" s="377">
        <f t="shared" si="279"/>
        <v>0</v>
      </c>
      <c r="BB714" s="377">
        <f t="shared" si="280"/>
        <v>0</v>
      </c>
      <c r="BC714" s="377">
        <f t="shared" si="281"/>
        <v>0</v>
      </c>
      <c r="BD714" s="377">
        <f t="shared" si="282"/>
        <v>0</v>
      </c>
      <c r="BE714" s="377">
        <f t="shared" si="283"/>
        <v>0</v>
      </c>
      <c r="BF714" s="377">
        <f t="shared" si="284"/>
        <v>0</v>
      </c>
      <c r="BG714" s="328"/>
    </row>
    <row r="715" spans="2:59">
      <c r="B715" s="332">
        <v>700</v>
      </c>
      <c r="C715" s="350">
        <v>136531897.48105937</v>
      </c>
      <c r="D715" s="350">
        <v>137651732.16875845</v>
      </c>
      <c r="E715" s="350">
        <v>138724644.14763868</v>
      </c>
      <c r="F715" s="350">
        <v>139800105.66011387</v>
      </c>
      <c r="G715" s="350">
        <v>140881457.41708782</v>
      </c>
      <c r="H715" s="348">
        <v>693589836.87465811</v>
      </c>
      <c r="I715" s="369"/>
      <c r="J715" s="350">
        <v>168234801.24567628</v>
      </c>
      <c r="K715" s="350">
        <v>201707447.87724555</v>
      </c>
      <c r="L715" s="350">
        <v>235622563.96340147</v>
      </c>
      <c r="M715" s="350">
        <v>270042892.50414306</v>
      </c>
      <c r="N715" s="350">
        <v>304977448.6371426</v>
      </c>
      <c r="O715" s="348">
        <v>1180585154.2276089</v>
      </c>
      <c r="P715" s="369"/>
      <c r="Q715" s="350">
        <f t="shared" si="285"/>
        <v>31702903.764616907</v>
      </c>
      <c r="R715" s="350">
        <f t="shared" si="286"/>
        <v>64055715.708487093</v>
      </c>
      <c r="S715" s="350">
        <f t="shared" si="287"/>
        <v>96897919.815762788</v>
      </c>
      <c r="T715" s="350">
        <f t="shared" si="288"/>
        <v>130242786.84402919</v>
      </c>
      <c r="U715" s="350">
        <f t="shared" si="289"/>
        <v>164095991.22005478</v>
      </c>
      <c r="V715" s="350">
        <f t="shared" si="290"/>
        <v>486995317.35295081</v>
      </c>
      <c r="W715" s="365"/>
      <c r="X715" s="377">
        <f t="shared" si="268"/>
        <v>0</v>
      </c>
      <c r="Y715" s="377">
        <f t="shared" si="269"/>
        <v>0</v>
      </c>
      <c r="Z715" s="377">
        <f t="shared" si="270"/>
        <v>0</v>
      </c>
      <c r="AA715" s="377">
        <f t="shared" si="271"/>
        <v>0</v>
      </c>
      <c r="AB715" s="377">
        <f t="shared" si="272"/>
        <v>0</v>
      </c>
      <c r="AC715" s="377">
        <f t="shared" si="273"/>
        <v>0</v>
      </c>
      <c r="AD715" s="376"/>
      <c r="AE715" s="332">
        <v>700</v>
      </c>
      <c r="AF715" s="350">
        <v>99002386.118865609</v>
      </c>
      <c r="AG715" s="350">
        <v>99814403.736626059</v>
      </c>
      <c r="AH715" s="350">
        <v>100592396.63033353</v>
      </c>
      <c r="AI715" s="350">
        <v>101372238.2488741</v>
      </c>
      <c r="AJ715" s="350">
        <v>102156351.0177536</v>
      </c>
      <c r="AK715" s="348">
        <v>502937775.75245285</v>
      </c>
      <c r="AL715" s="369"/>
      <c r="AM715" s="350">
        <v>126008317.70931652</v>
      </c>
      <c r="AN715" s="350">
        <v>154365922.95474508</v>
      </c>
      <c r="AO715" s="350">
        <v>183106171.61582792</v>
      </c>
      <c r="AP715" s="350">
        <v>212276240.98209947</v>
      </c>
      <c r="AQ715" s="350">
        <v>241883385.07448417</v>
      </c>
      <c r="AR715" s="348">
        <v>917640038.33647323</v>
      </c>
      <c r="AS715" s="369"/>
      <c r="AT715" s="350">
        <f t="shared" si="291"/>
        <v>27005931.590450913</v>
      </c>
      <c r="AU715" s="350">
        <f t="shared" si="274"/>
        <v>54551519.218119025</v>
      </c>
      <c r="AV715" s="350">
        <f t="shared" si="275"/>
        <v>82513774.98549439</v>
      </c>
      <c r="AW715" s="350">
        <f t="shared" si="276"/>
        <v>110904002.73322538</v>
      </c>
      <c r="AX715" s="350">
        <f t="shared" si="277"/>
        <v>139727034.05673057</v>
      </c>
      <c r="AY715" s="350">
        <f t="shared" si="278"/>
        <v>414702262.58402038</v>
      </c>
      <c r="AZ715" s="365"/>
      <c r="BA715" s="377">
        <f t="shared" si="279"/>
        <v>0</v>
      </c>
      <c r="BB715" s="377">
        <f t="shared" si="280"/>
        <v>0</v>
      </c>
      <c r="BC715" s="377">
        <f t="shared" si="281"/>
        <v>0</v>
      </c>
      <c r="BD715" s="377">
        <f t="shared" si="282"/>
        <v>0</v>
      </c>
      <c r="BE715" s="377">
        <f t="shared" si="283"/>
        <v>0</v>
      </c>
      <c r="BF715" s="377">
        <f t="shared" si="284"/>
        <v>0</v>
      </c>
      <c r="BG715" s="328"/>
    </row>
    <row r="716" spans="2:59">
      <c r="B716" s="332">
        <v>701</v>
      </c>
      <c r="C716" s="350">
        <v>104112869.84479976</v>
      </c>
      <c r="D716" s="350">
        <v>104966803.65249678</v>
      </c>
      <c r="E716" s="350">
        <v>105784956.38656823</v>
      </c>
      <c r="F716" s="350">
        <v>106605053.2762855</v>
      </c>
      <c r="G716" s="350">
        <v>107429641.79228333</v>
      </c>
      <c r="H716" s="348">
        <v>528899324.95243359</v>
      </c>
      <c r="I716" s="369"/>
      <c r="J716" s="350">
        <v>133970866.98567098</v>
      </c>
      <c r="K716" s="350">
        <v>165269902.32514593</v>
      </c>
      <c r="L716" s="350">
        <v>196993679.79540002</v>
      </c>
      <c r="M716" s="350">
        <v>229192421.7217198</v>
      </c>
      <c r="N716" s="350">
        <v>261874015.97259349</v>
      </c>
      <c r="O716" s="348">
        <v>987300886.8005302</v>
      </c>
      <c r="P716" s="369"/>
      <c r="Q716" s="350">
        <f t="shared" si="285"/>
        <v>29857997.140871227</v>
      </c>
      <c r="R716" s="350">
        <f t="shared" si="286"/>
        <v>60303098.672649145</v>
      </c>
      <c r="S716" s="350">
        <f t="shared" si="287"/>
        <v>91208723.40883179</v>
      </c>
      <c r="T716" s="350">
        <f t="shared" si="288"/>
        <v>122587368.4454343</v>
      </c>
      <c r="U716" s="350">
        <f t="shared" si="289"/>
        <v>154444374.18031016</v>
      </c>
      <c r="V716" s="350">
        <f t="shared" si="290"/>
        <v>458401561.84809661</v>
      </c>
      <c r="W716" s="365"/>
      <c r="X716" s="377">
        <f t="shared" si="268"/>
        <v>0</v>
      </c>
      <c r="Y716" s="377">
        <f t="shared" si="269"/>
        <v>0</v>
      </c>
      <c r="Z716" s="377">
        <f t="shared" si="270"/>
        <v>0</v>
      </c>
      <c r="AA716" s="377">
        <f t="shared" si="271"/>
        <v>0</v>
      </c>
      <c r="AB716" s="377">
        <f t="shared" si="272"/>
        <v>0</v>
      </c>
      <c r="AC716" s="377">
        <f t="shared" si="273"/>
        <v>0</v>
      </c>
      <c r="AD716" s="376"/>
      <c r="AE716" s="332">
        <v>701</v>
      </c>
      <c r="AF716" s="350">
        <v>127928293.06315175</v>
      </c>
      <c r="AG716" s="350">
        <v>128977560.98334686</v>
      </c>
      <c r="AH716" s="350">
        <v>129982863.04533722</v>
      </c>
      <c r="AI716" s="350">
        <v>130990553.98118721</v>
      </c>
      <c r="AJ716" s="350">
        <v>132003763.98575556</v>
      </c>
      <c r="AK716" s="348">
        <v>649883035.05877852</v>
      </c>
      <c r="AL716" s="369"/>
      <c r="AM716" s="350">
        <v>165296248.4538458</v>
      </c>
      <c r="AN716" s="350">
        <v>204452151.85733211</v>
      </c>
      <c r="AO716" s="350">
        <v>244140505.44289941</v>
      </c>
      <c r="AP716" s="350">
        <v>284423304.55654973</v>
      </c>
      <c r="AQ716" s="350">
        <v>325310363.61742347</v>
      </c>
      <c r="AR716" s="348">
        <v>1223622573.9280505</v>
      </c>
      <c r="AS716" s="369"/>
      <c r="AT716" s="350">
        <f t="shared" si="291"/>
        <v>37367955.390694052</v>
      </c>
      <c r="AU716" s="350">
        <f t="shared" si="274"/>
        <v>75474590.873985246</v>
      </c>
      <c r="AV716" s="350">
        <f t="shared" si="275"/>
        <v>114157642.39756219</v>
      </c>
      <c r="AW716" s="350">
        <f t="shared" si="276"/>
        <v>153432750.5753625</v>
      </c>
      <c r="AX716" s="350">
        <f t="shared" si="277"/>
        <v>193306599.63166791</v>
      </c>
      <c r="AY716" s="350">
        <f t="shared" si="278"/>
        <v>573739538.86927199</v>
      </c>
      <c r="AZ716" s="365"/>
      <c r="BA716" s="377">
        <f t="shared" si="279"/>
        <v>0</v>
      </c>
      <c r="BB716" s="377">
        <f t="shared" si="280"/>
        <v>0</v>
      </c>
      <c r="BC716" s="377">
        <f t="shared" si="281"/>
        <v>0</v>
      </c>
      <c r="BD716" s="377">
        <f t="shared" si="282"/>
        <v>0</v>
      </c>
      <c r="BE716" s="377">
        <f t="shared" si="283"/>
        <v>0</v>
      </c>
      <c r="BF716" s="377">
        <f t="shared" si="284"/>
        <v>0</v>
      </c>
      <c r="BG716" s="328"/>
    </row>
    <row r="717" spans="2:59">
      <c r="B717" s="332">
        <v>702</v>
      </c>
      <c r="C717" s="350">
        <v>142139497.85128897</v>
      </c>
      <c r="D717" s="350">
        <v>143305326.07987618</v>
      </c>
      <c r="E717" s="350">
        <v>144422304.40311259</v>
      </c>
      <c r="F717" s="350">
        <v>145541936.97368321</v>
      </c>
      <c r="G717" s="350">
        <v>146667701.71124727</v>
      </c>
      <c r="H717" s="348">
        <v>722076767.01920819</v>
      </c>
      <c r="I717" s="369"/>
      <c r="J717" s="350">
        <v>174733297.70021102</v>
      </c>
      <c r="K717" s="350">
        <v>209144319.24675438</v>
      </c>
      <c r="L717" s="350">
        <v>244009374.10852957</v>
      </c>
      <c r="M717" s="350">
        <v>279393609.19044822</v>
      </c>
      <c r="N717" s="350">
        <v>315306333.7372582</v>
      </c>
      <c r="O717" s="348">
        <v>1222586933.9832015</v>
      </c>
      <c r="P717" s="369"/>
      <c r="Q717" s="350">
        <f t="shared" si="285"/>
        <v>32593799.848922044</v>
      </c>
      <c r="R717" s="350">
        <f t="shared" si="286"/>
        <v>65838993.166878194</v>
      </c>
      <c r="S717" s="350">
        <f t="shared" si="287"/>
        <v>99587069.705416977</v>
      </c>
      <c r="T717" s="350">
        <f t="shared" si="288"/>
        <v>133851672.21676502</v>
      </c>
      <c r="U717" s="350">
        <f t="shared" si="289"/>
        <v>168638632.02601093</v>
      </c>
      <c r="V717" s="350">
        <f t="shared" si="290"/>
        <v>500510166.96399331</v>
      </c>
      <c r="W717" s="365"/>
      <c r="X717" s="377">
        <f t="shared" si="268"/>
        <v>0</v>
      </c>
      <c r="Y717" s="377">
        <f t="shared" si="269"/>
        <v>0</v>
      </c>
      <c r="Z717" s="377">
        <f t="shared" si="270"/>
        <v>0</v>
      </c>
      <c r="AA717" s="377">
        <f t="shared" si="271"/>
        <v>0</v>
      </c>
      <c r="AB717" s="377">
        <f t="shared" si="272"/>
        <v>0</v>
      </c>
      <c r="AC717" s="377">
        <f t="shared" si="273"/>
        <v>0</v>
      </c>
      <c r="AD717" s="376"/>
      <c r="AE717" s="332">
        <v>702</v>
      </c>
      <c r="AF717" s="350">
        <v>143372585.74142691</v>
      </c>
      <c r="AG717" s="350">
        <v>144548527.75747213</v>
      </c>
      <c r="AH717" s="350">
        <v>145675196.08570185</v>
      </c>
      <c r="AI717" s="350">
        <v>146804541.68737963</v>
      </c>
      <c r="AJ717" s="350">
        <v>147940072.65379637</v>
      </c>
      <c r="AK717" s="348">
        <v>728340923.92577696</v>
      </c>
      <c r="AL717" s="369"/>
      <c r="AM717" s="350">
        <v>178163350.17703342</v>
      </c>
      <c r="AN717" s="350">
        <v>214818728.76857525</v>
      </c>
      <c r="AO717" s="350">
        <v>251961510.0961954</v>
      </c>
      <c r="AP717" s="350">
        <v>289658207.08623117</v>
      </c>
      <c r="AQ717" s="350">
        <v>327918551.20013714</v>
      </c>
      <c r="AR717" s="348">
        <v>1262520347.3281724</v>
      </c>
      <c r="AS717" s="369"/>
      <c r="AT717" s="350">
        <f t="shared" si="291"/>
        <v>34790764.435606509</v>
      </c>
      <c r="AU717" s="350">
        <f t="shared" si="274"/>
        <v>70270201.011103123</v>
      </c>
      <c r="AV717" s="350">
        <f t="shared" si="275"/>
        <v>106286314.01049355</v>
      </c>
      <c r="AW717" s="350">
        <f t="shared" si="276"/>
        <v>142853665.39885154</v>
      </c>
      <c r="AX717" s="350">
        <f t="shared" si="277"/>
        <v>179978478.54634076</v>
      </c>
      <c r="AY717" s="350">
        <f t="shared" si="278"/>
        <v>534179423.40239549</v>
      </c>
      <c r="AZ717" s="365"/>
      <c r="BA717" s="377">
        <f t="shared" si="279"/>
        <v>0</v>
      </c>
      <c r="BB717" s="377">
        <f t="shared" si="280"/>
        <v>0</v>
      </c>
      <c r="BC717" s="377">
        <f t="shared" si="281"/>
        <v>0</v>
      </c>
      <c r="BD717" s="377">
        <f t="shared" si="282"/>
        <v>0</v>
      </c>
      <c r="BE717" s="377">
        <f t="shared" si="283"/>
        <v>0</v>
      </c>
      <c r="BF717" s="377">
        <f t="shared" si="284"/>
        <v>0</v>
      </c>
      <c r="BG717" s="328"/>
    </row>
    <row r="718" spans="2:59">
      <c r="B718" s="332">
        <v>703</v>
      </c>
      <c r="C718" s="350">
        <v>124923161.89638945</v>
      </c>
      <c r="D718" s="350">
        <v>125947781.72933385</v>
      </c>
      <c r="E718" s="350">
        <v>126929468.49492523</v>
      </c>
      <c r="F718" s="350">
        <v>127913488.01794481</v>
      </c>
      <c r="G718" s="350">
        <v>128902896.96263582</v>
      </c>
      <c r="H718" s="348">
        <v>634616797.10122919</v>
      </c>
      <c r="I718" s="369"/>
      <c r="J718" s="350">
        <v>160297906.50968874</v>
      </c>
      <c r="K718" s="350">
        <v>197387493.76686499</v>
      </c>
      <c r="L718" s="350">
        <v>234979676.73094279</v>
      </c>
      <c r="M718" s="350">
        <v>273134527.06540805</v>
      </c>
      <c r="N718" s="350">
        <v>311861427.73921287</v>
      </c>
      <c r="O718" s="348">
        <v>1177661031.8121176</v>
      </c>
      <c r="P718" s="369"/>
      <c r="Q718" s="350">
        <f t="shared" si="285"/>
        <v>35374744.61329928</v>
      </c>
      <c r="R718" s="350">
        <f t="shared" si="286"/>
        <v>71439712.037531137</v>
      </c>
      <c r="S718" s="350">
        <f t="shared" si="287"/>
        <v>108050208.23601755</v>
      </c>
      <c r="T718" s="350">
        <f t="shared" si="288"/>
        <v>145221039.04746324</v>
      </c>
      <c r="U718" s="350">
        <f t="shared" si="289"/>
        <v>182958530.77657706</v>
      </c>
      <c r="V718" s="350">
        <f t="shared" si="290"/>
        <v>543044234.71088839</v>
      </c>
      <c r="W718" s="365"/>
      <c r="X718" s="377">
        <f t="shared" si="268"/>
        <v>0</v>
      </c>
      <c r="Y718" s="377">
        <f t="shared" si="269"/>
        <v>0</v>
      </c>
      <c r="Z718" s="377">
        <f t="shared" si="270"/>
        <v>0</v>
      </c>
      <c r="AA718" s="377">
        <f t="shared" si="271"/>
        <v>0</v>
      </c>
      <c r="AB718" s="377">
        <f t="shared" si="272"/>
        <v>0</v>
      </c>
      <c r="AC718" s="377">
        <f t="shared" si="273"/>
        <v>0</v>
      </c>
      <c r="AD718" s="376"/>
      <c r="AE718" s="332">
        <v>703</v>
      </c>
      <c r="AF718" s="350">
        <v>122227054.71284501</v>
      </c>
      <c r="AG718" s="350">
        <v>123229561.07339513</v>
      </c>
      <c r="AH718" s="350">
        <v>124190060.95338</v>
      </c>
      <c r="AI718" s="350">
        <v>125152843.24493277</v>
      </c>
      <c r="AJ718" s="350">
        <v>126120898.64298961</v>
      </c>
      <c r="AK718" s="348">
        <v>620920418.6275425</v>
      </c>
      <c r="AL718" s="369"/>
      <c r="AM718" s="350">
        <v>152375454.33163464</v>
      </c>
      <c r="AN718" s="350">
        <v>184148624.08943871</v>
      </c>
      <c r="AO718" s="350">
        <v>216345248.75171298</v>
      </c>
      <c r="AP718" s="350">
        <v>249022237.49120486</v>
      </c>
      <c r="AQ718" s="350">
        <v>282187977.83723456</v>
      </c>
      <c r="AR718" s="348">
        <v>1084079542.5012257</v>
      </c>
      <c r="AS718" s="369"/>
      <c r="AT718" s="350">
        <f t="shared" si="291"/>
        <v>30148399.618789628</v>
      </c>
      <c r="AU718" s="350">
        <f t="shared" si="274"/>
        <v>60919063.016043574</v>
      </c>
      <c r="AV718" s="350">
        <f t="shared" si="275"/>
        <v>92155187.798332974</v>
      </c>
      <c r="AW718" s="350">
        <f t="shared" si="276"/>
        <v>123869394.24627209</v>
      </c>
      <c r="AX718" s="350">
        <f t="shared" si="277"/>
        <v>156067079.19424495</v>
      </c>
      <c r="AY718" s="350">
        <f t="shared" si="278"/>
        <v>463159123.87368321</v>
      </c>
      <c r="AZ718" s="365"/>
      <c r="BA718" s="377">
        <f t="shared" si="279"/>
        <v>0</v>
      </c>
      <c r="BB718" s="377">
        <f t="shared" si="280"/>
        <v>0</v>
      </c>
      <c r="BC718" s="377">
        <f t="shared" si="281"/>
        <v>0</v>
      </c>
      <c r="BD718" s="377">
        <f t="shared" si="282"/>
        <v>0</v>
      </c>
      <c r="BE718" s="377">
        <f t="shared" si="283"/>
        <v>0</v>
      </c>
      <c r="BF718" s="377">
        <f t="shared" si="284"/>
        <v>0</v>
      </c>
      <c r="BG718" s="328"/>
    </row>
    <row r="719" spans="2:59">
      <c r="B719" s="332">
        <v>704</v>
      </c>
      <c r="C719" s="350">
        <v>134294985.50030667</v>
      </c>
      <c r="D719" s="350">
        <v>135396473.03488189</v>
      </c>
      <c r="E719" s="350">
        <v>136451806.63314834</v>
      </c>
      <c r="F719" s="350">
        <v>137509647.99394849</v>
      </c>
      <c r="G719" s="350">
        <v>138573283.0946303</v>
      </c>
      <c r="H719" s="348">
        <v>682226196.25691557</v>
      </c>
      <c r="I719" s="369"/>
      <c r="J719" s="350">
        <v>170422440.71201596</v>
      </c>
      <c r="K719" s="350">
        <v>208373910.60009634</v>
      </c>
      <c r="L719" s="350">
        <v>246836637.82963094</v>
      </c>
      <c r="M719" s="350">
        <v>285874405.95856351</v>
      </c>
      <c r="N719" s="350">
        <v>325496964.57046783</v>
      </c>
      <c r="O719" s="348">
        <v>1237004359.6707745</v>
      </c>
      <c r="P719" s="369"/>
      <c r="Q719" s="350">
        <f t="shared" si="285"/>
        <v>36127455.211709291</v>
      </c>
      <c r="R719" s="350">
        <f t="shared" si="286"/>
        <v>72977437.565214455</v>
      </c>
      <c r="S719" s="350">
        <f t="shared" si="287"/>
        <v>110384831.1964826</v>
      </c>
      <c r="T719" s="350">
        <f t="shared" si="288"/>
        <v>148364757.96461502</v>
      </c>
      <c r="U719" s="350">
        <f t="shared" si="289"/>
        <v>186923681.47583753</v>
      </c>
      <c r="V719" s="350">
        <f t="shared" si="290"/>
        <v>554778163.41385889</v>
      </c>
      <c r="W719" s="365"/>
      <c r="X719" s="377">
        <f t="shared" si="268"/>
        <v>0</v>
      </c>
      <c r="Y719" s="377">
        <f t="shared" si="269"/>
        <v>0</v>
      </c>
      <c r="Z719" s="377">
        <f t="shared" si="270"/>
        <v>0</v>
      </c>
      <c r="AA719" s="377">
        <f t="shared" si="271"/>
        <v>0</v>
      </c>
      <c r="AB719" s="377">
        <f t="shared" si="272"/>
        <v>0</v>
      </c>
      <c r="AC719" s="377">
        <f t="shared" si="273"/>
        <v>0</v>
      </c>
      <c r="AD719" s="376"/>
      <c r="AE719" s="332">
        <v>704</v>
      </c>
      <c r="AF719" s="350">
        <v>133735538.62745087</v>
      </c>
      <c r="AG719" s="350">
        <v>134832437.57851034</v>
      </c>
      <c r="AH719" s="350">
        <v>135883374.86161157</v>
      </c>
      <c r="AI719" s="350">
        <v>136936809.460394</v>
      </c>
      <c r="AJ719" s="350">
        <v>137996013.66346094</v>
      </c>
      <c r="AK719" s="348">
        <v>679384174.19142783</v>
      </c>
      <c r="AL719" s="369"/>
      <c r="AM719" s="350">
        <v>165440926.57669017</v>
      </c>
      <c r="AN719" s="350">
        <v>198894188.23037338</v>
      </c>
      <c r="AO719" s="350">
        <v>232790934.56015638</v>
      </c>
      <c r="AP719" s="350">
        <v>267192896.40357196</v>
      </c>
      <c r="AQ719" s="350">
        <v>302109021.07566088</v>
      </c>
      <c r="AR719" s="348">
        <v>1166427966.8464527</v>
      </c>
      <c r="AS719" s="369"/>
      <c r="AT719" s="350">
        <f t="shared" si="291"/>
        <v>31705387.949239299</v>
      </c>
      <c r="AU719" s="350">
        <f t="shared" si="274"/>
        <v>64061750.651863039</v>
      </c>
      <c r="AV719" s="350">
        <f t="shared" si="275"/>
        <v>96907559.6985448</v>
      </c>
      <c r="AW719" s="350">
        <f t="shared" si="276"/>
        <v>130256086.94317797</v>
      </c>
      <c r="AX719" s="350">
        <f t="shared" si="277"/>
        <v>164113007.41219994</v>
      </c>
      <c r="AY719" s="350">
        <f t="shared" si="278"/>
        <v>487043792.65502489</v>
      </c>
      <c r="AZ719" s="365"/>
      <c r="BA719" s="377">
        <f t="shared" si="279"/>
        <v>0</v>
      </c>
      <c r="BB719" s="377">
        <f t="shared" si="280"/>
        <v>0</v>
      </c>
      <c r="BC719" s="377">
        <f t="shared" si="281"/>
        <v>0</v>
      </c>
      <c r="BD719" s="377">
        <f t="shared" si="282"/>
        <v>0</v>
      </c>
      <c r="BE719" s="377">
        <f t="shared" si="283"/>
        <v>0</v>
      </c>
      <c r="BF719" s="377">
        <f t="shared" si="284"/>
        <v>0</v>
      </c>
      <c r="BG719" s="328"/>
    </row>
    <row r="720" spans="2:59">
      <c r="B720" s="332">
        <v>705</v>
      </c>
      <c r="C720" s="350">
        <v>144745333.79987574</v>
      </c>
      <c r="D720" s="350">
        <v>145932535.09614539</v>
      </c>
      <c r="E720" s="350">
        <v>147069990.92431521</v>
      </c>
      <c r="F720" s="350">
        <v>148210149.65999624</v>
      </c>
      <c r="G720" s="350">
        <v>149356552.98336604</v>
      </c>
      <c r="H720" s="348">
        <v>735314562.46369863</v>
      </c>
      <c r="I720" s="369"/>
      <c r="J720" s="350">
        <v>178440158.07899091</v>
      </c>
      <c r="K720" s="350">
        <v>213988538.47577101</v>
      </c>
      <c r="L720" s="350">
        <v>250006934.32151449</v>
      </c>
      <c r="M720" s="350">
        <v>286561897.20735252</v>
      </c>
      <c r="N720" s="350">
        <v>323662996.04673022</v>
      </c>
      <c r="O720" s="348">
        <v>1252660524.1303592</v>
      </c>
      <c r="P720" s="369"/>
      <c r="Q720" s="350">
        <f t="shared" si="285"/>
        <v>33694824.27911517</v>
      </c>
      <c r="R720" s="350">
        <f t="shared" si="286"/>
        <v>68056003.379625618</v>
      </c>
      <c r="S720" s="350">
        <f t="shared" si="287"/>
        <v>102936943.39719927</v>
      </c>
      <c r="T720" s="350">
        <f t="shared" si="288"/>
        <v>138351747.54735628</v>
      </c>
      <c r="U720" s="350">
        <f t="shared" si="289"/>
        <v>174306443.06336418</v>
      </c>
      <c r="V720" s="350">
        <f t="shared" si="290"/>
        <v>517345961.66666055</v>
      </c>
      <c r="W720" s="365"/>
      <c r="X720" s="377">
        <f t="shared" ref="X720:X783" si="292">IF(Q720&lt;Q$8,1,0)</f>
        <v>0</v>
      </c>
      <c r="Y720" s="377">
        <f t="shared" ref="Y720:Y783" si="293">IF(R720&lt;R$8,1,0)</f>
        <v>0</v>
      </c>
      <c r="Z720" s="377">
        <f t="shared" ref="Z720:Z783" si="294">IF(S720&lt;S$8,1,0)</f>
        <v>0</v>
      </c>
      <c r="AA720" s="377">
        <f t="shared" ref="AA720:AA783" si="295">IF(T720&lt;T$8,1,0)</f>
        <v>0</v>
      </c>
      <c r="AB720" s="377">
        <f t="shared" ref="AB720:AB783" si="296">IF(U720&lt;U$8,1,0)</f>
        <v>0</v>
      </c>
      <c r="AC720" s="377">
        <f t="shared" ref="AC720:AC783" si="297">IF(V720&lt;V$8,1,0)</f>
        <v>0</v>
      </c>
      <c r="AD720" s="376"/>
      <c r="AE720" s="332">
        <v>705</v>
      </c>
      <c r="AF720" s="350">
        <v>116592003.28344202</v>
      </c>
      <c r="AG720" s="350">
        <v>117548290.94950362</v>
      </c>
      <c r="AH720" s="350">
        <v>118464508.76579669</v>
      </c>
      <c r="AI720" s="350">
        <v>119382903.76730993</v>
      </c>
      <c r="AJ720" s="350">
        <v>120306328.76854196</v>
      </c>
      <c r="AK720" s="348">
        <v>592294035.53459418</v>
      </c>
      <c r="AL720" s="369"/>
      <c r="AM720" s="350">
        <v>148512246.14300045</v>
      </c>
      <c r="AN720" s="350">
        <v>182028487.58361205</v>
      </c>
      <c r="AO720" s="350">
        <v>215997177.94537348</v>
      </c>
      <c r="AP720" s="350">
        <v>250473925.18429404</v>
      </c>
      <c r="AQ720" s="350">
        <v>285467293.206025</v>
      </c>
      <c r="AR720" s="348">
        <v>1082479130.062305</v>
      </c>
      <c r="AS720" s="369"/>
      <c r="AT720" s="350">
        <f t="shared" si="291"/>
        <v>31920242.859558433</v>
      </c>
      <c r="AU720" s="350">
        <f t="shared" ref="AU720:AU783" si="298">AN720-AG720</f>
        <v>64480196.634108439</v>
      </c>
      <c r="AV720" s="350">
        <f t="shared" ref="AV720:AV783" si="299">AO720-AH720</f>
        <v>97532669.179576784</v>
      </c>
      <c r="AW720" s="350">
        <f t="shared" ref="AW720:AW783" si="300">AP720-AI720</f>
        <v>131091021.41698411</v>
      </c>
      <c r="AX720" s="350">
        <f t="shared" ref="AX720:AX783" si="301">AQ720-AJ720</f>
        <v>165160964.43748304</v>
      </c>
      <c r="AY720" s="350">
        <f t="shared" ref="AY720:AY783" si="302">AR720-AK720</f>
        <v>490185094.5277108</v>
      </c>
      <c r="AZ720" s="365"/>
      <c r="BA720" s="377">
        <f t="shared" ref="BA720:BA783" si="303">IF(AT720&lt;AT$8,1,0)</f>
        <v>0</v>
      </c>
      <c r="BB720" s="377">
        <f t="shared" ref="BB720:BB783" si="304">IF(AU720&lt;AU$8,1,0)</f>
        <v>0</v>
      </c>
      <c r="BC720" s="377">
        <f t="shared" ref="BC720:BC783" si="305">IF(AV720&lt;AV$8,1,0)</f>
        <v>0</v>
      </c>
      <c r="BD720" s="377">
        <f t="shared" ref="BD720:BD783" si="306">IF(AW720&lt;AW$8,1,0)</f>
        <v>0</v>
      </c>
      <c r="BE720" s="377">
        <f t="shared" ref="BE720:BE783" si="307">IF(AX720&lt;AX$8,1,0)</f>
        <v>0</v>
      </c>
      <c r="BF720" s="377">
        <f t="shared" ref="BF720:BF783" si="308">IF(AY720&lt;AY$8,1,0)</f>
        <v>0</v>
      </c>
      <c r="BG720" s="328"/>
    </row>
    <row r="721" spans="2:59">
      <c r="B721" s="332">
        <v>706</v>
      </c>
      <c r="C721" s="350">
        <v>120684532.97184208</v>
      </c>
      <c r="D721" s="350">
        <v>121674387.56834312</v>
      </c>
      <c r="E721" s="350">
        <v>122622765.81166916</v>
      </c>
      <c r="F721" s="350">
        <v>123573397.6622245</v>
      </c>
      <c r="G721" s="350">
        <v>124529236.07197624</v>
      </c>
      <c r="H721" s="348">
        <v>613084320.08605504</v>
      </c>
      <c r="I721" s="369"/>
      <c r="J721" s="350">
        <v>149608544.65185773</v>
      </c>
      <c r="K721" s="350">
        <v>180098348.46264401</v>
      </c>
      <c r="L721" s="350">
        <v>210992905.75047526</v>
      </c>
      <c r="M721" s="350">
        <v>242348053.05114964</v>
      </c>
      <c r="N721" s="350">
        <v>274171917.76072252</v>
      </c>
      <c r="O721" s="348">
        <v>1057219769.6768491</v>
      </c>
      <c r="P721" s="369"/>
      <c r="Q721" s="350">
        <f t="shared" ref="Q721:Q784" si="309">J721-C721</f>
        <v>28924011.680015653</v>
      </c>
      <c r="R721" s="350">
        <f t="shared" ref="R721:R784" si="310">K721-D721</f>
        <v>58423960.894300893</v>
      </c>
      <c r="S721" s="350">
        <f t="shared" ref="S721:S784" si="311">L721-E721</f>
        <v>88370139.938806102</v>
      </c>
      <c r="T721" s="350">
        <f t="shared" ref="T721:T784" si="312">M721-F721</f>
        <v>118774655.38892514</v>
      </c>
      <c r="U721" s="350">
        <f t="shared" ref="U721:U784" si="313">N721-G721</f>
        <v>149642681.68874627</v>
      </c>
      <c r="V721" s="350">
        <f t="shared" ref="V721:V784" si="314">O721-H721</f>
        <v>444135449.59079409</v>
      </c>
      <c r="W721" s="365"/>
      <c r="X721" s="377">
        <f t="shared" si="292"/>
        <v>0</v>
      </c>
      <c r="Y721" s="377">
        <f t="shared" si="293"/>
        <v>0</v>
      </c>
      <c r="Z721" s="377">
        <f t="shared" si="294"/>
        <v>0</v>
      </c>
      <c r="AA721" s="377">
        <f t="shared" si="295"/>
        <v>0</v>
      </c>
      <c r="AB721" s="377">
        <f t="shared" si="296"/>
        <v>0</v>
      </c>
      <c r="AC721" s="377">
        <f t="shared" si="297"/>
        <v>0</v>
      </c>
      <c r="AD721" s="376"/>
      <c r="AE721" s="332">
        <v>706</v>
      </c>
      <c r="AF721" s="350">
        <v>130992200.52280316</v>
      </c>
      <c r="AG721" s="350">
        <v>132066598.61343113</v>
      </c>
      <c r="AH721" s="350">
        <v>133095977.85501313</v>
      </c>
      <c r="AI721" s="350">
        <v>134127803.18444756</v>
      </c>
      <c r="AJ721" s="350">
        <v>135165279.7653679</v>
      </c>
      <c r="AK721" s="348">
        <v>665447859.94106281</v>
      </c>
      <c r="AL721" s="369"/>
      <c r="AM721" s="350">
        <v>168474647.55327368</v>
      </c>
      <c r="AN721" s="350">
        <v>207771160.50136963</v>
      </c>
      <c r="AO721" s="350">
        <v>247600816.83760625</v>
      </c>
      <c r="AP721" s="350">
        <v>288026769.96320713</v>
      </c>
      <c r="AQ721" s="350">
        <v>329058929.55117899</v>
      </c>
      <c r="AR721" s="348">
        <v>1240932324.4066358</v>
      </c>
      <c r="AS721" s="369"/>
      <c r="AT721" s="350">
        <f t="shared" ref="AT721:AT784" si="315">AM721-AF721</f>
        <v>37482447.03047052</v>
      </c>
      <c r="AU721" s="350">
        <f t="shared" si="298"/>
        <v>75704561.887938499</v>
      </c>
      <c r="AV721" s="350">
        <f t="shared" si="299"/>
        <v>114504838.98259312</v>
      </c>
      <c r="AW721" s="350">
        <f t="shared" si="300"/>
        <v>153898966.77875957</v>
      </c>
      <c r="AX721" s="350">
        <f t="shared" si="301"/>
        <v>193893649.7858111</v>
      </c>
      <c r="AY721" s="350">
        <f t="shared" si="302"/>
        <v>575484464.46557295</v>
      </c>
      <c r="AZ721" s="365"/>
      <c r="BA721" s="377">
        <f t="shared" si="303"/>
        <v>0</v>
      </c>
      <c r="BB721" s="377">
        <f t="shared" si="304"/>
        <v>0</v>
      </c>
      <c r="BC721" s="377">
        <f t="shared" si="305"/>
        <v>0</v>
      </c>
      <c r="BD721" s="377">
        <f t="shared" si="306"/>
        <v>0</v>
      </c>
      <c r="BE721" s="377">
        <f t="shared" si="307"/>
        <v>0</v>
      </c>
      <c r="BF721" s="377">
        <f t="shared" si="308"/>
        <v>0</v>
      </c>
      <c r="BG721" s="328"/>
    </row>
    <row r="722" spans="2:59">
      <c r="B722" s="332">
        <v>707</v>
      </c>
      <c r="C722" s="350">
        <v>122746654.75227821</v>
      </c>
      <c r="D722" s="350">
        <v>123753422.87259743</v>
      </c>
      <c r="E722" s="350">
        <v>124718005.93839327</v>
      </c>
      <c r="F722" s="350">
        <v>125684881.11852813</v>
      </c>
      <c r="G722" s="350">
        <v>126657051.82169628</v>
      </c>
      <c r="H722" s="348">
        <v>623560016.50349331</v>
      </c>
      <c r="I722" s="369"/>
      <c r="J722" s="350">
        <v>161479906.30743685</v>
      </c>
      <c r="K722" s="350">
        <v>201974959.16482866</v>
      </c>
      <c r="L722" s="350">
        <v>243025137.46316165</v>
      </c>
      <c r="M722" s="350">
        <v>284691129.8483333</v>
      </c>
      <c r="N722" s="350">
        <v>326982866.5483526</v>
      </c>
      <c r="O722" s="348">
        <v>1218153999.3321133</v>
      </c>
      <c r="P722" s="369"/>
      <c r="Q722" s="350">
        <f t="shared" si="309"/>
        <v>38733251.555158645</v>
      </c>
      <c r="R722" s="350">
        <f t="shared" si="310"/>
        <v>78221536.292231232</v>
      </c>
      <c r="S722" s="350">
        <f t="shared" si="311"/>
        <v>118307131.52476838</v>
      </c>
      <c r="T722" s="350">
        <f t="shared" si="312"/>
        <v>159006248.72980517</v>
      </c>
      <c r="U722" s="350">
        <f t="shared" si="313"/>
        <v>200325814.72665632</v>
      </c>
      <c r="V722" s="350">
        <f t="shared" si="314"/>
        <v>594593982.82861996</v>
      </c>
      <c r="W722" s="365"/>
      <c r="X722" s="377">
        <f t="shared" si="292"/>
        <v>0</v>
      </c>
      <c r="Y722" s="377">
        <f t="shared" si="293"/>
        <v>0</v>
      </c>
      <c r="Z722" s="377">
        <f t="shared" si="294"/>
        <v>0</v>
      </c>
      <c r="AA722" s="377">
        <f t="shared" si="295"/>
        <v>0</v>
      </c>
      <c r="AB722" s="377">
        <f t="shared" si="296"/>
        <v>0</v>
      </c>
      <c r="AC722" s="377">
        <f t="shared" si="297"/>
        <v>0</v>
      </c>
      <c r="AD722" s="376"/>
      <c r="AE722" s="332">
        <v>707</v>
      </c>
      <c r="AF722" s="350">
        <v>136737456.38144511</v>
      </c>
      <c r="AG722" s="350">
        <v>137858977.06334233</v>
      </c>
      <c r="AH722" s="350">
        <v>138933504.39080158</v>
      </c>
      <c r="AI722" s="350">
        <v>140010585.09036779</v>
      </c>
      <c r="AJ722" s="350">
        <v>141093564.90263277</v>
      </c>
      <c r="AK722" s="348">
        <v>694634087.82858968</v>
      </c>
      <c r="AL722" s="369"/>
      <c r="AM722" s="350">
        <v>170711867.35188335</v>
      </c>
      <c r="AN722" s="350">
        <v>206503555.13493216</v>
      </c>
      <c r="AO722" s="350">
        <v>242772695.39475971</v>
      </c>
      <c r="AP722" s="350">
        <v>279583056.4229418</v>
      </c>
      <c r="AQ722" s="350">
        <v>316944064.84889555</v>
      </c>
      <c r="AR722" s="348">
        <v>1216515239.1534126</v>
      </c>
      <c r="AS722" s="369"/>
      <c r="AT722" s="350">
        <f t="shared" si="315"/>
        <v>33974410.970438242</v>
      </c>
      <c r="AU722" s="350">
        <f t="shared" si="298"/>
        <v>68644578.071589828</v>
      </c>
      <c r="AV722" s="350">
        <f t="shared" si="299"/>
        <v>103839191.00395814</v>
      </c>
      <c r="AW722" s="350">
        <f t="shared" si="300"/>
        <v>139572471.33257401</v>
      </c>
      <c r="AX722" s="350">
        <f t="shared" si="301"/>
        <v>175850499.94626278</v>
      </c>
      <c r="AY722" s="350">
        <f t="shared" si="302"/>
        <v>521881151.3248229</v>
      </c>
      <c r="AZ722" s="365"/>
      <c r="BA722" s="377">
        <f t="shared" si="303"/>
        <v>0</v>
      </c>
      <c r="BB722" s="377">
        <f t="shared" si="304"/>
        <v>0</v>
      </c>
      <c r="BC722" s="377">
        <f t="shared" si="305"/>
        <v>0</v>
      </c>
      <c r="BD722" s="377">
        <f t="shared" si="306"/>
        <v>0</v>
      </c>
      <c r="BE722" s="377">
        <f t="shared" si="307"/>
        <v>0</v>
      </c>
      <c r="BF722" s="377">
        <f t="shared" si="308"/>
        <v>0</v>
      </c>
      <c r="BG722" s="328"/>
    </row>
    <row r="723" spans="2:59">
      <c r="B723" s="332">
        <v>708</v>
      </c>
      <c r="C723" s="350">
        <v>122464999.92539157</v>
      </c>
      <c r="D723" s="350">
        <v>123469457.91268748</v>
      </c>
      <c r="E723" s="350">
        <v>124431827.64340737</v>
      </c>
      <c r="F723" s="350">
        <v>125396484.22897416</v>
      </c>
      <c r="G723" s="350">
        <v>126366424.18645188</v>
      </c>
      <c r="H723" s="348">
        <v>622129193.89691246</v>
      </c>
      <c r="I723" s="369"/>
      <c r="J723" s="350">
        <v>158384237.09110194</v>
      </c>
      <c r="K723" s="350">
        <v>196040289.02727115</v>
      </c>
      <c r="L723" s="350">
        <v>234208669.53154111</v>
      </c>
      <c r="M723" s="350">
        <v>272948789.19823319</v>
      </c>
      <c r="N723" s="350">
        <v>312270073.03415149</v>
      </c>
      <c r="O723" s="348">
        <v>1173852057.8822989</v>
      </c>
      <c r="P723" s="369"/>
      <c r="Q723" s="350">
        <f t="shared" si="309"/>
        <v>35919237.165710375</v>
      </c>
      <c r="R723" s="350">
        <f t="shared" si="310"/>
        <v>72570831.114583671</v>
      </c>
      <c r="S723" s="350">
        <f t="shared" si="311"/>
        <v>109776841.88813373</v>
      </c>
      <c r="T723" s="350">
        <f t="shared" si="312"/>
        <v>147552304.96925902</v>
      </c>
      <c r="U723" s="350">
        <f t="shared" si="313"/>
        <v>185903648.84769961</v>
      </c>
      <c r="V723" s="350">
        <f t="shared" si="314"/>
        <v>551722863.98538649</v>
      </c>
      <c r="W723" s="365"/>
      <c r="X723" s="377">
        <f t="shared" si="292"/>
        <v>0</v>
      </c>
      <c r="Y723" s="377">
        <f t="shared" si="293"/>
        <v>0</v>
      </c>
      <c r="Z723" s="377">
        <f t="shared" si="294"/>
        <v>0</v>
      </c>
      <c r="AA723" s="377">
        <f t="shared" si="295"/>
        <v>0</v>
      </c>
      <c r="AB723" s="377">
        <f t="shared" si="296"/>
        <v>0</v>
      </c>
      <c r="AC723" s="377">
        <f t="shared" si="297"/>
        <v>0</v>
      </c>
      <c r="AD723" s="376"/>
      <c r="AE723" s="332">
        <v>708</v>
      </c>
      <c r="AF723" s="350">
        <v>138410049.04154223</v>
      </c>
      <c r="AG723" s="350">
        <v>139545288.32922846</v>
      </c>
      <c r="AH723" s="350">
        <v>140632959.4328596</v>
      </c>
      <c r="AI723" s="350">
        <v>141723215.14182043</v>
      </c>
      <c r="AJ723" s="350">
        <v>142819442.1222935</v>
      </c>
      <c r="AK723" s="348">
        <v>703130954.06774426</v>
      </c>
      <c r="AL723" s="369"/>
      <c r="AM723" s="350">
        <v>169740131.09230641</v>
      </c>
      <c r="AN723" s="350">
        <v>202818912.50297266</v>
      </c>
      <c r="AO723" s="350">
        <v>236333313.67017263</v>
      </c>
      <c r="AP723" s="350">
        <v>270346600.47806197</v>
      </c>
      <c r="AQ723" s="350">
        <v>304867762.8922295</v>
      </c>
      <c r="AR723" s="348">
        <v>1184106720.6357431</v>
      </c>
      <c r="AS723" s="369"/>
      <c r="AT723" s="350">
        <f t="shared" si="315"/>
        <v>31330082.050764173</v>
      </c>
      <c r="AU723" s="350">
        <f t="shared" si="298"/>
        <v>63273624.173744202</v>
      </c>
      <c r="AV723" s="350">
        <f t="shared" si="299"/>
        <v>95700354.237313032</v>
      </c>
      <c r="AW723" s="350">
        <f t="shared" si="300"/>
        <v>128623385.33624154</v>
      </c>
      <c r="AX723" s="350">
        <f t="shared" si="301"/>
        <v>162048320.769936</v>
      </c>
      <c r="AY723" s="350">
        <f t="shared" si="302"/>
        <v>480975766.56799889</v>
      </c>
      <c r="AZ723" s="365"/>
      <c r="BA723" s="377">
        <f t="shared" si="303"/>
        <v>0</v>
      </c>
      <c r="BB723" s="377">
        <f t="shared" si="304"/>
        <v>0</v>
      </c>
      <c r="BC723" s="377">
        <f t="shared" si="305"/>
        <v>0</v>
      </c>
      <c r="BD723" s="377">
        <f t="shared" si="306"/>
        <v>0</v>
      </c>
      <c r="BE723" s="377">
        <f t="shared" si="307"/>
        <v>0</v>
      </c>
      <c r="BF723" s="377">
        <f t="shared" si="308"/>
        <v>0</v>
      </c>
      <c r="BG723" s="328"/>
    </row>
    <row r="724" spans="2:59">
      <c r="B724" s="332">
        <v>709</v>
      </c>
      <c r="C724" s="350">
        <v>124881567.21376725</v>
      </c>
      <c r="D724" s="350">
        <v>125905845.88710508</v>
      </c>
      <c r="E724" s="350">
        <v>126887205.78817567</v>
      </c>
      <c r="F724" s="350">
        <v>127870897.6699546</v>
      </c>
      <c r="G724" s="350">
        <v>128859977.17893158</v>
      </c>
      <c r="H724" s="348">
        <v>634405493.73793411</v>
      </c>
      <c r="I724" s="369"/>
      <c r="J724" s="350">
        <v>154528895.15616518</v>
      </c>
      <c r="K724" s="350">
        <v>185797379.26168045</v>
      </c>
      <c r="L724" s="350">
        <v>217480435.41012108</v>
      </c>
      <c r="M724" s="350">
        <v>249635724.04787838</v>
      </c>
      <c r="N724" s="350">
        <v>282271605.66312355</v>
      </c>
      <c r="O724" s="348">
        <v>1089714039.5389686</v>
      </c>
      <c r="P724" s="369"/>
      <c r="Q724" s="350">
        <f t="shared" si="309"/>
        <v>29647327.942397937</v>
      </c>
      <c r="R724" s="350">
        <f t="shared" si="310"/>
        <v>59891533.374575377</v>
      </c>
      <c r="S724" s="350">
        <f t="shared" si="311"/>
        <v>90593229.621945411</v>
      </c>
      <c r="T724" s="350">
        <f t="shared" si="312"/>
        <v>121764826.37792379</v>
      </c>
      <c r="U724" s="350">
        <f t="shared" si="313"/>
        <v>153411628.48419195</v>
      </c>
      <c r="V724" s="350">
        <f t="shared" si="314"/>
        <v>455308545.80103445</v>
      </c>
      <c r="W724" s="365"/>
      <c r="X724" s="377">
        <f t="shared" si="292"/>
        <v>0</v>
      </c>
      <c r="Y724" s="377">
        <f t="shared" si="293"/>
        <v>0</v>
      </c>
      <c r="Z724" s="377">
        <f t="shared" si="294"/>
        <v>0</v>
      </c>
      <c r="AA724" s="377">
        <f t="shared" si="295"/>
        <v>0</v>
      </c>
      <c r="AB724" s="377">
        <f t="shared" si="296"/>
        <v>0</v>
      </c>
      <c r="AC724" s="377">
        <f t="shared" si="297"/>
        <v>0</v>
      </c>
      <c r="AD724" s="376"/>
      <c r="AE724" s="332">
        <v>709</v>
      </c>
      <c r="AF724" s="350">
        <v>122641405.21402803</v>
      </c>
      <c r="AG724" s="350">
        <v>123647310.07758477</v>
      </c>
      <c r="AH724" s="350">
        <v>124611066.05833718</v>
      </c>
      <c r="AI724" s="350">
        <v>125577112.18804729</v>
      </c>
      <c r="AJ724" s="350">
        <v>126548449.3001264</v>
      </c>
      <c r="AK724" s="348">
        <v>623025342.83812368</v>
      </c>
      <c r="AL724" s="369"/>
      <c r="AM724" s="350">
        <v>153565579.22574845</v>
      </c>
      <c r="AN724" s="350">
        <v>186103987.41182625</v>
      </c>
      <c r="AO724" s="350">
        <v>219077218.4579832</v>
      </c>
      <c r="AP724" s="350">
        <v>252542654.75591546</v>
      </c>
      <c r="AQ724" s="350">
        <v>286508828.2729128</v>
      </c>
      <c r="AR724" s="348">
        <v>1097798268.1243861</v>
      </c>
      <c r="AS724" s="369"/>
      <c r="AT724" s="350">
        <f t="shared" si="315"/>
        <v>30924174.011720419</v>
      </c>
      <c r="AU724" s="350">
        <f t="shared" si="298"/>
        <v>62456677.33424148</v>
      </c>
      <c r="AV724" s="350">
        <f t="shared" si="299"/>
        <v>94466152.399646014</v>
      </c>
      <c r="AW724" s="350">
        <f t="shared" si="300"/>
        <v>126965542.56786817</v>
      </c>
      <c r="AX724" s="350">
        <f t="shared" si="301"/>
        <v>159960378.9727864</v>
      </c>
      <c r="AY724" s="350">
        <f t="shared" si="302"/>
        <v>474772925.28626239</v>
      </c>
      <c r="AZ724" s="365"/>
      <c r="BA724" s="377">
        <f t="shared" si="303"/>
        <v>0</v>
      </c>
      <c r="BB724" s="377">
        <f t="shared" si="304"/>
        <v>0</v>
      </c>
      <c r="BC724" s="377">
        <f t="shared" si="305"/>
        <v>0</v>
      </c>
      <c r="BD724" s="377">
        <f t="shared" si="306"/>
        <v>0</v>
      </c>
      <c r="BE724" s="377">
        <f t="shared" si="307"/>
        <v>0</v>
      </c>
      <c r="BF724" s="377">
        <f t="shared" si="308"/>
        <v>0</v>
      </c>
      <c r="BG724" s="328"/>
    </row>
    <row r="725" spans="2:59">
      <c r="B725" s="332">
        <v>710</v>
      </c>
      <c r="C725" s="350">
        <v>125597430.96026403</v>
      </c>
      <c r="D725" s="350">
        <v>126627581.14838912</v>
      </c>
      <c r="E725" s="350">
        <v>127614566.53920266</v>
      </c>
      <c r="F725" s="350">
        <v>128603897.27843347</v>
      </c>
      <c r="G725" s="350">
        <v>129598646.52857941</v>
      </c>
      <c r="H725" s="348">
        <v>638042122.45486856</v>
      </c>
      <c r="I725" s="369"/>
      <c r="J725" s="350">
        <v>164082412.12416086</v>
      </c>
      <c r="K725" s="350">
        <v>204353954.74809143</v>
      </c>
      <c r="L725" s="350">
        <v>245175911.3861109</v>
      </c>
      <c r="M725" s="350">
        <v>286609900.09498024</v>
      </c>
      <c r="N725" s="350">
        <v>328665877.40642124</v>
      </c>
      <c r="O725" s="348">
        <v>1228888055.7597647</v>
      </c>
      <c r="P725" s="369"/>
      <c r="Q725" s="350">
        <f t="shared" si="309"/>
        <v>38484981.163896829</v>
      </c>
      <c r="R725" s="350">
        <f t="shared" si="310"/>
        <v>77726373.599702314</v>
      </c>
      <c r="S725" s="350">
        <f t="shared" si="311"/>
        <v>117561344.84690824</v>
      </c>
      <c r="T725" s="350">
        <f t="shared" si="312"/>
        <v>158006002.81654677</v>
      </c>
      <c r="U725" s="350">
        <f t="shared" si="313"/>
        <v>199067230.87784183</v>
      </c>
      <c r="V725" s="350">
        <f t="shared" si="314"/>
        <v>590845933.30489612</v>
      </c>
      <c r="W725" s="365"/>
      <c r="X725" s="377">
        <f t="shared" si="292"/>
        <v>0</v>
      </c>
      <c r="Y725" s="377">
        <f t="shared" si="293"/>
        <v>0</v>
      </c>
      <c r="Z725" s="377">
        <f t="shared" si="294"/>
        <v>0</v>
      </c>
      <c r="AA725" s="377">
        <f t="shared" si="295"/>
        <v>0</v>
      </c>
      <c r="AB725" s="377">
        <f t="shared" si="296"/>
        <v>0</v>
      </c>
      <c r="AC725" s="377">
        <f t="shared" si="297"/>
        <v>0</v>
      </c>
      <c r="AD725" s="376"/>
      <c r="AE725" s="332">
        <v>710</v>
      </c>
      <c r="AF725" s="350">
        <v>125610484.11146823</v>
      </c>
      <c r="AG725" s="350">
        <v>126640741.36154571</v>
      </c>
      <c r="AH725" s="350">
        <v>127627829.32825941</v>
      </c>
      <c r="AI725" s="350">
        <v>128617262.88713896</v>
      </c>
      <c r="AJ725" s="350">
        <v>129612115.52007125</v>
      </c>
      <c r="AK725" s="348">
        <v>638108433.20848358</v>
      </c>
      <c r="AL725" s="369"/>
      <c r="AM725" s="350">
        <v>162987713.6110197</v>
      </c>
      <c r="AN725" s="350">
        <v>202116501.31324795</v>
      </c>
      <c r="AO725" s="350">
        <v>241778405.05170175</v>
      </c>
      <c r="AP725" s="350">
        <v>282034583.22173381</v>
      </c>
      <c r="AQ725" s="350">
        <v>322894792.50765508</v>
      </c>
      <c r="AR725" s="348">
        <v>1211811995.7053583</v>
      </c>
      <c r="AS725" s="369"/>
      <c r="AT725" s="350">
        <f t="shared" si="315"/>
        <v>37377229.499551475</v>
      </c>
      <c r="AU725" s="350">
        <f t="shared" si="298"/>
        <v>75475759.951702237</v>
      </c>
      <c r="AV725" s="350">
        <f t="shared" si="299"/>
        <v>114150575.72344235</v>
      </c>
      <c r="AW725" s="350">
        <f t="shared" si="300"/>
        <v>153417320.33459485</v>
      </c>
      <c r="AX725" s="350">
        <f t="shared" si="301"/>
        <v>193282676.98758382</v>
      </c>
      <c r="AY725" s="350">
        <f t="shared" si="302"/>
        <v>573703562.49687469</v>
      </c>
      <c r="AZ725" s="365"/>
      <c r="BA725" s="377">
        <f t="shared" si="303"/>
        <v>0</v>
      </c>
      <c r="BB725" s="377">
        <f t="shared" si="304"/>
        <v>0</v>
      </c>
      <c r="BC725" s="377">
        <f t="shared" si="305"/>
        <v>0</v>
      </c>
      <c r="BD725" s="377">
        <f t="shared" si="306"/>
        <v>0</v>
      </c>
      <c r="BE725" s="377">
        <f t="shared" si="307"/>
        <v>0</v>
      </c>
      <c r="BF725" s="377">
        <f t="shared" si="308"/>
        <v>0</v>
      </c>
      <c r="BG725" s="328"/>
    </row>
    <row r="726" spans="2:59">
      <c r="B726" s="332">
        <v>711</v>
      </c>
      <c r="C726" s="350">
        <v>172911697.87349525</v>
      </c>
      <c r="D726" s="350">
        <v>174329919.70121527</v>
      </c>
      <c r="E726" s="350">
        <v>175688715.96318579</v>
      </c>
      <c r="F726" s="350">
        <v>177050741.09834129</v>
      </c>
      <c r="G726" s="350">
        <v>178420225.97144786</v>
      </c>
      <c r="H726" s="348">
        <v>878401300.60768545</v>
      </c>
      <c r="I726" s="369"/>
      <c r="J726" s="350">
        <v>208084743.93661016</v>
      </c>
      <c r="K726" s="350">
        <v>245395402.26226926</v>
      </c>
      <c r="L726" s="350">
        <v>283189569.35597825</v>
      </c>
      <c r="M726" s="350">
        <v>321544622.91530484</v>
      </c>
      <c r="N726" s="350">
        <v>360471089.0915361</v>
      </c>
      <c r="O726" s="348">
        <v>1418685427.5616987</v>
      </c>
      <c r="P726" s="369"/>
      <c r="Q726" s="350">
        <f t="shared" si="309"/>
        <v>35173046.063114911</v>
      </c>
      <c r="R726" s="350">
        <f t="shared" si="310"/>
        <v>71065482.561053991</v>
      </c>
      <c r="S726" s="350">
        <f t="shared" si="311"/>
        <v>107500853.39279246</v>
      </c>
      <c r="T726" s="350">
        <f t="shared" si="312"/>
        <v>144493881.81696355</v>
      </c>
      <c r="U726" s="350">
        <f t="shared" si="313"/>
        <v>182050863.12008825</v>
      </c>
      <c r="V726" s="350">
        <f t="shared" si="314"/>
        <v>540284126.95401323</v>
      </c>
      <c r="W726" s="365"/>
      <c r="X726" s="377">
        <f t="shared" si="292"/>
        <v>0</v>
      </c>
      <c r="Y726" s="377">
        <f t="shared" si="293"/>
        <v>0</v>
      </c>
      <c r="Z726" s="377">
        <f t="shared" si="294"/>
        <v>0</v>
      </c>
      <c r="AA726" s="377">
        <f t="shared" si="295"/>
        <v>0</v>
      </c>
      <c r="AB726" s="377">
        <f t="shared" si="296"/>
        <v>0</v>
      </c>
      <c r="AC726" s="377">
        <f t="shared" si="297"/>
        <v>0</v>
      </c>
      <c r="AD726" s="376"/>
      <c r="AE726" s="332">
        <v>711</v>
      </c>
      <c r="AF726" s="350">
        <v>140733097.4434236</v>
      </c>
      <c r="AG726" s="350">
        <v>141887390.37520054</v>
      </c>
      <c r="AH726" s="350">
        <v>142993316.74740908</v>
      </c>
      <c r="AI726" s="350">
        <v>144101871.10448021</v>
      </c>
      <c r="AJ726" s="350">
        <v>145216496.95376891</v>
      </c>
      <c r="AK726" s="348">
        <v>714932172.62428236</v>
      </c>
      <c r="AL726" s="369"/>
      <c r="AM726" s="350">
        <v>172094250.4630962</v>
      </c>
      <c r="AN726" s="350">
        <v>205246135.8386068</v>
      </c>
      <c r="AO726" s="350">
        <v>238833670.52319086</v>
      </c>
      <c r="AP726" s="350">
        <v>272920976.40373403</v>
      </c>
      <c r="AQ726" s="350">
        <v>307517109.25870544</v>
      </c>
      <c r="AR726" s="348">
        <v>1196612142.4873333</v>
      </c>
      <c r="AS726" s="369"/>
      <c r="AT726" s="350">
        <f t="shared" si="315"/>
        <v>31361153.019672602</v>
      </c>
      <c r="AU726" s="350">
        <f t="shared" si="298"/>
        <v>63358745.463406265</v>
      </c>
      <c r="AV726" s="350">
        <f t="shared" si="299"/>
        <v>95840353.77578178</v>
      </c>
      <c r="AW726" s="350">
        <f t="shared" si="300"/>
        <v>128819105.29925382</v>
      </c>
      <c r="AX726" s="350">
        <f t="shared" si="301"/>
        <v>162300612.30493653</v>
      </c>
      <c r="AY726" s="350">
        <f t="shared" si="302"/>
        <v>481679969.86305094</v>
      </c>
      <c r="AZ726" s="365"/>
      <c r="BA726" s="377">
        <f t="shared" si="303"/>
        <v>0</v>
      </c>
      <c r="BB726" s="377">
        <f t="shared" si="304"/>
        <v>0</v>
      </c>
      <c r="BC726" s="377">
        <f t="shared" si="305"/>
        <v>0</v>
      </c>
      <c r="BD726" s="377">
        <f t="shared" si="306"/>
        <v>0</v>
      </c>
      <c r="BE726" s="377">
        <f t="shared" si="307"/>
        <v>0</v>
      </c>
      <c r="BF726" s="377">
        <f t="shared" si="308"/>
        <v>0</v>
      </c>
      <c r="BG726" s="328"/>
    </row>
    <row r="727" spans="2:59">
      <c r="B727" s="332">
        <v>712</v>
      </c>
      <c r="C727" s="350">
        <v>141772194.10344934</v>
      </c>
      <c r="D727" s="350">
        <v>142935009.70652306</v>
      </c>
      <c r="E727" s="350">
        <v>144049101.63765466</v>
      </c>
      <c r="F727" s="350">
        <v>145165840.95725995</v>
      </c>
      <c r="G727" s="350">
        <v>146288696.59767964</v>
      </c>
      <c r="H727" s="348">
        <v>720210843.00256658</v>
      </c>
      <c r="I727" s="369"/>
      <c r="J727" s="350">
        <v>177516589.81164831</v>
      </c>
      <c r="K727" s="350">
        <v>215106540.93525785</v>
      </c>
      <c r="L727" s="350">
        <v>253198768.62015703</v>
      </c>
      <c r="M727" s="350">
        <v>291859603.66365325</v>
      </c>
      <c r="N727" s="350">
        <v>331098905.16684312</v>
      </c>
      <c r="O727" s="348">
        <v>1268780408.1975596</v>
      </c>
      <c r="P727" s="369"/>
      <c r="Q727" s="350">
        <f t="shared" si="309"/>
        <v>35744395.708198965</v>
      </c>
      <c r="R727" s="350">
        <f t="shared" si="310"/>
        <v>72171531.228734791</v>
      </c>
      <c r="S727" s="350">
        <f t="shared" si="311"/>
        <v>109149666.98250237</v>
      </c>
      <c r="T727" s="350">
        <f t="shared" si="312"/>
        <v>146693762.7063933</v>
      </c>
      <c r="U727" s="350">
        <f t="shared" si="313"/>
        <v>184810208.56916347</v>
      </c>
      <c r="V727" s="350">
        <f t="shared" si="314"/>
        <v>548569565.19499302</v>
      </c>
      <c r="W727" s="365"/>
      <c r="X727" s="377">
        <f t="shared" si="292"/>
        <v>0</v>
      </c>
      <c r="Y727" s="377">
        <f t="shared" si="293"/>
        <v>0</v>
      </c>
      <c r="Z727" s="377">
        <f t="shared" si="294"/>
        <v>0</v>
      </c>
      <c r="AA727" s="377">
        <f t="shared" si="295"/>
        <v>0</v>
      </c>
      <c r="AB727" s="377">
        <f t="shared" si="296"/>
        <v>0</v>
      </c>
      <c r="AC727" s="377">
        <f t="shared" si="297"/>
        <v>0</v>
      </c>
      <c r="AD727" s="376"/>
      <c r="AE727" s="332">
        <v>712</v>
      </c>
      <c r="AF727" s="350">
        <v>128850542.30159475</v>
      </c>
      <c r="AG727" s="350">
        <v>129907374.51047967</v>
      </c>
      <c r="AH727" s="350">
        <v>130919923.90641685</v>
      </c>
      <c r="AI727" s="350">
        <v>131934879.39787002</v>
      </c>
      <c r="AJ727" s="350">
        <v>132955393.74561939</v>
      </c>
      <c r="AK727" s="348">
        <v>654568113.86198068</v>
      </c>
      <c r="AL727" s="369"/>
      <c r="AM727" s="350">
        <v>162618446.5923149</v>
      </c>
      <c r="AN727" s="350">
        <v>198094107.85201415</v>
      </c>
      <c r="AO727" s="350">
        <v>234046111.44901508</v>
      </c>
      <c r="AP727" s="350">
        <v>270535279.15780133</v>
      </c>
      <c r="AQ727" s="350">
        <v>307570801.46888161</v>
      </c>
      <c r="AR727" s="348">
        <v>1172864746.5200272</v>
      </c>
      <c r="AS727" s="369"/>
      <c r="AT727" s="350">
        <f t="shared" si="315"/>
        <v>33767904.29072015</v>
      </c>
      <c r="AU727" s="350">
        <f t="shared" si="298"/>
        <v>68186733.34153448</v>
      </c>
      <c r="AV727" s="350">
        <f t="shared" si="299"/>
        <v>103126187.54259823</v>
      </c>
      <c r="AW727" s="350">
        <f t="shared" si="300"/>
        <v>138600399.75993133</v>
      </c>
      <c r="AX727" s="350">
        <f t="shared" si="301"/>
        <v>174615407.72326222</v>
      </c>
      <c r="AY727" s="350">
        <f t="shared" si="302"/>
        <v>518296632.65804648</v>
      </c>
      <c r="AZ727" s="365"/>
      <c r="BA727" s="377">
        <f t="shared" si="303"/>
        <v>0</v>
      </c>
      <c r="BB727" s="377">
        <f t="shared" si="304"/>
        <v>0</v>
      </c>
      <c r="BC727" s="377">
        <f t="shared" si="305"/>
        <v>0</v>
      </c>
      <c r="BD727" s="377">
        <f t="shared" si="306"/>
        <v>0</v>
      </c>
      <c r="BE727" s="377">
        <f t="shared" si="307"/>
        <v>0</v>
      </c>
      <c r="BF727" s="377">
        <f t="shared" si="308"/>
        <v>0</v>
      </c>
      <c r="BG727" s="328"/>
    </row>
    <row r="728" spans="2:59">
      <c r="B728" s="332">
        <v>713</v>
      </c>
      <c r="C728" s="350">
        <v>135216265.26928231</v>
      </c>
      <c r="D728" s="350">
        <v>136325309.14095828</v>
      </c>
      <c r="E728" s="350">
        <v>137387882.45476571</v>
      </c>
      <c r="F728" s="350">
        <v>138452980.73465976</v>
      </c>
      <c r="G728" s="350">
        <v>139523912.50018859</v>
      </c>
      <c r="H728" s="348">
        <v>686906350.09985471</v>
      </c>
      <c r="I728" s="369"/>
      <c r="J728" s="350">
        <v>169527687.82476747</v>
      </c>
      <c r="K728" s="350">
        <v>205617946.78779617</v>
      </c>
      <c r="L728" s="350">
        <v>242190870.97322053</v>
      </c>
      <c r="M728" s="350">
        <v>279309816.71570134</v>
      </c>
      <c r="N728" s="350">
        <v>316984228.72680992</v>
      </c>
      <c r="O728" s="348">
        <v>1213630551.0282955</v>
      </c>
      <c r="P728" s="369"/>
      <c r="Q728" s="350">
        <f t="shared" si="309"/>
        <v>34311422.555485159</v>
      </c>
      <c r="R728" s="350">
        <f t="shared" si="310"/>
        <v>69292637.64683789</v>
      </c>
      <c r="S728" s="350">
        <f t="shared" si="311"/>
        <v>104802988.51845482</v>
      </c>
      <c r="T728" s="350">
        <f t="shared" si="312"/>
        <v>140856835.98104158</v>
      </c>
      <c r="U728" s="350">
        <f t="shared" si="313"/>
        <v>177460316.22662133</v>
      </c>
      <c r="V728" s="350">
        <f t="shared" si="314"/>
        <v>526724200.92844081</v>
      </c>
      <c r="W728" s="365"/>
      <c r="X728" s="377">
        <f t="shared" si="292"/>
        <v>0</v>
      </c>
      <c r="Y728" s="377">
        <f t="shared" si="293"/>
        <v>0</v>
      </c>
      <c r="Z728" s="377">
        <f t="shared" si="294"/>
        <v>0</v>
      </c>
      <c r="AA728" s="377">
        <f t="shared" si="295"/>
        <v>0</v>
      </c>
      <c r="AB728" s="377">
        <f t="shared" si="296"/>
        <v>0</v>
      </c>
      <c r="AC728" s="377">
        <f t="shared" si="297"/>
        <v>0</v>
      </c>
      <c r="AD728" s="376"/>
      <c r="AE728" s="332">
        <v>713</v>
      </c>
      <c r="AF728" s="350">
        <v>124061927.40348622</v>
      </c>
      <c r="AG728" s="350">
        <v>125079483.39071253</v>
      </c>
      <c r="AH728" s="350">
        <v>126054402.29603755</v>
      </c>
      <c r="AI728" s="350">
        <v>127031637.87649554</v>
      </c>
      <c r="AJ728" s="350">
        <v>128014225.72333872</v>
      </c>
      <c r="AK728" s="348">
        <v>630241676.69007063</v>
      </c>
      <c r="AL728" s="369"/>
      <c r="AM728" s="350">
        <v>155563542.6558944</v>
      </c>
      <c r="AN728" s="350">
        <v>188691521.46972382</v>
      </c>
      <c r="AO728" s="350">
        <v>222262571.72658002</v>
      </c>
      <c r="AP728" s="350">
        <v>256334831.62773982</v>
      </c>
      <c r="AQ728" s="350">
        <v>290916969.51925731</v>
      </c>
      <c r="AR728" s="348">
        <v>1113769436.9991953</v>
      </c>
      <c r="AS728" s="369"/>
      <c r="AT728" s="350">
        <f t="shared" si="315"/>
        <v>31501615.252408177</v>
      </c>
      <c r="AU728" s="350">
        <f t="shared" si="298"/>
        <v>63612038.079011291</v>
      </c>
      <c r="AV728" s="350">
        <f t="shared" si="299"/>
        <v>96208169.430542469</v>
      </c>
      <c r="AW728" s="350">
        <f t="shared" si="300"/>
        <v>129303193.75124428</v>
      </c>
      <c r="AX728" s="350">
        <f t="shared" si="301"/>
        <v>162902743.79591858</v>
      </c>
      <c r="AY728" s="350">
        <f t="shared" si="302"/>
        <v>483527760.30912471</v>
      </c>
      <c r="AZ728" s="365"/>
      <c r="BA728" s="377">
        <f t="shared" si="303"/>
        <v>0</v>
      </c>
      <c r="BB728" s="377">
        <f t="shared" si="304"/>
        <v>0</v>
      </c>
      <c r="BC728" s="377">
        <f t="shared" si="305"/>
        <v>0</v>
      </c>
      <c r="BD728" s="377">
        <f t="shared" si="306"/>
        <v>0</v>
      </c>
      <c r="BE728" s="377">
        <f t="shared" si="307"/>
        <v>0</v>
      </c>
      <c r="BF728" s="377">
        <f t="shared" si="308"/>
        <v>0</v>
      </c>
      <c r="BG728" s="328"/>
    </row>
    <row r="729" spans="2:59">
      <c r="B729" s="332">
        <v>714</v>
      </c>
      <c r="C729" s="350">
        <v>109603619.11521411</v>
      </c>
      <c r="D729" s="350">
        <v>110502588.05102341</v>
      </c>
      <c r="E729" s="350">
        <v>111363888.87557003</v>
      </c>
      <c r="F729" s="350">
        <v>112227236.38747835</v>
      </c>
      <c r="G729" s="350">
        <v>113095312.40698417</v>
      </c>
      <c r="H729" s="348">
        <v>556792644.83627009</v>
      </c>
      <c r="I729" s="369"/>
      <c r="J729" s="350">
        <v>139321967.20985121</v>
      </c>
      <c r="K729" s="350">
        <v>170518169.42180565</v>
      </c>
      <c r="L729" s="350">
        <v>202134987.48912638</v>
      </c>
      <c r="M729" s="350">
        <v>234224574.55207717</v>
      </c>
      <c r="N729" s="350">
        <v>266794927.01568577</v>
      </c>
      <c r="O729" s="348">
        <v>1012994625.6885462</v>
      </c>
      <c r="P729" s="369"/>
      <c r="Q729" s="350">
        <f t="shared" si="309"/>
        <v>29718348.094637096</v>
      </c>
      <c r="R729" s="350">
        <f t="shared" si="310"/>
        <v>60015581.370782241</v>
      </c>
      <c r="S729" s="350">
        <f t="shared" si="311"/>
        <v>90771098.613556355</v>
      </c>
      <c r="T729" s="350">
        <f t="shared" si="312"/>
        <v>121997338.16459882</v>
      </c>
      <c r="U729" s="350">
        <f t="shared" si="313"/>
        <v>153699614.60870159</v>
      </c>
      <c r="V729" s="350">
        <f t="shared" si="314"/>
        <v>456201980.85227609</v>
      </c>
      <c r="W729" s="365"/>
      <c r="X729" s="377">
        <f t="shared" si="292"/>
        <v>0</v>
      </c>
      <c r="Y729" s="377">
        <f t="shared" si="293"/>
        <v>0</v>
      </c>
      <c r="Z729" s="377">
        <f t="shared" si="294"/>
        <v>0</v>
      </c>
      <c r="AA729" s="377">
        <f t="shared" si="295"/>
        <v>0</v>
      </c>
      <c r="AB729" s="377">
        <f t="shared" si="296"/>
        <v>0</v>
      </c>
      <c r="AC729" s="377">
        <f t="shared" si="297"/>
        <v>0</v>
      </c>
      <c r="AD729" s="376"/>
      <c r="AE729" s="332">
        <v>714</v>
      </c>
      <c r="AF729" s="350">
        <v>115793682.61722812</v>
      </c>
      <c r="AG729" s="350">
        <v>116743422.4568079</v>
      </c>
      <c r="AH729" s="350">
        <v>117653366.81011128</v>
      </c>
      <c r="AI729" s="350">
        <v>118565473.44116332</v>
      </c>
      <c r="AJ729" s="350">
        <v>119482575.63086951</v>
      </c>
      <c r="AK729" s="348">
        <v>588238520.9561801</v>
      </c>
      <c r="AL729" s="369"/>
      <c r="AM729" s="350">
        <v>140988450.14997375</v>
      </c>
      <c r="AN729" s="350">
        <v>167642129.63426197</v>
      </c>
      <c r="AO729" s="350">
        <v>194644826.73551777</v>
      </c>
      <c r="AP729" s="350">
        <v>222049045.27881315</v>
      </c>
      <c r="AQ729" s="350">
        <v>249862126.97884315</v>
      </c>
      <c r="AR729" s="348">
        <v>975186578.77740979</v>
      </c>
      <c r="AS729" s="369"/>
      <c r="AT729" s="350">
        <f t="shared" si="315"/>
        <v>25194767.53274563</v>
      </c>
      <c r="AU729" s="350">
        <f t="shared" si="298"/>
        <v>50898707.177454069</v>
      </c>
      <c r="AV729" s="350">
        <f t="shared" si="299"/>
        <v>76991459.925406486</v>
      </c>
      <c r="AW729" s="350">
        <f t="shared" si="300"/>
        <v>103483571.83764984</v>
      </c>
      <c r="AX729" s="350">
        <f t="shared" si="301"/>
        <v>130379551.34797364</v>
      </c>
      <c r="AY729" s="350">
        <f t="shared" si="302"/>
        <v>386948057.8212297</v>
      </c>
      <c r="AZ729" s="365"/>
      <c r="BA729" s="377">
        <f t="shared" si="303"/>
        <v>0</v>
      </c>
      <c r="BB729" s="377">
        <f t="shared" si="304"/>
        <v>0</v>
      </c>
      <c r="BC729" s="377">
        <f t="shared" si="305"/>
        <v>0</v>
      </c>
      <c r="BD729" s="377">
        <f t="shared" si="306"/>
        <v>0</v>
      </c>
      <c r="BE729" s="377">
        <f t="shared" si="307"/>
        <v>0</v>
      </c>
      <c r="BF729" s="377">
        <f t="shared" si="308"/>
        <v>0</v>
      </c>
      <c r="BG729" s="328"/>
    </row>
    <row r="730" spans="2:59">
      <c r="B730" s="332">
        <v>715</v>
      </c>
      <c r="C730" s="350">
        <v>123177844.99351671</v>
      </c>
      <c r="D730" s="350">
        <v>124188149.73639846</v>
      </c>
      <c r="E730" s="350">
        <v>125156121.23510659</v>
      </c>
      <c r="F730" s="350">
        <v>126126392.90000112</v>
      </c>
      <c r="G730" s="350">
        <v>127101978.69029218</v>
      </c>
      <c r="H730" s="348">
        <v>625750487.55531502</v>
      </c>
      <c r="I730" s="369"/>
      <c r="J730" s="350">
        <v>159597702.47555503</v>
      </c>
      <c r="K730" s="350">
        <v>197741206.62955624</v>
      </c>
      <c r="L730" s="350">
        <v>236404065.95048419</v>
      </c>
      <c r="M730" s="350">
        <v>275646157.26322788</v>
      </c>
      <c r="N730" s="350">
        <v>315477008.15258253</v>
      </c>
      <c r="O730" s="348">
        <v>1184866140.471406</v>
      </c>
      <c r="P730" s="369"/>
      <c r="Q730" s="350">
        <f t="shared" si="309"/>
        <v>36419857.482038319</v>
      </c>
      <c r="R730" s="350">
        <f t="shared" si="310"/>
        <v>73553056.89315778</v>
      </c>
      <c r="S730" s="350">
        <f t="shared" si="311"/>
        <v>111247944.7153776</v>
      </c>
      <c r="T730" s="350">
        <f t="shared" si="312"/>
        <v>149519764.36322677</v>
      </c>
      <c r="U730" s="350">
        <f t="shared" si="313"/>
        <v>188375029.46229035</v>
      </c>
      <c r="V730" s="350">
        <f t="shared" si="314"/>
        <v>559115652.91609097</v>
      </c>
      <c r="W730" s="365"/>
      <c r="X730" s="377">
        <f t="shared" si="292"/>
        <v>0</v>
      </c>
      <c r="Y730" s="377">
        <f t="shared" si="293"/>
        <v>0</v>
      </c>
      <c r="Z730" s="377">
        <f t="shared" si="294"/>
        <v>0</v>
      </c>
      <c r="AA730" s="377">
        <f t="shared" si="295"/>
        <v>0</v>
      </c>
      <c r="AB730" s="377">
        <f t="shared" si="296"/>
        <v>0</v>
      </c>
      <c r="AC730" s="377">
        <f t="shared" si="297"/>
        <v>0</v>
      </c>
      <c r="AD730" s="376"/>
      <c r="AE730" s="332">
        <v>715</v>
      </c>
      <c r="AF730" s="350">
        <v>140672352.88213059</v>
      </c>
      <c r="AG730" s="350">
        <v>141826147.58698708</v>
      </c>
      <c r="AH730" s="350">
        <v>142931596.60871071</v>
      </c>
      <c r="AI730" s="350">
        <v>144039672.48098108</v>
      </c>
      <c r="AJ730" s="350">
        <v>145153817.22483373</v>
      </c>
      <c r="AK730" s="348">
        <v>714623586.78364313</v>
      </c>
      <c r="AL730" s="369"/>
      <c r="AM730" s="350">
        <v>182566074.56892607</v>
      </c>
      <c r="AN730" s="350">
        <v>226430547.57138991</v>
      </c>
      <c r="AO730" s="350">
        <v>270892728.33049679</v>
      </c>
      <c r="AP730" s="350">
        <v>316021123.66273677</v>
      </c>
      <c r="AQ730" s="350">
        <v>361826667.65595114</v>
      </c>
      <c r="AR730" s="348">
        <v>1357737141.7895007</v>
      </c>
      <c r="AS730" s="369"/>
      <c r="AT730" s="350">
        <f t="shared" si="315"/>
        <v>41893721.686795473</v>
      </c>
      <c r="AU730" s="350">
        <f t="shared" si="298"/>
        <v>84604399.984402835</v>
      </c>
      <c r="AV730" s="350">
        <f t="shared" si="299"/>
        <v>127961131.72178608</v>
      </c>
      <c r="AW730" s="350">
        <f t="shared" si="300"/>
        <v>171981451.18175569</v>
      </c>
      <c r="AX730" s="350">
        <f t="shared" si="301"/>
        <v>216672850.43111742</v>
      </c>
      <c r="AY730" s="350">
        <f t="shared" si="302"/>
        <v>643113555.00585759</v>
      </c>
      <c r="AZ730" s="365"/>
      <c r="BA730" s="377">
        <f t="shared" si="303"/>
        <v>0</v>
      </c>
      <c r="BB730" s="377">
        <f t="shared" si="304"/>
        <v>0</v>
      </c>
      <c r="BC730" s="377">
        <f t="shared" si="305"/>
        <v>0</v>
      </c>
      <c r="BD730" s="377">
        <f t="shared" si="306"/>
        <v>0</v>
      </c>
      <c r="BE730" s="377">
        <f t="shared" si="307"/>
        <v>0</v>
      </c>
      <c r="BF730" s="377">
        <f t="shared" si="308"/>
        <v>0</v>
      </c>
      <c r="BG730" s="328"/>
    </row>
    <row r="731" spans="2:59">
      <c r="B731" s="332">
        <v>716</v>
      </c>
      <c r="C731" s="350">
        <v>154978455.44074562</v>
      </c>
      <c r="D731" s="350">
        <v>156249588.80555251</v>
      </c>
      <c r="E731" s="350">
        <v>157467459.82601357</v>
      </c>
      <c r="F731" s="350">
        <v>158688224.84257305</v>
      </c>
      <c r="G731" s="350">
        <v>159915675.92305923</v>
      </c>
      <c r="H731" s="348">
        <v>787299404.83794403</v>
      </c>
      <c r="I731" s="369"/>
      <c r="J731" s="350">
        <v>196544255.3796227</v>
      </c>
      <c r="K731" s="350">
        <v>240193982.15661889</v>
      </c>
      <c r="L731" s="350">
        <v>284431477.85407716</v>
      </c>
      <c r="M731" s="350">
        <v>329330295.97021878</v>
      </c>
      <c r="N731" s="350">
        <v>374901662.33639848</v>
      </c>
      <c r="O731" s="348">
        <v>1425401673.6969361</v>
      </c>
      <c r="P731" s="369"/>
      <c r="Q731" s="350">
        <f t="shared" si="309"/>
        <v>41565799.938877076</v>
      </c>
      <c r="R731" s="350">
        <f t="shared" si="310"/>
        <v>83944393.351066381</v>
      </c>
      <c r="S731" s="350">
        <f t="shared" si="311"/>
        <v>126964018.0280636</v>
      </c>
      <c r="T731" s="350">
        <f t="shared" si="312"/>
        <v>170642071.12764573</v>
      </c>
      <c r="U731" s="350">
        <f t="shared" si="313"/>
        <v>214985986.41333926</v>
      </c>
      <c r="V731" s="350">
        <f t="shared" si="314"/>
        <v>638102268.8589921</v>
      </c>
      <c r="W731" s="365"/>
      <c r="X731" s="377">
        <f t="shared" si="292"/>
        <v>0</v>
      </c>
      <c r="Y731" s="377">
        <f t="shared" si="293"/>
        <v>0</v>
      </c>
      <c r="Z731" s="377">
        <f t="shared" si="294"/>
        <v>0</v>
      </c>
      <c r="AA731" s="377">
        <f t="shared" si="295"/>
        <v>0</v>
      </c>
      <c r="AB731" s="377">
        <f t="shared" si="296"/>
        <v>0</v>
      </c>
      <c r="AC731" s="377">
        <f t="shared" si="297"/>
        <v>0</v>
      </c>
      <c r="AD731" s="376"/>
      <c r="AE731" s="332">
        <v>716</v>
      </c>
      <c r="AF731" s="350">
        <v>133034040.88715912</v>
      </c>
      <c r="AG731" s="350">
        <v>134125186.15342104</v>
      </c>
      <c r="AH731" s="350">
        <v>135170610.83952034</v>
      </c>
      <c r="AI731" s="350">
        <v>136218519.74185604</v>
      </c>
      <c r="AJ731" s="350">
        <v>137272167.98453593</v>
      </c>
      <c r="AK731" s="348">
        <v>675820525.60649252</v>
      </c>
      <c r="AL731" s="369"/>
      <c r="AM731" s="350">
        <v>169901607.04428151</v>
      </c>
      <c r="AN731" s="350">
        <v>208573007.18846753</v>
      </c>
      <c r="AO731" s="350">
        <v>247767133.10708243</v>
      </c>
      <c r="AP731" s="350">
        <v>287547619.87453449</v>
      </c>
      <c r="AQ731" s="350">
        <v>327924314.87416273</v>
      </c>
      <c r="AR731" s="348">
        <v>1241713682.0885286</v>
      </c>
      <c r="AS731" s="369"/>
      <c r="AT731" s="350">
        <f t="shared" si="315"/>
        <v>36867566.157122388</v>
      </c>
      <c r="AU731" s="350">
        <f t="shared" si="298"/>
        <v>74447821.035046488</v>
      </c>
      <c r="AV731" s="350">
        <f t="shared" si="299"/>
        <v>112596522.26756209</v>
      </c>
      <c r="AW731" s="350">
        <f t="shared" si="300"/>
        <v>151329100.13267845</v>
      </c>
      <c r="AX731" s="350">
        <f t="shared" si="301"/>
        <v>190652146.8896268</v>
      </c>
      <c r="AY731" s="350">
        <f t="shared" si="302"/>
        <v>565893156.48203611</v>
      </c>
      <c r="AZ731" s="365"/>
      <c r="BA731" s="377">
        <f t="shared" si="303"/>
        <v>0</v>
      </c>
      <c r="BB731" s="377">
        <f t="shared" si="304"/>
        <v>0</v>
      </c>
      <c r="BC731" s="377">
        <f t="shared" si="305"/>
        <v>0</v>
      </c>
      <c r="BD731" s="377">
        <f t="shared" si="306"/>
        <v>0</v>
      </c>
      <c r="BE731" s="377">
        <f t="shared" si="307"/>
        <v>0</v>
      </c>
      <c r="BF731" s="377">
        <f t="shared" si="308"/>
        <v>0</v>
      </c>
      <c r="BG731" s="328"/>
    </row>
    <row r="732" spans="2:59">
      <c r="B732" s="332">
        <v>717</v>
      </c>
      <c r="C732" s="350">
        <v>119489639.79534391</v>
      </c>
      <c r="D732" s="350">
        <v>120469693.87744622</v>
      </c>
      <c r="E732" s="350">
        <v>121408682.26223963</v>
      </c>
      <c r="F732" s="350">
        <v>122349901.94137901</v>
      </c>
      <c r="G732" s="350">
        <v>123296276.62976128</v>
      </c>
      <c r="H732" s="348">
        <v>607014194.50617003</v>
      </c>
      <c r="I732" s="369"/>
      <c r="J732" s="350">
        <v>150165864.72583604</v>
      </c>
      <c r="K732" s="350">
        <v>182425874.81057283</v>
      </c>
      <c r="L732" s="350">
        <v>215117970.95041284</v>
      </c>
      <c r="M732" s="350">
        <v>248298289.73300201</v>
      </c>
      <c r="N732" s="350">
        <v>281975241.70129055</v>
      </c>
      <c r="O732" s="348">
        <v>1077983241.9211144</v>
      </c>
      <c r="P732" s="369"/>
      <c r="Q732" s="350">
        <f t="shared" si="309"/>
        <v>30676224.930492133</v>
      </c>
      <c r="R732" s="350">
        <f t="shared" si="310"/>
        <v>61956180.933126613</v>
      </c>
      <c r="S732" s="350">
        <f t="shared" si="311"/>
        <v>93709288.688173205</v>
      </c>
      <c r="T732" s="350">
        <f t="shared" si="312"/>
        <v>125948387.791623</v>
      </c>
      <c r="U732" s="350">
        <f t="shared" si="313"/>
        <v>158678965.07152927</v>
      </c>
      <c r="V732" s="350">
        <f t="shared" si="314"/>
        <v>470969047.41494441</v>
      </c>
      <c r="W732" s="365"/>
      <c r="X732" s="377">
        <f t="shared" si="292"/>
        <v>0</v>
      </c>
      <c r="Y732" s="377">
        <f t="shared" si="293"/>
        <v>0</v>
      </c>
      <c r="Z732" s="377">
        <f t="shared" si="294"/>
        <v>0</v>
      </c>
      <c r="AA732" s="377">
        <f t="shared" si="295"/>
        <v>0</v>
      </c>
      <c r="AB732" s="377">
        <f t="shared" si="296"/>
        <v>0</v>
      </c>
      <c r="AC732" s="377">
        <f t="shared" si="297"/>
        <v>0</v>
      </c>
      <c r="AD732" s="376"/>
      <c r="AE732" s="332">
        <v>717</v>
      </c>
      <c r="AF732" s="350">
        <v>143679908.96567357</v>
      </c>
      <c r="AG732" s="350">
        <v>144858371.64694941</v>
      </c>
      <c r="AH732" s="350">
        <v>145987455.02085543</v>
      </c>
      <c r="AI732" s="350">
        <v>147119221.40702131</v>
      </c>
      <c r="AJ732" s="350">
        <v>148257186.41643196</v>
      </c>
      <c r="AK732" s="348">
        <v>729902143.45693159</v>
      </c>
      <c r="AL732" s="369"/>
      <c r="AM732" s="350">
        <v>177762314.1136564</v>
      </c>
      <c r="AN732" s="350">
        <v>213696518.5305942</v>
      </c>
      <c r="AO732" s="350">
        <v>250107072.55335179</v>
      </c>
      <c r="AP732" s="350">
        <v>287060303.90393424</v>
      </c>
      <c r="AQ732" s="350">
        <v>324565824.65167487</v>
      </c>
      <c r="AR732" s="348">
        <v>1253192033.7532115</v>
      </c>
      <c r="AS732" s="369"/>
      <c r="AT732" s="350">
        <f t="shared" si="315"/>
        <v>34082405.147982836</v>
      </c>
      <c r="AU732" s="350">
        <f t="shared" si="298"/>
        <v>68838146.883644789</v>
      </c>
      <c r="AV732" s="350">
        <f t="shared" si="299"/>
        <v>104119617.53249636</v>
      </c>
      <c r="AW732" s="350">
        <f t="shared" si="300"/>
        <v>139941082.49691293</v>
      </c>
      <c r="AX732" s="350">
        <f t="shared" si="301"/>
        <v>176308638.2352429</v>
      </c>
      <c r="AY732" s="350">
        <f t="shared" si="302"/>
        <v>523289890.29627991</v>
      </c>
      <c r="AZ732" s="365"/>
      <c r="BA732" s="377">
        <f t="shared" si="303"/>
        <v>0</v>
      </c>
      <c r="BB732" s="377">
        <f t="shared" si="304"/>
        <v>0</v>
      </c>
      <c r="BC732" s="377">
        <f t="shared" si="305"/>
        <v>0</v>
      </c>
      <c r="BD732" s="377">
        <f t="shared" si="306"/>
        <v>0</v>
      </c>
      <c r="BE732" s="377">
        <f t="shared" si="307"/>
        <v>0</v>
      </c>
      <c r="BF732" s="377">
        <f t="shared" si="308"/>
        <v>0</v>
      </c>
      <c r="BG732" s="328"/>
    </row>
    <row r="733" spans="2:59">
      <c r="B733" s="332">
        <v>718</v>
      </c>
      <c r="C733" s="350">
        <v>131599661.29356991</v>
      </c>
      <c r="D733" s="350">
        <v>132679041.77772695</v>
      </c>
      <c r="E733" s="350">
        <v>133713194.64327288</v>
      </c>
      <c r="F733" s="350">
        <v>134749804.9401131</v>
      </c>
      <c r="G733" s="350">
        <v>135792092.6954467</v>
      </c>
      <c r="H733" s="348">
        <v>668533795.3501296</v>
      </c>
      <c r="I733" s="369"/>
      <c r="J733" s="350">
        <v>161706462.79193264</v>
      </c>
      <c r="K733" s="350">
        <v>193499442.85014078</v>
      </c>
      <c r="L733" s="350">
        <v>225711786.73378408</v>
      </c>
      <c r="M733" s="350">
        <v>258403781.54854512</v>
      </c>
      <c r="N733" s="350">
        <v>291584034.47990918</v>
      </c>
      <c r="O733" s="348">
        <v>1130905508.4043117</v>
      </c>
      <c r="P733" s="369"/>
      <c r="Q733" s="350">
        <f t="shared" si="309"/>
        <v>30106801.498362735</v>
      </c>
      <c r="R733" s="350">
        <f t="shared" si="310"/>
        <v>60820401.072413832</v>
      </c>
      <c r="S733" s="350">
        <f t="shared" si="311"/>
        <v>91998592.090511203</v>
      </c>
      <c r="T733" s="350">
        <f t="shared" si="312"/>
        <v>123653976.60843202</v>
      </c>
      <c r="U733" s="350">
        <f t="shared" si="313"/>
        <v>155791941.78446248</v>
      </c>
      <c r="V733" s="350">
        <f t="shared" si="314"/>
        <v>462371713.05418205</v>
      </c>
      <c r="W733" s="365"/>
      <c r="X733" s="377">
        <f t="shared" si="292"/>
        <v>0</v>
      </c>
      <c r="Y733" s="377">
        <f t="shared" si="293"/>
        <v>0</v>
      </c>
      <c r="Z733" s="377">
        <f t="shared" si="294"/>
        <v>0</v>
      </c>
      <c r="AA733" s="377">
        <f t="shared" si="295"/>
        <v>0</v>
      </c>
      <c r="AB733" s="377">
        <f t="shared" si="296"/>
        <v>0</v>
      </c>
      <c r="AC733" s="377">
        <f t="shared" si="297"/>
        <v>0</v>
      </c>
      <c r="AD733" s="376"/>
      <c r="AE733" s="332">
        <v>718</v>
      </c>
      <c r="AF733" s="350">
        <v>139462796.18483871</v>
      </c>
      <c r="AG733" s="350">
        <v>140606670.10509205</v>
      </c>
      <c r="AH733" s="350">
        <v>141702614.03757575</v>
      </c>
      <c r="AI733" s="350">
        <v>142801162.23390305</v>
      </c>
      <c r="AJ733" s="350">
        <v>143905727.11924711</v>
      </c>
      <c r="AK733" s="348">
        <v>708478969.68065667</v>
      </c>
      <c r="AL733" s="369"/>
      <c r="AM733" s="350">
        <v>178660379.99418455</v>
      </c>
      <c r="AN733" s="350">
        <v>219780666.51807463</v>
      </c>
      <c r="AO733" s="350">
        <v>261457723.9235684</v>
      </c>
      <c r="AP733" s="350">
        <v>303758493.10094428</v>
      </c>
      <c r="AQ733" s="350">
        <v>346693398.58365089</v>
      </c>
      <c r="AR733" s="348">
        <v>1310350662.1204228</v>
      </c>
      <c r="AS733" s="369"/>
      <c r="AT733" s="350">
        <f t="shared" si="315"/>
        <v>39197583.809345841</v>
      </c>
      <c r="AU733" s="350">
        <f t="shared" si="298"/>
        <v>79173996.412982583</v>
      </c>
      <c r="AV733" s="350">
        <f t="shared" si="299"/>
        <v>119755109.88599265</v>
      </c>
      <c r="AW733" s="350">
        <f t="shared" si="300"/>
        <v>160957330.86704123</v>
      </c>
      <c r="AX733" s="350">
        <f t="shared" si="301"/>
        <v>202787671.46440378</v>
      </c>
      <c r="AY733" s="350">
        <f t="shared" si="302"/>
        <v>601871692.43976617</v>
      </c>
      <c r="AZ733" s="365"/>
      <c r="BA733" s="377">
        <f t="shared" si="303"/>
        <v>0</v>
      </c>
      <c r="BB733" s="377">
        <f t="shared" si="304"/>
        <v>0</v>
      </c>
      <c r="BC733" s="377">
        <f t="shared" si="305"/>
        <v>0</v>
      </c>
      <c r="BD733" s="377">
        <f t="shared" si="306"/>
        <v>0</v>
      </c>
      <c r="BE733" s="377">
        <f t="shared" si="307"/>
        <v>0</v>
      </c>
      <c r="BF733" s="377">
        <f t="shared" si="308"/>
        <v>0</v>
      </c>
      <c r="BG733" s="328"/>
    </row>
    <row r="734" spans="2:59">
      <c r="B734" s="332">
        <v>719</v>
      </c>
      <c r="C734" s="350">
        <v>127195262.50716811</v>
      </c>
      <c r="D734" s="350">
        <v>128238518.11039647</v>
      </c>
      <c r="E734" s="350">
        <v>129238059.78028135</v>
      </c>
      <c r="F734" s="350">
        <v>130239976.63575174</v>
      </c>
      <c r="G734" s="350">
        <v>131247380.93561481</v>
      </c>
      <c r="H734" s="348">
        <v>646159197.96921241</v>
      </c>
      <c r="I734" s="369"/>
      <c r="J734" s="350">
        <v>164691005.13496959</v>
      </c>
      <c r="K734" s="350">
        <v>203945337.21836585</v>
      </c>
      <c r="L734" s="350">
        <v>243733939.2613185</v>
      </c>
      <c r="M734" s="350">
        <v>284118593.04532701</v>
      </c>
      <c r="N734" s="350">
        <v>325109113.96232682</v>
      </c>
      <c r="O734" s="348">
        <v>1221597988.6223078</v>
      </c>
      <c r="P734" s="369"/>
      <c r="Q734" s="350">
        <f t="shared" si="309"/>
        <v>37495742.627801478</v>
      </c>
      <c r="R734" s="350">
        <f t="shared" si="310"/>
        <v>75706819.107969373</v>
      </c>
      <c r="S734" s="350">
        <f t="shared" si="311"/>
        <v>114495879.48103715</v>
      </c>
      <c r="T734" s="350">
        <f t="shared" si="312"/>
        <v>153878616.40957528</v>
      </c>
      <c r="U734" s="350">
        <f t="shared" si="313"/>
        <v>193861733.026712</v>
      </c>
      <c r="V734" s="350">
        <f t="shared" si="314"/>
        <v>575438790.65309536</v>
      </c>
      <c r="W734" s="365"/>
      <c r="X734" s="377">
        <f t="shared" si="292"/>
        <v>0</v>
      </c>
      <c r="Y734" s="377">
        <f t="shared" si="293"/>
        <v>0</v>
      </c>
      <c r="Z734" s="377">
        <f t="shared" si="294"/>
        <v>0</v>
      </c>
      <c r="AA734" s="377">
        <f t="shared" si="295"/>
        <v>0</v>
      </c>
      <c r="AB734" s="377">
        <f t="shared" si="296"/>
        <v>0</v>
      </c>
      <c r="AC734" s="377">
        <f t="shared" si="297"/>
        <v>0</v>
      </c>
      <c r="AD734" s="376"/>
      <c r="AE734" s="332">
        <v>719</v>
      </c>
      <c r="AF734" s="350">
        <v>122973126.67368969</v>
      </c>
      <c r="AG734" s="350">
        <v>123981752.31681539</v>
      </c>
      <c r="AH734" s="350">
        <v>124948115.07249942</v>
      </c>
      <c r="AI734" s="350">
        <v>125916774.17155449</v>
      </c>
      <c r="AJ734" s="350">
        <v>126890738.5640703</v>
      </c>
      <c r="AK734" s="348">
        <v>624710506.79862928</v>
      </c>
      <c r="AL734" s="369"/>
      <c r="AM734" s="350">
        <v>160463579.41030368</v>
      </c>
      <c r="AN734" s="350">
        <v>199703658.84361085</v>
      </c>
      <c r="AO734" s="350">
        <v>239479779.43435365</v>
      </c>
      <c r="AP734" s="350">
        <v>279852192.29380035</v>
      </c>
      <c r="AQ734" s="350">
        <v>320830612.49279112</v>
      </c>
      <c r="AR734" s="348">
        <v>1200329822.4748597</v>
      </c>
      <c r="AS734" s="369"/>
      <c r="AT734" s="350">
        <f t="shared" si="315"/>
        <v>37490452.736613989</v>
      </c>
      <c r="AU734" s="350">
        <f t="shared" si="298"/>
        <v>75721906.526795462</v>
      </c>
      <c r="AV734" s="350">
        <f t="shared" si="299"/>
        <v>114531664.36185423</v>
      </c>
      <c r="AW734" s="350">
        <f t="shared" si="300"/>
        <v>153935418.12224585</v>
      </c>
      <c r="AX734" s="350">
        <f t="shared" si="301"/>
        <v>193939873.92872083</v>
      </c>
      <c r="AY734" s="350">
        <f t="shared" si="302"/>
        <v>575619315.67623043</v>
      </c>
      <c r="AZ734" s="365"/>
      <c r="BA734" s="377">
        <f t="shared" si="303"/>
        <v>0</v>
      </c>
      <c r="BB734" s="377">
        <f t="shared" si="304"/>
        <v>0</v>
      </c>
      <c r="BC734" s="377">
        <f t="shared" si="305"/>
        <v>0</v>
      </c>
      <c r="BD734" s="377">
        <f t="shared" si="306"/>
        <v>0</v>
      </c>
      <c r="BE734" s="377">
        <f t="shared" si="307"/>
        <v>0</v>
      </c>
      <c r="BF734" s="377">
        <f t="shared" si="308"/>
        <v>0</v>
      </c>
      <c r="BG734" s="328"/>
    </row>
    <row r="735" spans="2:59">
      <c r="B735" s="332">
        <v>720</v>
      </c>
      <c r="C735" s="350">
        <v>128498057.29193933</v>
      </c>
      <c r="D735" s="350">
        <v>129551998.41860843</v>
      </c>
      <c r="E735" s="350">
        <v>130561777.87289667</v>
      </c>
      <c r="F735" s="350">
        <v>131573956.84055865</v>
      </c>
      <c r="G735" s="350">
        <v>132591679.45764634</v>
      </c>
      <c r="H735" s="348">
        <v>652777469.88164937</v>
      </c>
      <c r="I735" s="369"/>
      <c r="J735" s="350">
        <v>163678937.67224613</v>
      </c>
      <c r="K735" s="350">
        <v>200619272.03209436</v>
      </c>
      <c r="L735" s="350">
        <v>238058281.15202031</v>
      </c>
      <c r="M735" s="350">
        <v>276057251.97580749</v>
      </c>
      <c r="N735" s="350">
        <v>314625623.18545693</v>
      </c>
      <c r="O735" s="348">
        <v>1193039366.0176253</v>
      </c>
      <c r="P735" s="369"/>
      <c r="Q735" s="350">
        <f t="shared" si="309"/>
        <v>35180880.380306795</v>
      </c>
      <c r="R735" s="350">
        <f t="shared" si="310"/>
        <v>71067273.613485932</v>
      </c>
      <c r="S735" s="350">
        <f t="shared" si="311"/>
        <v>107496503.27912363</v>
      </c>
      <c r="T735" s="350">
        <f t="shared" si="312"/>
        <v>144483295.13524884</v>
      </c>
      <c r="U735" s="350">
        <f t="shared" si="313"/>
        <v>182033943.72781059</v>
      </c>
      <c r="V735" s="350">
        <f t="shared" si="314"/>
        <v>540261896.13597596</v>
      </c>
      <c r="W735" s="365"/>
      <c r="X735" s="377">
        <f t="shared" si="292"/>
        <v>0</v>
      </c>
      <c r="Y735" s="377">
        <f t="shared" si="293"/>
        <v>0</v>
      </c>
      <c r="Z735" s="377">
        <f t="shared" si="294"/>
        <v>0</v>
      </c>
      <c r="AA735" s="377">
        <f t="shared" si="295"/>
        <v>0</v>
      </c>
      <c r="AB735" s="377">
        <f t="shared" si="296"/>
        <v>0</v>
      </c>
      <c r="AC735" s="377">
        <f t="shared" si="297"/>
        <v>0</v>
      </c>
      <c r="AD735" s="376"/>
      <c r="AE735" s="332">
        <v>720</v>
      </c>
      <c r="AF735" s="350">
        <v>129199018.2322146</v>
      </c>
      <c r="AG735" s="350">
        <v>130258708.64084728</v>
      </c>
      <c r="AH735" s="350">
        <v>131273996.47378862</v>
      </c>
      <c r="AI735" s="350">
        <v>132291696.90952453</v>
      </c>
      <c r="AJ735" s="350">
        <v>133314971.23546797</v>
      </c>
      <c r="AK735" s="348">
        <v>656338391.49184299</v>
      </c>
      <c r="AL735" s="369"/>
      <c r="AM735" s="350">
        <v>162881772.67282227</v>
      </c>
      <c r="AN735" s="350">
        <v>198292927.07823801</v>
      </c>
      <c r="AO735" s="350">
        <v>234179294.0696651</v>
      </c>
      <c r="AP735" s="350">
        <v>270601787.13329387</v>
      </c>
      <c r="AQ735" s="350">
        <v>307569593.02665311</v>
      </c>
      <c r="AR735" s="348">
        <v>1173525373.9806724</v>
      </c>
      <c r="AS735" s="369"/>
      <c r="AT735" s="350">
        <f t="shared" si="315"/>
        <v>33682754.440607667</v>
      </c>
      <c r="AU735" s="350">
        <f t="shared" si="298"/>
        <v>68034218.43739073</v>
      </c>
      <c r="AV735" s="350">
        <f t="shared" si="299"/>
        <v>102905297.59587649</v>
      </c>
      <c r="AW735" s="350">
        <f t="shared" si="300"/>
        <v>138310090.22376934</v>
      </c>
      <c r="AX735" s="350">
        <f t="shared" si="301"/>
        <v>174254621.79118514</v>
      </c>
      <c r="AY735" s="350">
        <f t="shared" si="302"/>
        <v>517186982.48882937</v>
      </c>
      <c r="AZ735" s="365"/>
      <c r="BA735" s="377">
        <f t="shared" si="303"/>
        <v>0</v>
      </c>
      <c r="BB735" s="377">
        <f t="shared" si="304"/>
        <v>0</v>
      </c>
      <c r="BC735" s="377">
        <f t="shared" si="305"/>
        <v>0</v>
      </c>
      <c r="BD735" s="377">
        <f t="shared" si="306"/>
        <v>0</v>
      </c>
      <c r="BE735" s="377">
        <f t="shared" si="307"/>
        <v>0</v>
      </c>
      <c r="BF735" s="377">
        <f t="shared" si="308"/>
        <v>0</v>
      </c>
      <c r="BG735" s="328"/>
    </row>
    <row r="736" spans="2:59">
      <c r="B736" s="332">
        <v>721</v>
      </c>
      <c r="C736" s="350">
        <v>148074131.06421971</v>
      </c>
      <c r="D736" s="350">
        <v>149288635.15722561</v>
      </c>
      <c r="E736" s="350">
        <v>150452249.7550754</v>
      </c>
      <c r="F736" s="350">
        <v>151618629.42085913</v>
      </c>
      <c r="G736" s="350">
        <v>152791397.28494662</v>
      </c>
      <c r="H736" s="348">
        <v>752225042.68232656</v>
      </c>
      <c r="I736" s="369"/>
      <c r="J736" s="350">
        <v>178166423.55249143</v>
      </c>
      <c r="K736" s="350">
        <v>210076976.92120767</v>
      </c>
      <c r="L736" s="350">
        <v>242400965.49240428</v>
      </c>
      <c r="M736" s="350">
        <v>275204639.65905058</v>
      </c>
      <c r="N736" s="350">
        <v>308497006.69404215</v>
      </c>
      <c r="O736" s="348">
        <v>1214346012.319196</v>
      </c>
      <c r="P736" s="369"/>
      <c r="Q736" s="350">
        <f t="shared" si="309"/>
        <v>30092292.488271713</v>
      </c>
      <c r="R736" s="350">
        <f t="shared" si="310"/>
        <v>60788341.763982058</v>
      </c>
      <c r="S736" s="350">
        <f t="shared" si="311"/>
        <v>91948715.737328887</v>
      </c>
      <c r="T736" s="350">
        <f t="shared" si="312"/>
        <v>123586010.23819146</v>
      </c>
      <c r="U736" s="350">
        <f t="shared" si="313"/>
        <v>155705609.40909553</v>
      </c>
      <c r="V736" s="350">
        <f t="shared" si="314"/>
        <v>462120969.63686943</v>
      </c>
      <c r="W736" s="365"/>
      <c r="X736" s="377">
        <f t="shared" si="292"/>
        <v>0</v>
      </c>
      <c r="Y736" s="377">
        <f t="shared" si="293"/>
        <v>0</v>
      </c>
      <c r="Z736" s="377">
        <f t="shared" si="294"/>
        <v>0</v>
      </c>
      <c r="AA736" s="377">
        <f t="shared" si="295"/>
        <v>0</v>
      </c>
      <c r="AB736" s="377">
        <f t="shared" si="296"/>
        <v>0</v>
      </c>
      <c r="AC736" s="377">
        <f t="shared" si="297"/>
        <v>0</v>
      </c>
      <c r="AD736" s="376"/>
      <c r="AE736" s="332">
        <v>721</v>
      </c>
      <c r="AF736" s="350">
        <v>120651312.22863734</v>
      </c>
      <c r="AG736" s="350">
        <v>121640894.34858686</v>
      </c>
      <c r="AH736" s="350">
        <v>122589011.53252687</v>
      </c>
      <c r="AI736" s="350">
        <v>123539381.7033474</v>
      </c>
      <c r="AJ736" s="350">
        <v>124494957.0001585</v>
      </c>
      <c r="AK736" s="348">
        <v>612915556.81325698</v>
      </c>
      <c r="AL736" s="369"/>
      <c r="AM736" s="350">
        <v>154838244.47047618</v>
      </c>
      <c r="AN736" s="350">
        <v>190677141.66707805</v>
      </c>
      <c r="AO736" s="350">
        <v>227001712.2478407</v>
      </c>
      <c r="AP736" s="350">
        <v>263869982.5651058</v>
      </c>
      <c r="AQ736" s="350">
        <v>301291017.92630088</v>
      </c>
      <c r="AR736" s="348">
        <v>1137678098.8768015</v>
      </c>
      <c r="AS736" s="369"/>
      <c r="AT736" s="350">
        <f t="shared" si="315"/>
        <v>34186932.241838843</v>
      </c>
      <c r="AU736" s="350">
        <f t="shared" si="298"/>
        <v>69036247.318491191</v>
      </c>
      <c r="AV736" s="350">
        <f t="shared" si="299"/>
        <v>104412700.71531384</v>
      </c>
      <c r="AW736" s="350">
        <f t="shared" si="300"/>
        <v>140330600.86175841</v>
      </c>
      <c r="AX736" s="350">
        <f t="shared" si="301"/>
        <v>176796060.92614239</v>
      </c>
      <c r="AY736" s="350">
        <f t="shared" si="302"/>
        <v>524762542.06354451</v>
      </c>
      <c r="AZ736" s="365"/>
      <c r="BA736" s="377">
        <f t="shared" si="303"/>
        <v>0</v>
      </c>
      <c r="BB736" s="377">
        <f t="shared" si="304"/>
        <v>0</v>
      </c>
      <c r="BC736" s="377">
        <f t="shared" si="305"/>
        <v>0</v>
      </c>
      <c r="BD736" s="377">
        <f t="shared" si="306"/>
        <v>0</v>
      </c>
      <c r="BE736" s="377">
        <f t="shared" si="307"/>
        <v>0</v>
      </c>
      <c r="BF736" s="377">
        <f t="shared" si="308"/>
        <v>0</v>
      </c>
      <c r="BG736" s="328"/>
    </row>
    <row r="737" spans="2:59">
      <c r="B737" s="332">
        <v>722</v>
      </c>
      <c r="C737" s="350">
        <v>119727130.53568175</v>
      </c>
      <c r="D737" s="350">
        <v>120709132.51694861</v>
      </c>
      <c r="E737" s="350">
        <v>121649987.18108684</v>
      </c>
      <c r="F737" s="350">
        <v>122593077.57436348</v>
      </c>
      <c r="G737" s="350">
        <v>123541333.22268307</v>
      </c>
      <c r="H737" s="348">
        <v>608220661.03076375</v>
      </c>
      <c r="I737" s="369"/>
      <c r="J737" s="350">
        <v>158199436.11948541</v>
      </c>
      <c r="K737" s="350">
        <v>198397463.28455096</v>
      </c>
      <c r="L737" s="350">
        <v>239147532.47610208</v>
      </c>
      <c r="M737" s="350">
        <v>280509128.65469891</v>
      </c>
      <c r="N737" s="350">
        <v>322492060.5490787</v>
      </c>
      <c r="O737" s="348">
        <v>1198745621.0839162</v>
      </c>
      <c r="P737" s="369"/>
      <c r="Q737" s="350">
        <f t="shared" si="309"/>
        <v>38472305.583803654</v>
      </c>
      <c r="R737" s="350">
        <f t="shared" si="310"/>
        <v>77688330.767602354</v>
      </c>
      <c r="S737" s="350">
        <f t="shared" si="311"/>
        <v>117497545.29501525</v>
      </c>
      <c r="T737" s="350">
        <f t="shared" si="312"/>
        <v>157916051.08033544</v>
      </c>
      <c r="U737" s="350">
        <f t="shared" si="313"/>
        <v>198950727.32639563</v>
      </c>
      <c r="V737" s="350">
        <f t="shared" si="314"/>
        <v>590524960.05315244</v>
      </c>
      <c r="W737" s="365"/>
      <c r="X737" s="377">
        <f t="shared" si="292"/>
        <v>0</v>
      </c>
      <c r="Y737" s="377">
        <f t="shared" si="293"/>
        <v>0</v>
      </c>
      <c r="Z737" s="377">
        <f t="shared" si="294"/>
        <v>0</v>
      </c>
      <c r="AA737" s="377">
        <f t="shared" si="295"/>
        <v>0</v>
      </c>
      <c r="AB737" s="377">
        <f t="shared" si="296"/>
        <v>0</v>
      </c>
      <c r="AC737" s="377">
        <f t="shared" si="297"/>
        <v>0</v>
      </c>
      <c r="AD737" s="376"/>
      <c r="AE737" s="332">
        <v>722</v>
      </c>
      <c r="AF737" s="350">
        <v>112016194.33045763</v>
      </c>
      <c r="AG737" s="350">
        <v>112934951.20932314</v>
      </c>
      <c r="AH737" s="350">
        <v>113815210.8332136</v>
      </c>
      <c r="AI737" s="350">
        <v>114697562.19578116</v>
      </c>
      <c r="AJ737" s="350">
        <v>115584746.14900775</v>
      </c>
      <c r="AK737" s="348">
        <v>569048664.71778333</v>
      </c>
      <c r="AL737" s="369"/>
      <c r="AM737" s="350">
        <v>143231102.18648776</v>
      </c>
      <c r="AN737" s="350">
        <v>175971128.24984694</v>
      </c>
      <c r="AO737" s="350">
        <v>209153993.22031951</v>
      </c>
      <c r="AP737" s="350">
        <v>242833350.71144542</v>
      </c>
      <c r="AQ737" s="350">
        <v>277017523.53669071</v>
      </c>
      <c r="AR737" s="348">
        <v>1048207097.9047904</v>
      </c>
      <c r="AS737" s="369"/>
      <c r="AT737" s="350">
        <f t="shared" si="315"/>
        <v>31214907.856030136</v>
      </c>
      <c r="AU737" s="350">
        <f t="shared" si="298"/>
        <v>63036177.040523797</v>
      </c>
      <c r="AV737" s="350">
        <f t="shared" si="299"/>
        <v>95338782.387105912</v>
      </c>
      <c r="AW737" s="350">
        <f t="shared" si="300"/>
        <v>128135788.51566426</v>
      </c>
      <c r="AX737" s="350">
        <f t="shared" si="301"/>
        <v>161432777.38768297</v>
      </c>
      <c r="AY737" s="350">
        <f t="shared" si="302"/>
        <v>479158433.18700707</v>
      </c>
      <c r="AZ737" s="365"/>
      <c r="BA737" s="377">
        <f t="shared" si="303"/>
        <v>0</v>
      </c>
      <c r="BB737" s="377">
        <f t="shared" si="304"/>
        <v>0</v>
      </c>
      <c r="BC737" s="377">
        <f t="shared" si="305"/>
        <v>0</v>
      </c>
      <c r="BD737" s="377">
        <f t="shared" si="306"/>
        <v>0</v>
      </c>
      <c r="BE737" s="377">
        <f t="shared" si="307"/>
        <v>0</v>
      </c>
      <c r="BF737" s="377">
        <f t="shared" si="308"/>
        <v>0</v>
      </c>
      <c r="BG737" s="328"/>
    </row>
    <row r="738" spans="2:59">
      <c r="B738" s="332">
        <v>723</v>
      </c>
      <c r="C738" s="350">
        <v>122878927.71870193</v>
      </c>
      <c r="D738" s="350">
        <v>123886780.74195428</v>
      </c>
      <c r="E738" s="350">
        <v>124852403.25166598</v>
      </c>
      <c r="F738" s="350">
        <v>125820320.34572099</v>
      </c>
      <c r="G738" s="350">
        <v>126793538.66931546</v>
      </c>
      <c r="H738" s="348">
        <v>624231970.7273587</v>
      </c>
      <c r="I738" s="369"/>
      <c r="J738" s="350">
        <v>159450101.06334186</v>
      </c>
      <c r="K738" s="350">
        <v>197748039.99661788</v>
      </c>
      <c r="L738" s="350">
        <v>236567811.14741781</v>
      </c>
      <c r="M738" s="350">
        <v>275969246.50577366</v>
      </c>
      <c r="N738" s="350">
        <v>315961893.80295312</v>
      </c>
      <c r="O738" s="348">
        <v>1185697092.5161042</v>
      </c>
      <c r="P738" s="369"/>
      <c r="Q738" s="350">
        <f t="shared" si="309"/>
        <v>36571173.344639927</v>
      </c>
      <c r="R738" s="350">
        <f t="shared" si="310"/>
        <v>73861259.254663602</v>
      </c>
      <c r="S738" s="350">
        <f t="shared" si="311"/>
        <v>111715407.89575183</v>
      </c>
      <c r="T738" s="350">
        <f t="shared" si="312"/>
        <v>150148926.16005266</v>
      </c>
      <c r="U738" s="350">
        <f t="shared" si="313"/>
        <v>189168355.13363767</v>
      </c>
      <c r="V738" s="350">
        <f t="shared" si="314"/>
        <v>561465121.78874552</v>
      </c>
      <c r="W738" s="365"/>
      <c r="X738" s="377">
        <f t="shared" si="292"/>
        <v>0</v>
      </c>
      <c r="Y738" s="377">
        <f t="shared" si="293"/>
        <v>0</v>
      </c>
      <c r="Z738" s="377">
        <f t="shared" si="294"/>
        <v>0</v>
      </c>
      <c r="AA738" s="377">
        <f t="shared" si="295"/>
        <v>0</v>
      </c>
      <c r="AB738" s="377">
        <f t="shared" si="296"/>
        <v>0</v>
      </c>
      <c r="AC738" s="377">
        <f t="shared" si="297"/>
        <v>0</v>
      </c>
      <c r="AD738" s="376"/>
      <c r="AE738" s="332">
        <v>723</v>
      </c>
      <c r="AF738" s="350">
        <v>133008359.23351499</v>
      </c>
      <c r="AG738" s="350">
        <v>134099293.85884163</v>
      </c>
      <c r="AH738" s="350">
        <v>135144516.7301684</v>
      </c>
      <c r="AI738" s="350">
        <v>136192223.33816427</v>
      </c>
      <c r="AJ738" s="350">
        <v>137245668.17854911</v>
      </c>
      <c r="AK738" s="348">
        <v>675690061.33923841</v>
      </c>
      <c r="AL738" s="369"/>
      <c r="AM738" s="350">
        <v>170585658.75958401</v>
      </c>
      <c r="AN738" s="350">
        <v>209981219.09989116</v>
      </c>
      <c r="AO738" s="350">
        <v>249910471.44154531</v>
      </c>
      <c r="AP738" s="350">
        <v>290437338.65075624</v>
      </c>
      <c r="AQ738" s="350">
        <v>331571794.52937663</v>
      </c>
      <c r="AR738" s="348">
        <v>1252486482.4811532</v>
      </c>
      <c r="AS738" s="369"/>
      <c r="AT738" s="350">
        <f t="shared" si="315"/>
        <v>37577299.526069015</v>
      </c>
      <c r="AU738" s="350">
        <f t="shared" si="298"/>
        <v>75881925.241049528</v>
      </c>
      <c r="AV738" s="350">
        <f t="shared" si="299"/>
        <v>114765954.71137691</v>
      </c>
      <c r="AW738" s="350">
        <f t="shared" si="300"/>
        <v>154245115.31259197</v>
      </c>
      <c r="AX738" s="350">
        <f t="shared" si="301"/>
        <v>194326126.35082752</v>
      </c>
      <c r="AY738" s="350">
        <f t="shared" si="302"/>
        <v>576796421.14191484</v>
      </c>
      <c r="AZ738" s="365"/>
      <c r="BA738" s="377">
        <f t="shared" si="303"/>
        <v>0</v>
      </c>
      <c r="BB738" s="377">
        <f t="shared" si="304"/>
        <v>0</v>
      </c>
      <c r="BC738" s="377">
        <f t="shared" si="305"/>
        <v>0</v>
      </c>
      <c r="BD738" s="377">
        <f t="shared" si="306"/>
        <v>0</v>
      </c>
      <c r="BE738" s="377">
        <f t="shared" si="307"/>
        <v>0</v>
      </c>
      <c r="BF738" s="377">
        <f t="shared" si="308"/>
        <v>0</v>
      </c>
      <c r="BG738" s="328"/>
    </row>
    <row r="739" spans="2:59">
      <c r="B739" s="332">
        <v>724</v>
      </c>
      <c r="C739" s="350">
        <v>109195880.65153217</v>
      </c>
      <c r="D739" s="350">
        <v>110091505.31626953</v>
      </c>
      <c r="E739" s="350">
        <v>110949601.99958606</v>
      </c>
      <c r="F739" s="350">
        <v>111809737.75634466</v>
      </c>
      <c r="G739" s="350">
        <v>112674584.43009153</v>
      </c>
      <c r="H739" s="348">
        <v>554721310.15382397</v>
      </c>
      <c r="I739" s="369"/>
      <c r="J739" s="350">
        <v>140786084.98216167</v>
      </c>
      <c r="K739" s="350">
        <v>173886405.32575485</v>
      </c>
      <c r="L739" s="350">
        <v>207436334.0397034</v>
      </c>
      <c r="M739" s="350">
        <v>241488659.92119154</v>
      </c>
      <c r="N739" s="350">
        <v>276051704.015288</v>
      </c>
      <c r="O739" s="348">
        <v>1039649188.2840995</v>
      </c>
      <c r="P739" s="369"/>
      <c r="Q739" s="350">
        <f t="shared" si="309"/>
        <v>31590204.330629498</v>
      </c>
      <c r="R739" s="350">
        <f t="shared" si="310"/>
        <v>63794900.009485319</v>
      </c>
      <c r="S739" s="350">
        <f t="shared" si="311"/>
        <v>96486732.040117338</v>
      </c>
      <c r="T739" s="350">
        <f t="shared" si="312"/>
        <v>129678922.16484688</v>
      </c>
      <c r="U739" s="350">
        <f t="shared" si="313"/>
        <v>163377119.58519647</v>
      </c>
      <c r="V739" s="350">
        <f t="shared" si="314"/>
        <v>484927878.13027549</v>
      </c>
      <c r="W739" s="365"/>
      <c r="X739" s="377">
        <f t="shared" si="292"/>
        <v>0</v>
      </c>
      <c r="Y739" s="377">
        <f t="shared" si="293"/>
        <v>0</v>
      </c>
      <c r="Z739" s="377">
        <f t="shared" si="294"/>
        <v>0</v>
      </c>
      <c r="AA739" s="377">
        <f t="shared" si="295"/>
        <v>0</v>
      </c>
      <c r="AB739" s="377">
        <f t="shared" si="296"/>
        <v>0</v>
      </c>
      <c r="AC739" s="377">
        <f t="shared" si="297"/>
        <v>0</v>
      </c>
      <c r="AD739" s="376"/>
      <c r="AE739" s="332">
        <v>724</v>
      </c>
      <c r="AF739" s="350">
        <v>141966307.65935665</v>
      </c>
      <c r="AG739" s="350">
        <v>143130715.38190773</v>
      </c>
      <c r="AH739" s="350">
        <v>144246332.72038543</v>
      </c>
      <c r="AI739" s="350">
        <v>145364601.07212374</v>
      </c>
      <c r="AJ739" s="350">
        <v>146488994.11910269</v>
      </c>
      <c r="AK739" s="348">
        <v>721196950.95287633</v>
      </c>
      <c r="AL739" s="369"/>
      <c r="AM739" s="350">
        <v>177927011.8817991</v>
      </c>
      <c r="AN739" s="350">
        <v>215781395.02124935</v>
      </c>
      <c r="AO739" s="350">
        <v>254141983.36878005</v>
      </c>
      <c r="AP739" s="350">
        <v>293075270.9439472</v>
      </c>
      <c r="AQ739" s="350">
        <v>332591166.73981243</v>
      </c>
      <c r="AR739" s="348">
        <v>1273516827.9555881</v>
      </c>
      <c r="AS739" s="369"/>
      <c r="AT739" s="350">
        <f t="shared" si="315"/>
        <v>35960704.222442448</v>
      </c>
      <c r="AU739" s="350">
        <f t="shared" si="298"/>
        <v>72650679.639341623</v>
      </c>
      <c r="AV739" s="350">
        <f t="shared" si="299"/>
        <v>109895650.64839461</v>
      </c>
      <c r="AW739" s="350">
        <f t="shared" si="300"/>
        <v>147710669.87182346</v>
      </c>
      <c r="AX739" s="350">
        <f t="shared" si="301"/>
        <v>186102172.62070975</v>
      </c>
      <c r="AY739" s="350">
        <f t="shared" si="302"/>
        <v>552319877.00271177</v>
      </c>
      <c r="AZ739" s="365"/>
      <c r="BA739" s="377">
        <f t="shared" si="303"/>
        <v>0</v>
      </c>
      <c r="BB739" s="377">
        <f t="shared" si="304"/>
        <v>0</v>
      </c>
      <c r="BC739" s="377">
        <f t="shared" si="305"/>
        <v>0</v>
      </c>
      <c r="BD739" s="377">
        <f t="shared" si="306"/>
        <v>0</v>
      </c>
      <c r="BE739" s="377">
        <f t="shared" si="307"/>
        <v>0</v>
      </c>
      <c r="BF739" s="377">
        <f t="shared" si="308"/>
        <v>0</v>
      </c>
      <c r="BG739" s="328"/>
    </row>
    <row r="740" spans="2:59">
      <c r="B740" s="332">
        <v>725</v>
      </c>
      <c r="C740" s="350">
        <v>130619931.90797563</v>
      </c>
      <c r="D740" s="350">
        <v>131691276.65124875</v>
      </c>
      <c r="E740" s="350">
        <v>132717730.48518917</v>
      </c>
      <c r="F740" s="350">
        <v>133746623.45540985</v>
      </c>
      <c r="G740" s="350">
        <v>134781151.61674374</v>
      </c>
      <c r="H740" s="348">
        <v>663556714.11656713</v>
      </c>
      <c r="I740" s="369"/>
      <c r="J740" s="350">
        <v>161799883.15493998</v>
      </c>
      <c r="K740" s="350">
        <v>194677251.49712497</v>
      </c>
      <c r="L740" s="350">
        <v>227990843.9150992</v>
      </c>
      <c r="M740" s="350">
        <v>261801041.57667145</v>
      </c>
      <c r="N740" s="350">
        <v>296116619.35947514</v>
      </c>
      <c r="O740" s="348">
        <v>1142385639.5033107</v>
      </c>
      <c r="P740" s="369"/>
      <c r="Q740" s="350">
        <f t="shared" si="309"/>
        <v>31179951.24696435</v>
      </c>
      <c r="R740" s="350">
        <f t="shared" si="310"/>
        <v>62985974.845876217</v>
      </c>
      <c r="S740" s="350">
        <f t="shared" si="311"/>
        <v>95273113.429910034</v>
      </c>
      <c r="T740" s="350">
        <f t="shared" si="312"/>
        <v>128054418.1212616</v>
      </c>
      <c r="U740" s="350">
        <f t="shared" si="313"/>
        <v>161335467.74273139</v>
      </c>
      <c r="V740" s="350">
        <f t="shared" si="314"/>
        <v>478828925.38674355</v>
      </c>
      <c r="W740" s="365"/>
      <c r="X740" s="377">
        <f t="shared" si="292"/>
        <v>0</v>
      </c>
      <c r="Y740" s="377">
        <f t="shared" si="293"/>
        <v>0</v>
      </c>
      <c r="Z740" s="377">
        <f t="shared" si="294"/>
        <v>0</v>
      </c>
      <c r="AA740" s="377">
        <f t="shared" si="295"/>
        <v>0</v>
      </c>
      <c r="AB740" s="377">
        <f t="shared" si="296"/>
        <v>0</v>
      </c>
      <c r="AC740" s="377">
        <f t="shared" si="297"/>
        <v>0</v>
      </c>
      <c r="AD740" s="376"/>
      <c r="AE740" s="332">
        <v>725</v>
      </c>
      <c r="AF740" s="350">
        <v>136990475.9020074</v>
      </c>
      <c r="AG740" s="350">
        <v>138114071.85013193</v>
      </c>
      <c r="AH740" s="350">
        <v>139190587.48713294</v>
      </c>
      <c r="AI740" s="350">
        <v>140269661.22101039</v>
      </c>
      <c r="AJ740" s="350">
        <v>141354644.98332775</v>
      </c>
      <c r="AK740" s="348">
        <v>695919441.44361031</v>
      </c>
      <c r="AL740" s="369"/>
      <c r="AM740" s="350">
        <v>174485413.72692078</v>
      </c>
      <c r="AN740" s="350">
        <v>213831947.43122277</v>
      </c>
      <c r="AO740" s="350">
        <v>253709569.99973565</v>
      </c>
      <c r="AP740" s="350">
        <v>294183612.87084728</v>
      </c>
      <c r="AQ740" s="350">
        <v>335264132.90109432</v>
      </c>
      <c r="AR740" s="348">
        <v>1271474676.9298205</v>
      </c>
      <c r="AS740" s="369"/>
      <c r="AT740" s="350">
        <f t="shared" si="315"/>
        <v>37494937.824913383</v>
      </c>
      <c r="AU740" s="350">
        <f t="shared" si="298"/>
        <v>75717875.581090838</v>
      </c>
      <c r="AV740" s="350">
        <f t="shared" si="299"/>
        <v>114518982.51260272</v>
      </c>
      <c r="AW740" s="350">
        <f t="shared" si="300"/>
        <v>153913951.6498369</v>
      </c>
      <c r="AX740" s="350">
        <f t="shared" si="301"/>
        <v>193909487.91776657</v>
      </c>
      <c r="AY740" s="350">
        <f t="shared" si="302"/>
        <v>575555235.48621023</v>
      </c>
      <c r="AZ740" s="365"/>
      <c r="BA740" s="377">
        <f t="shared" si="303"/>
        <v>0</v>
      </c>
      <c r="BB740" s="377">
        <f t="shared" si="304"/>
        <v>0</v>
      </c>
      <c r="BC740" s="377">
        <f t="shared" si="305"/>
        <v>0</v>
      </c>
      <c r="BD740" s="377">
        <f t="shared" si="306"/>
        <v>0</v>
      </c>
      <c r="BE740" s="377">
        <f t="shared" si="307"/>
        <v>0</v>
      </c>
      <c r="BF740" s="377">
        <f t="shared" si="308"/>
        <v>0</v>
      </c>
      <c r="BG740" s="328"/>
    </row>
    <row r="741" spans="2:59">
      <c r="B741" s="332">
        <v>726</v>
      </c>
      <c r="C741" s="350">
        <v>135337222.19157243</v>
      </c>
      <c r="D741" s="350">
        <v>136447258.15198222</v>
      </c>
      <c r="E741" s="350">
        <v>137510781.9845567</v>
      </c>
      <c r="F741" s="350">
        <v>138576833.04191148</v>
      </c>
      <c r="G741" s="350">
        <v>139648722.80321157</v>
      </c>
      <c r="H741" s="348">
        <v>687520818.17323434</v>
      </c>
      <c r="I741" s="369"/>
      <c r="J741" s="350">
        <v>176488721.57553431</v>
      </c>
      <c r="K741" s="350">
        <v>219530662.39262146</v>
      </c>
      <c r="L741" s="350">
        <v>263160354.36979327</v>
      </c>
      <c r="M741" s="350">
        <v>307444059.26453376</v>
      </c>
      <c r="N741" s="350">
        <v>352392444.51751071</v>
      </c>
      <c r="O741" s="348">
        <v>1319016242.1199934</v>
      </c>
      <c r="P741" s="369"/>
      <c r="Q741" s="350">
        <f t="shared" si="309"/>
        <v>41151499.383961886</v>
      </c>
      <c r="R741" s="350">
        <f t="shared" si="310"/>
        <v>83083404.24063924</v>
      </c>
      <c r="S741" s="350">
        <f t="shared" si="311"/>
        <v>125649572.38523656</v>
      </c>
      <c r="T741" s="350">
        <f t="shared" si="312"/>
        <v>168867226.22262228</v>
      </c>
      <c r="U741" s="350">
        <f t="shared" si="313"/>
        <v>212743721.71429914</v>
      </c>
      <c r="V741" s="350">
        <f t="shared" si="314"/>
        <v>631495423.9467591</v>
      </c>
      <c r="W741" s="365"/>
      <c r="X741" s="377">
        <f t="shared" si="292"/>
        <v>0</v>
      </c>
      <c r="Y741" s="377">
        <f t="shared" si="293"/>
        <v>0</v>
      </c>
      <c r="Z741" s="377">
        <f t="shared" si="294"/>
        <v>0</v>
      </c>
      <c r="AA741" s="377">
        <f t="shared" si="295"/>
        <v>0</v>
      </c>
      <c r="AB741" s="377">
        <f t="shared" si="296"/>
        <v>0</v>
      </c>
      <c r="AC741" s="377">
        <f t="shared" si="297"/>
        <v>0</v>
      </c>
      <c r="AD741" s="376"/>
      <c r="AE741" s="332">
        <v>726</v>
      </c>
      <c r="AF741" s="350">
        <v>109869036.28246111</v>
      </c>
      <c r="AG741" s="350">
        <v>110770182.17000169</v>
      </c>
      <c r="AH741" s="350">
        <v>111633568.72882278</v>
      </c>
      <c r="AI741" s="350">
        <v>112499006.93128322</v>
      </c>
      <c r="AJ741" s="350">
        <v>113369185.09194016</v>
      </c>
      <c r="AK741" s="348">
        <v>558140979.20450902</v>
      </c>
      <c r="AL741" s="369"/>
      <c r="AM741" s="350">
        <v>141838252.32202765</v>
      </c>
      <c r="AN741" s="350">
        <v>175319931.35612649</v>
      </c>
      <c r="AO741" s="350">
        <v>209256667.54736298</v>
      </c>
      <c r="AP741" s="350">
        <v>243701651.65568694</v>
      </c>
      <c r="AQ741" s="350">
        <v>278663287.36506599</v>
      </c>
      <c r="AR741" s="348">
        <v>1048779790.2462699</v>
      </c>
      <c r="AS741" s="369"/>
      <c r="AT741" s="350">
        <f t="shared" si="315"/>
        <v>31969216.039566547</v>
      </c>
      <c r="AU741" s="350">
        <f t="shared" si="298"/>
        <v>64549749.186124802</v>
      </c>
      <c r="AV741" s="350">
        <f t="shared" si="299"/>
        <v>97623098.818540201</v>
      </c>
      <c r="AW741" s="350">
        <f t="shared" si="300"/>
        <v>131202644.72440372</v>
      </c>
      <c r="AX741" s="350">
        <f t="shared" si="301"/>
        <v>165294102.27312583</v>
      </c>
      <c r="AY741" s="350">
        <f t="shared" si="302"/>
        <v>490638811.04176092</v>
      </c>
      <c r="AZ741" s="365"/>
      <c r="BA741" s="377">
        <f t="shared" si="303"/>
        <v>0</v>
      </c>
      <c r="BB741" s="377">
        <f t="shared" si="304"/>
        <v>0</v>
      </c>
      <c r="BC741" s="377">
        <f t="shared" si="305"/>
        <v>0</v>
      </c>
      <c r="BD741" s="377">
        <f t="shared" si="306"/>
        <v>0</v>
      </c>
      <c r="BE741" s="377">
        <f t="shared" si="307"/>
        <v>0</v>
      </c>
      <c r="BF741" s="377">
        <f t="shared" si="308"/>
        <v>0</v>
      </c>
      <c r="BG741" s="328"/>
    </row>
    <row r="742" spans="2:59">
      <c r="B742" s="332">
        <v>727</v>
      </c>
      <c r="C742" s="350">
        <v>120983450.66711022</v>
      </c>
      <c r="D742" s="350">
        <v>121975756.98668914</v>
      </c>
      <c r="E742" s="350">
        <v>122926484.2223157</v>
      </c>
      <c r="F742" s="350">
        <v>123879470.64702255</v>
      </c>
      <c r="G742" s="350">
        <v>124837676.52680087</v>
      </c>
      <c r="H742" s="348">
        <v>614602839.04993844</v>
      </c>
      <c r="I742" s="369"/>
      <c r="J742" s="350">
        <v>149465236.86507756</v>
      </c>
      <c r="K742" s="350">
        <v>179506321.74551338</v>
      </c>
      <c r="L742" s="350">
        <v>209945232.69242749</v>
      </c>
      <c r="M742" s="350">
        <v>240837729.44643846</v>
      </c>
      <c r="N742" s="350">
        <v>272191867.58312935</v>
      </c>
      <c r="O742" s="348">
        <v>1051946388.3325863</v>
      </c>
      <c r="P742" s="369"/>
      <c r="Q742" s="350">
        <f t="shared" si="309"/>
        <v>28481786.197967336</v>
      </c>
      <c r="R742" s="350">
        <f t="shared" si="310"/>
        <v>57530564.758824244</v>
      </c>
      <c r="S742" s="350">
        <f t="shared" si="311"/>
        <v>87018748.470111787</v>
      </c>
      <c r="T742" s="350">
        <f t="shared" si="312"/>
        <v>116958258.79941592</v>
      </c>
      <c r="U742" s="350">
        <f t="shared" si="313"/>
        <v>147354191.05632848</v>
      </c>
      <c r="V742" s="350">
        <f t="shared" si="314"/>
        <v>437343549.28264785</v>
      </c>
      <c r="W742" s="365"/>
      <c r="X742" s="377">
        <f t="shared" si="292"/>
        <v>0</v>
      </c>
      <c r="Y742" s="377">
        <f t="shared" si="293"/>
        <v>0</v>
      </c>
      <c r="Z742" s="377">
        <f t="shared" si="294"/>
        <v>0</v>
      </c>
      <c r="AA742" s="377">
        <f t="shared" si="295"/>
        <v>0</v>
      </c>
      <c r="AB742" s="377">
        <f t="shared" si="296"/>
        <v>0</v>
      </c>
      <c r="AC742" s="377">
        <f t="shared" si="297"/>
        <v>0</v>
      </c>
      <c r="AD742" s="376"/>
      <c r="AE742" s="332">
        <v>727</v>
      </c>
      <c r="AF742" s="350">
        <v>139380434.9739857</v>
      </c>
      <c r="AG742" s="350">
        <v>140523633.3675487</v>
      </c>
      <c r="AH742" s="350">
        <v>141618930.07889691</v>
      </c>
      <c r="AI742" s="350">
        <v>142716829.51611346</v>
      </c>
      <c r="AJ742" s="350">
        <v>143820742.08912832</v>
      </c>
      <c r="AK742" s="348">
        <v>708060570.02567291</v>
      </c>
      <c r="AL742" s="369"/>
      <c r="AM742" s="350">
        <v>175051176.55017698</v>
      </c>
      <c r="AN742" s="350">
        <v>212591807.86332756</v>
      </c>
      <c r="AO742" s="350">
        <v>250635109.43038979</v>
      </c>
      <c r="AP742" s="350">
        <v>289246517.09095842</v>
      </c>
      <c r="AQ742" s="350">
        <v>328435825.17987049</v>
      </c>
      <c r="AR742" s="348">
        <v>1255960436.1147232</v>
      </c>
      <c r="AS742" s="369"/>
      <c r="AT742" s="350">
        <f t="shared" si="315"/>
        <v>35670741.576191276</v>
      </c>
      <c r="AU742" s="350">
        <f t="shared" si="298"/>
        <v>72068174.495778859</v>
      </c>
      <c r="AV742" s="350">
        <f t="shared" si="299"/>
        <v>109016179.35149288</v>
      </c>
      <c r="AW742" s="350">
        <f t="shared" si="300"/>
        <v>146529687.57484496</v>
      </c>
      <c r="AX742" s="350">
        <f t="shared" si="301"/>
        <v>184615083.09074217</v>
      </c>
      <c r="AY742" s="350">
        <f t="shared" si="302"/>
        <v>547899866.08905029</v>
      </c>
      <c r="AZ742" s="365"/>
      <c r="BA742" s="377">
        <f t="shared" si="303"/>
        <v>0</v>
      </c>
      <c r="BB742" s="377">
        <f t="shared" si="304"/>
        <v>0</v>
      </c>
      <c r="BC742" s="377">
        <f t="shared" si="305"/>
        <v>0</v>
      </c>
      <c r="BD742" s="377">
        <f t="shared" si="306"/>
        <v>0</v>
      </c>
      <c r="BE742" s="377">
        <f t="shared" si="307"/>
        <v>0</v>
      </c>
      <c r="BF742" s="377">
        <f t="shared" si="308"/>
        <v>0</v>
      </c>
      <c r="BG742" s="328"/>
    </row>
    <row r="743" spans="2:59">
      <c r="B743" s="332">
        <v>728</v>
      </c>
      <c r="C743" s="350">
        <v>123606083.24264419</v>
      </c>
      <c r="D743" s="350">
        <v>124619900.3958478</v>
      </c>
      <c r="E743" s="350">
        <v>125591237.12975571</v>
      </c>
      <c r="F743" s="350">
        <v>126564882.02657337</v>
      </c>
      <c r="G743" s="350">
        <v>127543859.52379628</v>
      </c>
      <c r="H743" s="348">
        <v>627925962.31861734</v>
      </c>
      <c r="I743" s="369"/>
      <c r="J743" s="350">
        <v>155545841.45164442</v>
      </c>
      <c r="K743" s="350">
        <v>189131307.37286752</v>
      </c>
      <c r="L743" s="350">
        <v>223166984.75433999</v>
      </c>
      <c r="M743" s="350">
        <v>257711030.81159851</v>
      </c>
      <c r="N743" s="350">
        <v>292772183.31151545</v>
      </c>
      <c r="O743" s="348">
        <v>1118327347.7019658</v>
      </c>
      <c r="P743" s="369"/>
      <c r="Q743" s="350">
        <f t="shared" si="309"/>
        <v>31939758.20900023</v>
      </c>
      <c r="R743" s="350">
        <f t="shared" si="310"/>
        <v>64511406.977019727</v>
      </c>
      <c r="S743" s="350">
        <f t="shared" si="311"/>
        <v>97575747.624584287</v>
      </c>
      <c r="T743" s="350">
        <f t="shared" si="312"/>
        <v>131146148.78502513</v>
      </c>
      <c r="U743" s="350">
        <f t="shared" si="313"/>
        <v>165228323.78771919</v>
      </c>
      <c r="V743" s="350">
        <f t="shared" si="314"/>
        <v>490401385.38334846</v>
      </c>
      <c r="W743" s="365"/>
      <c r="X743" s="377">
        <f t="shared" si="292"/>
        <v>0</v>
      </c>
      <c r="Y743" s="377">
        <f t="shared" si="293"/>
        <v>0</v>
      </c>
      <c r="Z743" s="377">
        <f t="shared" si="294"/>
        <v>0</v>
      </c>
      <c r="AA743" s="377">
        <f t="shared" si="295"/>
        <v>0</v>
      </c>
      <c r="AB743" s="377">
        <f t="shared" si="296"/>
        <v>0</v>
      </c>
      <c r="AC743" s="377">
        <f t="shared" si="297"/>
        <v>0</v>
      </c>
      <c r="AD743" s="376"/>
      <c r="AE743" s="332">
        <v>728</v>
      </c>
      <c r="AF743" s="350">
        <v>132892194.36055571</v>
      </c>
      <c r="AG743" s="350">
        <v>133982176.20153934</v>
      </c>
      <c r="AH743" s="350">
        <v>135026486.21157861</v>
      </c>
      <c r="AI743" s="350">
        <v>136073277.78907776</v>
      </c>
      <c r="AJ743" s="350">
        <v>137125802.5873934</v>
      </c>
      <c r="AK743" s="348">
        <v>675099937.15014482</v>
      </c>
      <c r="AL743" s="369"/>
      <c r="AM743" s="350">
        <v>166886179.87968794</v>
      </c>
      <c r="AN743" s="350">
        <v>202650040.33908069</v>
      </c>
      <c r="AO743" s="350">
        <v>238892723.42672321</v>
      </c>
      <c r="AP743" s="350">
        <v>275676611.39618433</v>
      </c>
      <c r="AQ743" s="350">
        <v>313011037.81062996</v>
      </c>
      <c r="AR743" s="348">
        <v>1197116592.8523061</v>
      </c>
      <c r="AS743" s="369"/>
      <c r="AT743" s="350">
        <f t="shared" si="315"/>
        <v>33993985.519132227</v>
      </c>
      <c r="AU743" s="350">
        <f t="shared" si="298"/>
        <v>68667864.137541354</v>
      </c>
      <c r="AV743" s="350">
        <f t="shared" si="299"/>
        <v>103866237.2151446</v>
      </c>
      <c r="AW743" s="350">
        <f t="shared" si="300"/>
        <v>139603333.60710657</v>
      </c>
      <c r="AX743" s="350">
        <f t="shared" si="301"/>
        <v>175885235.22323656</v>
      </c>
      <c r="AY743" s="350">
        <f t="shared" si="302"/>
        <v>522016655.70216131</v>
      </c>
      <c r="AZ743" s="365"/>
      <c r="BA743" s="377">
        <f t="shared" si="303"/>
        <v>0</v>
      </c>
      <c r="BB743" s="377">
        <f t="shared" si="304"/>
        <v>0</v>
      </c>
      <c r="BC743" s="377">
        <f t="shared" si="305"/>
        <v>0</v>
      </c>
      <c r="BD743" s="377">
        <f t="shared" si="306"/>
        <v>0</v>
      </c>
      <c r="BE743" s="377">
        <f t="shared" si="307"/>
        <v>0</v>
      </c>
      <c r="BF743" s="377">
        <f t="shared" si="308"/>
        <v>0</v>
      </c>
      <c r="BG743" s="328"/>
    </row>
    <row r="744" spans="2:59">
      <c r="B744" s="332">
        <v>729</v>
      </c>
      <c r="C744" s="350">
        <v>123165742.09766969</v>
      </c>
      <c r="D744" s="350">
        <v>124175947.572594</v>
      </c>
      <c r="E744" s="350">
        <v>125143823.962817</v>
      </c>
      <c r="F744" s="350">
        <v>126114000.29322258</v>
      </c>
      <c r="G744" s="350">
        <v>127089490.22688285</v>
      </c>
      <c r="H744" s="348">
        <v>625689004.15318608</v>
      </c>
      <c r="I744" s="369"/>
      <c r="J744" s="350">
        <v>161304387.92670646</v>
      </c>
      <c r="K744" s="350">
        <v>201199543.55125436</v>
      </c>
      <c r="L744" s="350">
        <v>241640555.70777777</v>
      </c>
      <c r="M744" s="350">
        <v>282688016.18998432</v>
      </c>
      <c r="N744" s="350">
        <v>324351759.58142948</v>
      </c>
      <c r="O744" s="348">
        <v>1211184262.9571524</v>
      </c>
      <c r="P744" s="369"/>
      <c r="Q744" s="350">
        <f t="shared" si="309"/>
        <v>38138645.829036772</v>
      </c>
      <c r="R744" s="350">
        <f t="shared" si="310"/>
        <v>77023595.97866036</v>
      </c>
      <c r="S744" s="350">
        <f t="shared" si="311"/>
        <v>116496731.74496077</v>
      </c>
      <c r="T744" s="350">
        <f t="shared" si="312"/>
        <v>156574015.89676175</v>
      </c>
      <c r="U744" s="350">
        <f t="shared" si="313"/>
        <v>197262269.35454664</v>
      </c>
      <c r="V744" s="350">
        <f t="shared" si="314"/>
        <v>585495258.80396628</v>
      </c>
      <c r="W744" s="365"/>
      <c r="X744" s="377">
        <f t="shared" si="292"/>
        <v>0</v>
      </c>
      <c r="Y744" s="377">
        <f t="shared" si="293"/>
        <v>0</v>
      </c>
      <c r="Z744" s="377">
        <f t="shared" si="294"/>
        <v>0</v>
      </c>
      <c r="AA744" s="377">
        <f t="shared" si="295"/>
        <v>0</v>
      </c>
      <c r="AB744" s="377">
        <f t="shared" si="296"/>
        <v>0</v>
      </c>
      <c r="AC744" s="377">
        <f t="shared" si="297"/>
        <v>0</v>
      </c>
      <c r="AD744" s="376"/>
      <c r="AE744" s="332">
        <v>729</v>
      </c>
      <c r="AF744" s="350">
        <v>132529687.59090777</v>
      </c>
      <c r="AG744" s="350">
        <v>133616696.15119533</v>
      </c>
      <c r="AH744" s="350">
        <v>134658157.4653419</v>
      </c>
      <c r="AI744" s="350">
        <v>135702093.57766432</v>
      </c>
      <c r="AJ744" s="350">
        <v>136751747.271575</v>
      </c>
      <c r="AK744" s="348">
        <v>673258382.05668437</v>
      </c>
      <c r="AL744" s="369"/>
      <c r="AM744" s="350">
        <v>166844135.81723174</v>
      </c>
      <c r="AN744" s="350">
        <v>202914085.20992559</v>
      </c>
      <c r="AO744" s="350">
        <v>239467648.61224759</v>
      </c>
      <c r="AP744" s="350">
        <v>276567210.07008201</v>
      </c>
      <c r="AQ744" s="350">
        <v>314222148.8925299</v>
      </c>
      <c r="AR744" s="348">
        <v>1200015228.6020169</v>
      </c>
      <c r="AS744" s="369"/>
      <c r="AT744" s="350">
        <f t="shared" si="315"/>
        <v>34314448.226323977</v>
      </c>
      <c r="AU744" s="350">
        <f t="shared" si="298"/>
        <v>69297389.05873026</v>
      </c>
      <c r="AV744" s="350">
        <f t="shared" si="299"/>
        <v>104809491.14690569</v>
      </c>
      <c r="AW744" s="350">
        <f t="shared" si="300"/>
        <v>140865116.49241769</v>
      </c>
      <c r="AX744" s="350">
        <f t="shared" si="301"/>
        <v>177470401.6209549</v>
      </c>
      <c r="AY744" s="350">
        <f t="shared" si="302"/>
        <v>526756846.54533255</v>
      </c>
      <c r="AZ744" s="365"/>
      <c r="BA744" s="377">
        <f t="shared" si="303"/>
        <v>0</v>
      </c>
      <c r="BB744" s="377">
        <f t="shared" si="304"/>
        <v>0</v>
      </c>
      <c r="BC744" s="377">
        <f t="shared" si="305"/>
        <v>0</v>
      </c>
      <c r="BD744" s="377">
        <f t="shared" si="306"/>
        <v>0</v>
      </c>
      <c r="BE744" s="377">
        <f t="shared" si="307"/>
        <v>0</v>
      </c>
      <c r="BF744" s="377">
        <f t="shared" si="308"/>
        <v>0</v>
      </c>
      <c r="BG744" s="328"/>
    </row>
    <row r="745" spans="2:59">
      <c r="B745" s="332">
        <v>730</v>
      </c>
      <c r="C745" s="350">
        <v>134019221.21388981</v>
      </c>
      <c r="D745" s="350">
        <v>135118446.9296574</v>
      </c>
      <c r="E745" s="350">
        <v>136171613.48262745</v>
      </c>
      <c r="F745" s="350">
        <v>137227282.64863628</v>
      </c>
      <c r="G745" s="350">
        <v>138288733.6575335</v>
      </c>
      <c r="H745" s="348">
        <v>680825297.93234444</v>
      </c>
      <c r="I745" s="369"/>
      <c r="J745" s="350">
        <v>163884223.91587326</v>
      </c>
      <c r="K745" s="350">
        <v>195448472.75573766</v>
      </c>
      <c r="L745" s="350">
        <v>227427492.88736254</v>
      </c>
      <c r="M745" s="350">
        <v>259882346.82480758</v>
      </c>
      <c r="N745" s="350">
        <v>292821657.39929259</v>
      </c>
      <c r="O745" s="348">
        <v>1139464193.7830739</v>
      </c>
      <c r="P745" s="369"/>
      <c r="Q745" s="350">
        <f t="shared" si="309"/>
        <v>29865002.701983452</v>
      </c>
      <c r="R745" s="350">
        <f t="shared" si="310"/>
        <v>60330025.826080263</v>
      </c>
      <c r="S745" s="350">
        <f t="shared" si="311"/>
        <v>91255879.404735088</v>
      </c>
      <c r="T745" s="350">
        <f t="shared" si="312"/>
        <v>122655064.1761713</v>
      </c>
      <c r="U745" s="350">
        <f t="shared" si="313"/>
        <v>154532923.74175909</v>
      </c>
      <c r="V745" s="350">
        <f t="shared" si="314"/>
        <v>458638895.85072947</v>
      </c>
      <c r="W745" s="365"/>
      <c r="X745" s="377">
        <f t="shared" si="292"/>
        <v>0</v>
      </c>
      <c r="Y745" s="377">
        <f t="shared" si="293"/>
        <v>0</v>
      </c>
      <c r="Z745" s="377">
        <f t="shared" si="294"/>
        <v>0</v>
      </c>
      <c r="AA745" s="377">
        <f t="shared" si="295"/>
        <v>0</v>
      </c>
      <c r="AB745" s="377">
        <f t="shared" si="296"/>
        <v>0</v>
      </c>
      <c r="AC745" s="377">
        <f t="shared" si="297"/>
        <v>0</v>
      </c>
      <c r="AD745" s="376"/>
      <c r="AE745" s="332">
        <v>730</v>
      </c>
      <c r="AF745" s="350">
        <v>131780977.81875311</v>
      </c>
      <c r="AG745" s="350">
        <v>132861845.46113545</v>
      </c>
      <c r="AH745" s="350">
        <v>133897423.17080519</v>
      </c>
      <c r="AI745" s="350">
        <v>134935461.69759029</v>
      </c>
      <c r="AJ745" s="350">
        <v>135979185.50520682</v>
      </c>
      <c r="AK745" s="348">
        <v>669454893.65349078</v>
      </c>
      <c r="AL745" s="369"/>
      <c r="AM745" s="350">
        <v>167877285.6446656</v>
      </c>
      <c r="AN745" s="350">
        <v>205796104.7237584</v>
      </c>
      <c r="AO745" s="350">
        <v>244226872.28754961</v>
      </c>
      <c r="AP745" s="350">
        <v>283232449.00443274</v>
      </c>
      <c r="AQ745" s="350">
        <v>322822520.38479614</v>
      </c>
      <c r="AR745" s="348">
        <v>1223955232.0452025</v>
      </c>
      <c r="AS745" s="369"/>
      <c r="AT745" s="350">
        <f t="shared" si="315"/>
        <v>36096307.82591249</v>
      </c>
      <c r="AU745" s="350">
        <f t="shared" si="298"/>
        <v>72934259.262622952</v>
      </c>
      <c r="AV745" s="350">
        <f t="shared" si="299"/>
        <v>110329449.11674443</v>
      </c>
      <c r="AW745" s="350">
        <f t="shared" si="300"/>
        <v>148296987.30684245</v>
      </c>
      <c r="AX745" s="350">
        <f t="shared" si="301"/>
        <v>186843334.87958932</v>
      </c>
      <c r="AY745" s="350">
        <f t="shared" si="302"/>
        <v>554500338.39171171</v>
      </c>
      <c r="AZ745" s="365"/>
      <c r="BA745" s="377">
        <f t="shared" si="303"/>
        <v>0</v>
      </c>
      <c r="BB745" s="377">
        <f t="shared" si="304"/>
        <v>0</v>
      </c>
      <c r="BC745" s="377">
        <f t="shared" si="305"/>
        <v>0</v>
      </c>
      <c r="BD745" s="377">
        <f t="shared" si="306"/>
        <v>0</v>
      </c>
      <c r="BE745" s="377">
        <f t="shared" si="307"/>
        <v>0</v>
      </c>
      <c r="BF745" s="377">
        <f t="shared" si="308"/>
        <v>0</v>
      </c>
      <c r="BG745" s="328"/>
    </row>
    <row r="746" spans="2:59">
      <c r="B746" s="332">
        <v>731</v>
      </c>
      <c r="C746" s="350">
        <v>112651310.53286621</v>
      </c>
      <c r="D746" s="350">
        <v>113575276.63512418</v>
      </c>
      <c r="E746" s="350">
        <v>114460527.20833948</v>
      </c>
      <c r="F746" s="350">
        <v>115347881.38009842</v>
      </c>
      <c r="G746" s="350">
        <v>116240095.5426316</v>
      </c>
      <c r="H746" s="348">
        <v>572275091.29905987</v>
      </c>
      <c r="I746" s="369"/>
      <c r="J746" s="350">
        <v>142635804.98107433</v>
      </c>
      <c r="K746" s="350">
        <v>174142727.30520874</v>
      </c>
      <c r="L746" s="350">
        <v>206073546.6446161</v>
      </c>
      <c r="M746" s="350">
        <v>238481632.66134077</v>
      </c>
      <c r="N746" s="350">
        <v>271375106.12470144</v>
      </c>
      <c r="O746" s="348">
        <v>1032708817.7169414</v>
      </c>
      <c r="P746" s="369"/>
      <c r="Q746" s="350">
        <f t="shared" si="309"/>
        <v>29984494.448208123</v>
      </c>
      <c r="R746" s="350">
        <f t="shared" si="310"/>
        <v>60567450.670084566</v>
      </c>
      <c r="S746" s="350">
        <f t="shared" si="311"/>
        <v>91613019.436276615</v>
      </c>
      <c r="T746" s="350">
        <f t="shared" si="312"/>
        <v>123133751.28124236</v>
      </c>
      <c r="U746" s="350">
        <f t="shared" si="313"/>
        <v>155135010.58206984</v>
      </c>
      <c r="V746" s="350">
        <f t="shared" si="314"/>
        <v>460433726.41788149</v>
      </c>
      <c r="W746" s="365"/>
      <c r="X746" s="377">
        <f t="shared" si="292"/>
        <v>0</v>
      </c>
      <c r="Y746" s="377">
        <f t="shared" si="293"/>
        <v>0</v>
      </c>
      <c r="Z746" s="377">
        <f t="shared" si="294"/>
        <v>0</v>
      </c>
      <c r="AA746" s="377">
        <f t="shared" si="295"/>
        <v>0</v>
      </c>
      <c r="AB746" s="377">
        <f t="shared" si="296"/>
        <v>0</v>
      </c>
      <c r="AC746" s="377">
        <f t="shared" si="297"/>
        <v>0</v>
      </c>
      <c r="AD746" s="376"/>
      <c r="AE746" s="332">
        <v>731</v>
      </c>
      <c r="AF746" s="350">
        <v>141415311.20559311</v>
      </c>
      <c r="AG746" s="350">
        <v>142575199.6549699</v>
      </c>
      <c r="AH746" s="350">
        <v>143686487.08441922</v>
      </c>
      <c r="AI746" s="350">
        <v>144800415.23807585</v>
      </c>
      <c r="AJ746" s="350">
        <v>145920444.31594312</v>
      </c>
      <c r="AK746" s="348">
        <v>718397857.49900126</v>
      </c>
      <c r="AL746" s="369"/>
      <c r="AM746" s="350">
        <v>169857457.73144206</v>
      </c>
      <c r="AN746" s="350">
        <v>200044890.15179974</v>
      </c>
      <c r="AO746" s="350">
        <v>230622814.37259167</v>
      </c>
      <c r="AP746" s="350">
        <v>261654378.08029795</v>
      </c>
      <c r="AQ746" s="350">
        <v>293148132.62293231</v>
      </c>
      <c r="AR746" s="348">
        <v>1155327672.9590635</v>
      </c>
      <c r="AS746" s="369"/>
      <c r="AT746" s="350">
        <f t="shared" si="315"/>
        <v>28442146.525848955</v>
      </c>
      <c r="AU746" s="350">
        <f t="shared" si="298"/>
        <v>57469690.496829838</v>
      </c>
      <c r="AV746" s="350">
        <f t="shared" si="299"/>
        <v>86936327.288172454</v>
      </c>
      <c r="AW746" s="350">
        <f t="shared" si="300"/>
        <v>116853962.84222209</v>
      </c>
      <c r="AX746" s="350">
        <f t="shared" si="301"/>
        <v>147227688.30698919</v>
      </c>
      <c r="AY746" s="350">
        <f t="shared" si="302"/>
        <v>436929815.46006227</v>
      </c>
      <c r="AZ746" s="365"/>
      <c r="BA746" s="377">
        <f t="shared" si="303"/>
        <v>0</v>
      </c>
      <c r="BB746" s="377">
        <f t="shared" si="304"/>
        <v>0</v>
      </c>
      <c r="BC746" s="377">
        <f t="shared" si="305"/>
        <v>0</v>
      </c>
      <c r="BD746" s="377">
        <f t="shared" si="306"/>
        <v>0</v>
      </c>
      <c r="BE746" s="377">
        <f t="shared" si="307"/>
        <v>0</v>
      </c>
      <c r="BF746" s="377">
        <f t="shared" si="308"/>
        <v>0</v>
      </c>
      <c r="BG746" s="328"/>
    </row>
    <row r="747" spans="2:59">
      <c r="B747" s="332">
        <v>732</v>
      </c>
      <c r="C747" s="350">
        <v>159215550.10140112</v>
      </c>
      <c r="D747" s="350">
        <v>160521436.11861825</v>
      </c>
      <c r="E747" s="350">
        <v>161772603.60460079</v>
      </c>
      <c r="F747" s="350">
        <v>163026744.20823058</v>
      </c>
      <c r="G747" s="350">
        <v>164287753.6720711</v>
      </c>
      <c r="H747" s="348">
        <v>808824087.70492184</v>
      </c>
      <c r="I747" s="369"/>
      <c r="J747" s="350">
        <v>198943280.46487534</v>
      </c>
      <c r="K747" s="350">
        <v>240741372.11194348</v>
      </c>
      <c r="L747" s="350">
        <v>283097236.70367575</v>
      </c>
      <c r="M747" s="350">
        <v>326085193.0442338</v>
      </c>
      <c r="N747" s="350">
        <v>369716240.02425432</v>
      </c>
      <c r="O747" s="348">
        <v>1418583322.3489828</v>
      </c>
      <c r="P747" s="369"/>
      <c r="Q747" s="350">
        <f t="shared" si="309"/>
        <v>39727730.36347422</v>
      </c>
      <c r="R747" s="350">
        <f t="shared" si="310"/>
        <v>80219935.993325233</v>
      </c>
      <c r="S747" s="350">
        <f t="shared" si="311"/>
        <v>121324633.09907496</v>
      </c>
      <c r="T747" s="350">
        <f t="shared" si="312"/>
        <v>163058448.83600321</v>
      </c>
      <c r="U747" s="350">
        <f t="shared" si="313"/>
        <v>205428486.35218322</v>
      </c>
      <c r="V747" s="350">
        <f t="shared" si="314"/>
        <v>609759234.64406097</v>
      </c>
      <c r="W747" s="365"/>
      <c r="X747" s="377">
        <f t="shared" si="292"/>
        <v>0</v>
      </c>
      <c r="Y747" s="377">
        <f t="shared" si="293"/>
        <v>0</v>
      </c>
      <c r="Z747" s="377">
        <f t="shared" si="294"/>
        <v>0</v>
      </c>
      <c r="AA747" s="377">
        <f t="shared" si="295"/>
        <v>0</v>
      </c>
      <c r="AB747" s="377">
        <f t="shared" si="296"/>
        <v>0</v>
      </c>
      <c r="AC747" s="377">
        <f t="shared" si="297"/>
        <v>0</v>
      </c>
      <c r="AD747" s="376"/>
      <c r="AE747" s="332">
        <v>732</v>
      </c>
      <c r="AF747" s="350">
        <v>151638176.43829733</v>
      </c>
      <c r="AG747" s="350">
        <v>152881912.83314666</v>
      </c>
      <c r="AH747" s="350">
        <v>154073534.85670188</v>
      </c>
      <c r="AI747" s="350">
        <v>155267988.50152823</v>
      </c>
      <c r="AJ747" s="350">
        <v>156468984.1043222</v>
      </c>
      <c r="AK747" s="348">
        <v>770330596.73399627</v>
      </c>
      <c r="AL747" s="369"/>
      <c r="AM747" s="350">
        <v>192963460.60234711</v>
      </c>
      <c r="AN747" s="350">
        <v>236319220.41566262</v>
      </c>
      <c r="AO747" s="350">
        <v>280259855.03043735</v>
      </c>
      <c r="AP747" s="350">
        <v>324857605.74396801</v>
      </c>
      <c r="AQ747" s="350">
        <v>370123570.38277721</v>
      </c>
      <c r="AR747" s="348">
        <v>1404523712.1751924</v>
      </c>
      <c r="AS747" s="369"/>
      <c r="AT747" s="350">
        <f t="shared" si="315"/>
        <v>41325284.164049774</v>
      </c>
      <c r="AU747" s="350">
        <f t="shared" si="298"/>
        <v>83437307.582515955</v>
      </c>
      <c r="AV747" s="350">
        <f t="shared" si="299"/>
        <v>126186320.17373547</v>
      </c>
      <c r="AW747" s="350">
        <f t="shared" si="300"/>
        <v>169589617.24243978</v>
      </c>
      <c r="AX747" s="350">
        <f t="shared" si="301"/>
        <v>213654586.27845502</v>
      </c>
      <c r="AY747" s="350">
        <f t="shared" si="302"/>
        <v>634193115.44119608</v>
      </c>
      <c r="AZ747" s="365"/>
      <c r="BA747" s="377">
        <f t="shared" si="303"/>
        <v>0</v>
      </c>
      <c r="BB747" s="377">
        <f t="shared" si="304"/>
        <v>0</v>
      </c>
      <c r="BC747" s="377">
        <f t="shared" si="305"/>
        <v>0</v>
      </c>
      <c r="BD747" s="377">
        <f t="shared" si="306"/>
        <v>0</v>
      </c>
      <c r="BE747" s="377">
        <f t="shared" si="307"/>
        <v>0</v>
      </c>
      <c r="BF747" s="377">
        <f t="shared" si="308"/>
        <v>0</v>
      </c>
      <c r="BG747" s="328"/>
    </row>
    <row r="748" spans="2:59">
      <c r="B748" s="332">
        <v>733</v>
      </c>
      <c r="C748" s="350">
        <v>127825368.42769372</v>
      </c>
      <c r="D748" s="350">
        <v>128873792.15998018</v>
      </c>
      <c r="E748" s="350">
        <v>129878285.40676804</v>
      </c>
      <c r="F748" s="350">
        <v>130885165.60544848</v>
      </c>
      <c r="G748" s="350">
        <v>131897560.43248367</v>
      </c>
      <c r="H748" s="348">
        <v>649360172.03237414</v>
      </c>
      <c r="I748" s="369"/>
      <c r="J748" s="350">
        <v>158752860.44773316</v>
      </c>
      <c r="K748" s="350">
        <v>191373880.66253504</v>
      </c>
      <c r="L748" s="350">
        <v>224428565.57401949</v>
      </c>
      <c r="M748" s="350">
        <v>257976179.40804908</v>
      </c>
      <c r="N748" s="350">
        <v>292025387.17189944</v>
      </c>
      <c r="O748" s="348">
        <v>1124556873.2642365</v>
      </c>
      <c r="P748" s="369"/>
      <c r="Q748" s="350">
        <f t="shared" si="309"/>
        <v>30927492.020039439</v>
      </c>
      <c r="R748" s="350">
        <f t="shared" si="310"/>
        <v>62500088.502554864</v>
      </c>
      <c r="S748" s="350">
        <f t="shared" si="311"/>
        <v>94550280.167251453</v>
      </c>
      <c r="T748" s="350">
        <f t="shared" si="312"/>
        <v>127091013.80260059</v>
      </c>
      <c r="U748" s="350">
        <f t="shared" si="313"/>
        <v>160127826.73941576</v>
      </c>
      <c r="V748" s="350">
        <f t="shared" si="314"/>
        <v>475196701.23186231</v>
      </c>
      <c r="W748" s="365"/>
      <c r="X748" s="377">
        <f t="shared" si="292"/>
        <v>0</v>
      </c>
      <c r="Y748" s="377">
        <f t="shared" si="293"/>
        <v>0</v>
      </c>
      <c r="Z748" s="377">
        <f t="shared" si="294"/>
        <v>0</v>
      </c>
      <c r="AA748" s="377">
        <f t="shared" si="295"/>
        <v>0</v>
      </c>
      <c r="AB748" s="377">
        <f t="shared" si="296"/>
        <v>0</v>
      </c>
      <c r="AC748" s="377">
        <f t="shared" si="297"/>
        <v>0</v>
      </c>
      <c r="AD748" s="376"/>
      <c r="AE748" s="332">
        <v>733</v>
      </c>
      <c r="AF748" s="350">
        <v>133500958.97036032</v>
      </c>
      <c r="AG748" s="350">
        <v>134595933.89896145</v>
      </c>
      <c r="AH748" s="350">
        <v>135645027.77895513</v>
      </c>
      <c r="AI748" s="350">
        <v>136696614.59419787</v>
      </c>
      <c r="AJ748" s="350">
        <v>137753960.89351466</v>
      </c>
      <c r="AK748" s="348">
        <v>678192496.13598943</v>
      </c>
      <c r="AL748" s="369"/>
      <c r="AM748" s="350">
        <v>169918599.37508407</v>
      </c>
      <c r="AN748" s="350">
        <v>208129319.35548034</v>
      </c>
      <c r="AO748" s="350">
        <v>246855575.65145543</v>
      </c>
      <c r="AP748" s="350">
        <v>286160983.88919973</v>
      </c>
      <c r="AQ748" s="350">
        <v>326055321.52738148</v>
      </c>
      <c r="AR748" s="348">
        <v>1237119799.7986012</v>
      </c>
      <c r="AS748" s="369"/>
      <c r="AT748" s="350">
        <f t="shared" si="315"/>
        <v>36417640.404723749</v>
      </c>
      <c r="AU748" s="350">
        <f t="shared" si="298"/>
        <v>73533385.456518888</v>
      </c>
      <c r="AV748" s="350">
        <f t="shared" si="299"/>
        <v>111210547.8725003</v>
      </c>
      <c r="AW748" s="350">
        <f t="shared" si="300"/>
        <v>149464369.29500186</v>
      </c>
      <c r="AX748" s="350">
        <f t="shared" si="301"/>
        <v>188301360.63386682</v>
      </c>
      <c r="AY748" s="350">
        <f t="shared" si="302"/>
        <v>558927303.66261172</v>
      </c>
      <c r="AZ748" s="365"/>
      <c r="BA748" s="377">
        <f t="shared" si="303"/>
        <v>0</v>
      </c>
      <c r="BB748" s="377">
        <f t="shared" si="304"/>
        <v>0</v>
      </c>
      <c r="BC748" s="377">
        <f t="shared" si="305"/>
        <v>0</v>
      </c>
      <c r="BD748" s="377">
        <f t="shared" si="306"/>
        <v>0</v>
      </c>
      <c r="BE748" s="377">
        <f t="shared" si="307"/>
        <v>0</v>
      </c>
      <c r="BF748" s="377">
        <f t="shared" si="308"/>
        <v>0</v>
      </c>
      <c r="BG748" s="328"/>
    </row>
    <row r="749" spans="2:59">
      <c r="B749" s="332">
        <v>734</v>
      </c>
      <c r="C749" s="350">
        <v>128466246.79441938</v>
      </c>
      <c r="D749" s="350">
        <v>129519927.01137272</v>
      </c>
      <c r="E749" s="350">
        <v>130529456.4884434</v>
      </c>
      <c r="F749" s="350">
        <v>131541384.88487327</v>
      </c>
      <c r="G749" s="350">
        <v>132558855.5583638</v>
      </c>
      <c r="H749" s="348">
        <v>652615870.73747253</v>
      </c>
      <c r="I749" s="369"/>
      <c r="J749" s="350">
        <v>159787636.7274383</v>
      </c>
      <c r="K749" s="350">
        <v>192760234.75983769</v>
      </c>
      <c r="L749" s="350">
        <v>226171490.22842029</v>
      </c>
      <c r="M749" s="350">
        <v>260081061.37333074</v>
      </c>
      <c r="N749" s="350">
        <v>294497690.89117199</v>
      </c>
      <c r="O749" s="348">
        <v>1133298113.9801989</v>
      </c>
      <c r="P749" s="369"/>
      <c r="Q749" s="350">
        <f t="shared" si="309"/>
        <v>31321389.933018923</v>
      </c>
      <c r="R749" s="350">
        <f t="shared" si="310"/>
        <v>63240307.748464972</v>
      </c>
      <c r="S749" s="350">
        <f t="shared" si="311"/>
        <v>95642033.739976883</v>
      </c>
      <c r="T749" s="350">
        <f t="shared" si="312"/>
        <v>128539676.48845747</v>
      </c>
      <c r="U749" s="350">
        <f t="shared" si="313"/>
        <v>161938835.3328082</v>
      </c>
      <c r="V749" s="350">
        <f t="shared" si="314"/>
        <v>480682243.24272633</v>
      </c>
      <c r="W749" s="365"/>
      <c r="X749" s="377">
        <f t="shared" si="292"/>
        <v>0</v>
      </c>
      <c r="Y749" s="377">
        <f t="shared" si="293"/>
        <v>0</v>
      </c>
      <c r="Z749" s="377">
        <f t="shared" si="294"/>
        <v>0</v>
      </c>
      <c r="AA749" s="377">
        <f t="shared" si="295"/>
        <v>0</v>
      </c>
      <c r="AB749" s="377">
        <f t="shared" si="296"/>
        <v>0</v>
      </c>
      <c r="AC749" s="377">
        <f t="shared" si="297"/>
        <v>0</v>
      </c>
      <c r="AD749" s="376"/>
      <c r="AE749" s="332">
        <v>734</v>
      </c>
      <c r="AF749" s="350">
        <v>138100377.69285724</v>
      </c>
      <c r="AG749" s="350">
        <v>139233077.05599511</v>
      </c>
      <c r="AH749" s="350">
        <v>140318314.6616258</v>
      </c>
      <c r="AI749" s="350">
        <v>141406131.08992639</v>
      </c>
      <c r="AJ749" s="350">
        <v>142499905.4299311</v>
      </c>
      <c r="AK749" s="348">
        <v>701557805.93033576</v>
      </c>
      <c r="AL749" s="369"/>
      <c r="AM749" s="350">
        <v>177927699.35839334</v>
      </c>
      <c r="AN749" s="350">
        <v>219659534.05073768</v>
      </c>
      <c r="AO749" s="350">
        <v>261958018.40532002</v>
      </c>
      <c r="AP749" s="350">
        <v>304889862.1405862</v>
      </c>
      <c r="AQ749" s="350">
        <v>348465566.12776399</v>
      </c>
      <c r="AR749" s="348">
        <v>1312900680.0828013</v>
      </c>
      <c r="AS749" s="369"/>
      <c r="AT749" s="350">
        <f t="shared" si="315"/>
        <v>39827321.665536106</v>
      </c>
      <c r="AU749" s="350">
        <f t="shared" si="298"/>
        <v>80426456.994742572</v>
      </c>
      <c r="AV749" s="350">
        <f t="shared" si="299"/>
        <v>121639703.74369422</v>
      </c>
      <c r="AW749" s="350">
        <f t="shared" si="300"/>
        <v>163483731.05065981</v>
      </c>
      <c r="AX749" s="350">
        <f t="shared" si="301"/>
        <v>205965660.69783288</v>
      </c>
      <c r="AY749" s="350">
        <f t="shared" si="302"/>
        <v>611342874.15246558</v>
      </c>
      <c r="AZ749" s="365"/>
      <c r="BA749" s="377">
        <f t="shared" si="303"/>
        <v>0</v>
      </c>
      <c r="BB749" s="377">
        <f t="shared" si="304"/>
        <v>0</v>
      </c>
      <c r="BC749" s="377">
        <f t="shared" si="305"/>
        <v>0</v>
      </c>
      <c r="BD749" s="377">
        <f t="shared" si="306"/>
        <v>0</v>
      </c>
      <c r="BE749" s="377">
        <f t="shared" si="307"/>
        <v>0</v>
      </c>
      <c r="BF749" s="377">
        <f t="shared" si="308"/>
        <v>0</v>
      </c>
      <c r="BG749" s="328"/>
    </row>
    <row r="750" spans="2:59">
      <c r="B750" s="332">
        <v>735</v>
      </c>
      <c r="C750" s="350">
        <v>131864694.39897226</v>
      </c>
      <c r="D750" s="350">
        <v>132946248.68478516</v>
      </c>
      <c r="E750" s="350">
        <v>133982484.26652288</v>
      </c>
      <c r="F750" s="350">
        <v>135021182.22866076</v>
      </c>
      <c r="G750" s="350">
        <v>136065569.08332193</v>
      </c>
      <c r="H750" s="348">
        <v>669880178.66226292</v>
      </c>
      <c r="I750" s="369"/>
      <c r="J750" s="350">
        <v>167227222.66485783</v>
      </c>
      <c r="K750" s="350">
        <v>204366292.79929838</v>
      </c>
      <c r="L750" s="350">
        <v>242005462.60330662</v>
      </c>
      <c r="M750" s="350">
        <v>280207314.16499895</v>
      </c>
      <c r="N750" s="350">
        <v>318981398.88016355</v>
      </c>
      <c r="O750" s="348">
        <v>1212787691.1126251</v>
      </c>
      <c r="P750" s="369"/>
      <c r="Q750" s="350">
        <f t="shared" si="309"/>
        <v>35362528.265885577</v>
      </c>
      <c r="R750" s="350">
        <f t="shared" si="310"/>
        <v>71420044.114513218</v>
      </c>
      <c r="S750" s="350">
        <f t="shared" si="311"/>
        <v>108022978.33678374</v>
      </c>
      <c r="T750" s="350">
        <f t="shared" si="312"/>
        <v>145186131.93633819</v>
      </c>
      <c r="U750" s="350">
        <f t="shared" si="313"/>
        <v>182915829.79684162</v>
      </c>
      <c r="V750" s="350">
        <f t="shared" si="314"/>
        <v>542907512.45036221</v>
      </c>
      <c r="W750" s="365"/>
      <c r="X750" s="377">
        <f t="shared" si="292"/>
        <v>0</v>
      </c>
      <c r="Y750" s="377">
        <f t="shared" si="293"/>
        <v>0</v>
      </c>
      <c r="Z750" s="377">
        <f t="shared" si="294"/>
        <v>0</v>
      </c>
      <c r="AA750" s="377">
        <f t="shared" si="295"/>
        <v>0</v>
      </c>
      <c r="AB750" s="377">
        <f t="shared" si="296"/>
        <v>0</v>
      </c>
      <c r="AC750" s="377">
        <f t="shared" si="297"/>
        <v>0</v>
      </c>
      <c r="AD750" s="376"/>
      <c r="AE750" s="332">
        <v>735</v>
      </c>
      <c r="AF750" s="350">
        <v>129740593.35324556</v>
      </c>
      <c r="AG750" s="350">
        <v>130804725.76127702</v>
      </c>
      <c r="AH750" s="350">
        <v>131824269.46735522</v>
      </c>
      <c r="AI750" s="350">
        <v>132846235.88935173</v>
      </c>
      <c r="AJ750" s="350">
        <v>133873799.56613159</v>
      </c>
      <c r="AK750" s="348">
        <v>659089624.03736115</v>
      </c>
      <c r="AL750" s="369"/>
      <c r="AM750" s="350">
        <v>165127829.13263088</v>
      </c>
      <c r="AN750" s="350">
        <v>202258928.90778261</v>
      </c>
      <c r="AO750" s="350">
        <v>239890994.04190275</v>
      </c>
      <c r="AP750" s="350">
        <v>278085846.42316729</v>
      </c>
      <c r="AQ750" s="350">
        <v>316852987.49042487</v>
      </c>
      <c r="AR750" s="348">
        <v>1202216585.9959085</v>
      </c>
      <c r="AS750" s="369"/>
      <c r="AT750" s="350">
        <f t="shared" si="315"/>
        <v>35387235.779385328</v>
      </c>
      <c r="AU750" s="350">
        <f t="shared" si="298"/>
        <v>71454203.146505594</v>
      </c>
      <c r="AV750" s="350">
        <f t="shared" si="299"/>
        <v>108066724.57454753</v>
      </c>
      <c r="AW750" s="350">
        <f t="shared" si="300"/>
        <v>145239610.53381556</v>
      </c>
      <c r="AX750" s="350">
        <f t="shared" si="301"/>
        <v>182979187.92429328</v>
      </c>
      <c r="AY750" s="350">
        <f t="shared" si="302"/>
        <v>543126961.95854735</v>
      </c>
      <c r="AZ750" s="365"/>
      <c r="BA750" s="377">
        <f t="shared" si="303"/>
        <v>0</v>
      </c>
      <c r="BB750" s="377">
        <f t="shared" si="304"/>
        <v>0</v>
      </c>
      <c r="BC750" s="377">
        <f t="shared" si="305"/>
        <v>0</v>
      </c>
      <c r="BD750" s="377">
        <f t="shared" si="306"/>
        <v>0</v>
      </c>
      <c r="BE750" s="377">
        <f t="shared" si="307"/>
        <v>0</v>
      </c>
      <c r="BF750" s="377">
        <f t="shared" si="308"/>
        <v>0</v>
      </c>
      <c r="BG750" s="328"/>
    </row>
    <row r="751" spans="2:59">
      <c r="B751" s="332">
        <v>736</v>
      </c>
      <c r="C751" s="350">
        <v>124376225.824258</v>
      </c>
      <c r="D751" s="350">
        <v>125396359.6872801</v>
      </c>
      <c r="E751" s="350">
        <v>126373748.45164031</v>
      </c>
      <c r="F751" s="350">
        <v>127353459.7601971</v>
      </c>
      <c r="G751" s="350">
        <v>128338536.89456788</v>
      </c>
      <c r="H751" s="348">
        <v>631838330.61794341</v>
      </c>
      <c r="I751" s="369"/>
      <c r="J751" s="350">
        <v>163638956.94601458</v>
      </c>
      <c r="K751" s="350">
        <v>204670273.058294</v>
      </c>
      <c r="L751" s="350">
        <v>246264056.23874992</v>
      </c>
      <c r="M751" s="350">
        <v>288481806.27727181</v>
      </c>
      <c r="N751" s="350">
        <v>331333585.38354796</v>
      </c>
      <c r="O751" s="348">
        <v>1234388677.9038782</v>
      </c>
      <c r="P751" s="369"/>
      <c r="Q751" s="350">
        <f t="shared" si="309"/>
        <v>39262731.121756583</v>
      </c>
      <c r="R751" s="350">
        <f t="shared" si="310"/>
        <v>79273913.371013895</v>
      </c>
      <c r="S751" s="350">
        <f t="shared" si="311"/>
        <v>119890307.78710961</v>
      </c>
      <c r="T751" s="350">
        <f t="shared" si="312"/>
        <v>161128346.5170747</v>
      </c>
      <c r="U751" s="350">
        <f t="shared" si="313"/>
        <v>202995048.48898008</v>
      </c>
      <c r="V751" s="350">
        <f t="shared" si="314"/>
        <v>602550347.28593481</v>
      </c>
      <c r="W751" s="365"/>
      <c r="X751" s="377">
        <f t="shared" si="292"/>
        <v>0</v>
      </c>
      <c r="Y751" s="377">
        <f t="shared" si="293"/>
        <v>0</v>
      </c>
      <c r="Z751" s="377">
        <f t="shared" si="294"/>
        <v>0</v>
      </c>
      <c r="AA751" s="377">
        <f t="shared" si="295"/>
        <v>0</v>
      </c>
      <c r="AB751" s="377">
        <f t="shared" si="296"/>
        <v>0</v>
      </c>
      <c r="AC751" s="377">
        <f t="shared" si="297"/>
        <v>0</v>
      </c>
      <c r="AD751" s="376"/>
      <c r="AE751" s="332">
        <v>736</v>
      </c>
      <c r="AF751" s="350">
        <v>120034591.82453212</v>
      </c>
      <c r="AG751" s="350">
        <v>121019115.60343556</v>
      </c>
      <c r="AH751" s="350">
        <v>121962386.3982065</v>
      </c>
      <c r="AI751" s="350">
        <v>122907898.66350597</v>
      </c>
      <c r="AJ751" s="350">
        <v>123858589.44831039</v>
      </c>
      <c r="AK751" s="348">
        <v>609782581.93799055</v>
      </c>
      <c r="AL751" s="369"/>
      <c r="AM751" s="350">
        <v>151746845.83457628</v>
      </c>
      <c r="AN751" s="350">
        <v>185082006.63989064</v>
      </c>
      <c r="AO751" s="350">
        <v>218865268.31117755</v>
      </c>
      <c r="AP751" s="350">
        <v>253153399.32362846</v>
      </c>
      <c r="AQ751" s="350">
        <v>287955011.03808302</v>
      </c>
      <c r="AR751" s="348">
        <v>1096802531.147356</v>
      </c>
      <c r="AS751" s="369"/>
      <c r="AT751" s="350">
        <f t="shared" si="315"/>
        <v>31712254.010044158</v>
      </c>
      <c r="AU751" s="350">
        <f t="shared" si="298"/>
        <v>64062891.03645508</v>
      </c>
      <c r="AV751" s="350">
        <f t="shared" si="299"/>
        <v>96902881.91297105</v>
      </c>
      <c r="AW751" s="350">
        <f t="shared" si="300"/>
        <v>130245500.66012248</v>
      </c>
      <c r="AX751" s="350">
        <f t="shared" si="301"/>
        <v>164096421.58977264</v>
      </c>
      <c r="AY751" s="350">
        <f t="shared" si="302"/>
        <v>487019949.20936549</v>
      </c>
      <c r="AZ751" s="365"/>
      <c r="BA751" s="377">
        <f t="shared" si="303"/>
        <v>0</v>
      </c>
      <c r="BB751" s="377">
        <f t="shared" si="304"/>
        <v>0</v>
      </c>
      <c r="BC751" s="377">
        <f t="shared" si="305"/>
        <v>0</v>
      </c>
      <c r="BD751" s="377">
        <f t="shared" si="306"/>
        <v>0</v>
      </c>
      <c r="BE751" s="377">
        <f t="shared" si="307"/>
        <v>0</v>
      </c>
      <c r="BF751" s="377">
        <f t="shared" si="308"/>
        <v>0</v>
      </c>
      <c r="BG751" s="328"/>
    </row>
    <row r="752" spans="2:59">
      <c r="B752" s="332">
        <v>737</v>
      </c>
      <c r="C752" s="350">
        <v>143434704.70617133</v>
      </c>
      <c r="D752" s="350">
        <v>144611156.22199473</v>
      </c>
      <c r="E752" s="350">
        <v>145738312.70121789</v>
      </c>
      <c r="F752" s="350">
        <v>146868147.61386991</v>
      </c>
      <c r="G752" s="350">
        <v>148004170.57119066</v>
      </c>
      <c r="H752" s="348">
        <v>728656491.81444454</v>
      </c>
      <c r="I752" s="369"/>
      <c r="J752" s="350">
        <v>171179634.28043807</v>
      </c>
      <c r="K752" s="350">
        <v>200663308.76602492</v>
      </c>
      <c r="L752" s="350">
        <v>230525880.86472896</v>
      </c>
      <c r="M752" s="350">
        <v>260830937.64603308</v>
      </c>
      <c r="N752" s="350">
        <v>291586953.73104703</v>
      </c>
      <c r="O752" s="348">
        <v>1154786715.2882719</v>
      </c>
      <c r="P752" s="369"/>
      <c r="Q752" s="350">
        <f t="shared" si="309"/>
        <v>27744929.574266732</v>
      </c>
      <c r="R752" s="350">
        <f t="shared" si="310"/>
        <v>56052152.54403019</v>
      </c>
      <c r="S752" s="350">
        <f t="shared" si="311"/>
        <v>84787568.163511068</v>
      </c>
      <c r="T752" s="350">
        <f t="shared" si="312"/>
        <v>113962790.03216317</v>
      </c>
      <c r="U752" s="350">
        <f t="shared" si="313"/>
        <v>143582783.15985638</v>
      </c>
      <c r="V752" s="350">
        <f t="shared" si="314"/>
        <v>426130223.47382736</v>
      </c>
      <c r="W752" s="365"/>
      <c r="X752" s="377">
        <f t="shared" si="292"/>
        <v>0</v>
      </c>
      <c r="Y752" s="377">
        <f t="shared" si="293"/>
        <v>0</v>
      </c>
      <c r="Z752" s="377">
        <f t="shared" si="294"/>
        <v>0</v>
      </c>
      <c r="AA752" s="377">
        <f t="shared" si="295"/>
        <v>0</v>
      </c>
      <c r="AB752" s="377">
        <f t="shared" si="296"/>
        <v>0</v>
      </c>
      <c r="AC752" s="377">
        <f t="shared" si="297"/>
        <v>0</v>
      </c>
      <c r="AD752" s="376"/>
      <c r="AE752" s="332">
        <v>737</v>
      </c>
      <c r="AF752" s="350">
        <v>129275017.29971147</v>
      </c>
      <c r="AG752" s="350">
        <v>130335331.05273172</v>
      </c>
      <c r="AH752" s="350">
        <v>131351216.11102045</v>
      </c>
      <c r="AI752" s="350">
        <v>132369515.19127519</v>
      </c>
      <c r="AJ752" s="350">
        <v>133393391.44048113</v>
      </c>
      <c r="AK752" s="348">
        <v>656724471.09521997</v>
      </c>
      <c r="AL752" s="369"/>
      <c r="AM752" s="350">
        <v>160788753.99326897</v>
      </c>
      <c r="AN752" s="350">
        <v>193994564.99861121</v>
      </c>
      <c r="AO752" s="350">
        <v>227642196.88632548</v>
      </c>
      <c r="AP752" s="350">
        <v>261791683.15292966</v>
      </c>
      <c r="AQ752" s="350">
        <v>296451825.33545935</v>
      </c>
      <c r="AR752" s="348">
        <v>1140669024.3665948</v>
      </c>
      <c r="AS752" s="369"/>
      <c r="AT752" s="350">
        <f t="shared" si="315"/>
        <v>31513736.693557501</v>
      </c>
      <c r="AU752" s="350">
        <f t="shared" si="298"/>
        <v>63659233.945879489</v>
      </c>
      <c r="AV752" s="350">
        <f t="shared" si="299"/>
        <v>96290980.775305033</v>
      </c>
      <c r="AW752" s="350">
        <f t="shared" si="300"/>
        <v>129422167.96165447</v>
      </c>
      <c r="AX752" s="350">
        <f t="shared" si="301"/>
        <v>163058433.89497823</v>
      </c>
      <c r="AY752" s="350">
        <f t="shared" si="302"/>
        <v>483944553.27137482</v>
      </c>
      <c r="AZ752" s="365"/>
      <c r="BA752" s="377">
        <f t="shared" si="303"/>
        <v>0</v>
      </c>
      <c r="BB752" s="377">
        <f t="shared" si="304"/>
        <v>0</v>
      </c>
      <c r="BC752" s="377">
        <f t="shared" si="305"/>
        <v>0</v>
      </c>
      <c r="BD752" s="377">
        <f t="shared" si="306"/>
        <v>0</v>
      </c>
      <c r="BE752" s="377">
        <f t="shared" si="307"/>
        <v>0</v>
      </c>
      <c r="BF752" s="377">
        <f t="shared" si="308"/>
        <v>0</v>
      </c>
      <c r="BG752" s="328"/>
    </row>
    <row r="753" spans="2:59">
      <c r="B753" s="332">
        <v>738</v>
      </c>
      <c r="C753" s="350">
        <v>113305062.93942046</v>
      </c>
      <c r="D753" s="350">
        <v>114234391.11922613</v>
      </c>
      <c r="E753" s="350">
        <v>115124779.09110905</v>
      </c>
      <c r="F753" s="350">
        <v>116017282.86940619</v>
      </c>
      <c r="G753" s="350">
        <v>116914674.84259386</v>
      </c>
      <c r="H753" s="348">
        <v>575596190.86175573</v>
      </c>
      <c r="I753" s="369"/>
      <c r="J753" s="350">
        <v>145014540.43027014</v>
      </c>
      <c r="K753" s="350">
        <v>178288973.09936473</v>
      </c>
      <c r="L753" s="350">
        <v>212013734.47430792</v>
      </c>
      <c r="M753" s="350">
        <v>246243153.27774781</v>
      </c>
      <c r="N753" s="350">
        <v>280985675.30106544</v>
      </c>
      <c r="O753" s="348">
        <v>1062546076.582756</v>
      </c>
      <c r="P753" s="369"/>
      <c r="Q753" s="350">
        <f t="shared" si="309"/>
        <v>31709477.490849674</v>
      </c>
      <c r="R753" s="350">
        <f t="shared" si="310"/>
        <v>64054581.9801386</v>
      </c>
      <c r="S753" s="350">
        <f t="shared" si="311"/>
        <v>96888955.383198872</v>
      </c>
      <c r="T753" s="350">
        <f t="shared" si="312"/>
        <v>130225870.40834162</v>
      </c>
      <c r="U753" s="350">
        <f t="shared" si="313"/>
        <v>164071000.4584716</v>
      </c>
      <c r="V753" s="350">
        <f t="shared" si="314"/>
        <v>486949885.72100031</v>
      </c>
      <c r="W753" s="365"/>
      <c r="X753" s="377">
        <f t="shared" si="292"/>
        <v>0</v>
      </c>
      <c r="Y753" s="377">
        <f t="shared" si="293"/>
        <v>0</v>
      </c>
      <c r="Z753" s="377">
        <f t="shared" si="294"/>
        <v>0</v>
      </c>
      <c r="AA753" s="377">
        <f t="shared" si="295"/>
        <v>0</v>
      </c>
      <c r="AB753" s="377">
        <f t="shared" si="296"/>
        <v>0</v>
      </c>
      <c r="AC753" s="377">
        <f t="shared" si="297"/>
        <v>0</v>
      </c>
      <c r="AD753" s="376"/>
      <c r="AE753" s="332">
        <v>738</v>
      </c>
      <c r="AF753" s="350">
        <v>122861603.6433021</v>
      </c>
      <c r="AG753" s="350">
        <v>123869314.57447985</v>
      </c>
      <c r="AH753" s="350">
        <v>124834800.94598237</v>
      </c>
      <c r="AI753" s="350">
        <v>125802581.57832639</v>
      </c>
      <c r="AJ753" s="350">
        <v>126775662.69281645</v>
      </c>
      <c r="AK753" s="348">
        <v>624143963.4349072</v>
      </c>
      <c r="AL753" s="369"/>
      <c r="AM753" s="350">
        <v>150674797.20696878</v>
      </c>
      <c r="AN753" s="350">
        <v>180069696.6589188</v>
      </c>
      <c r="AO753" s="350">
        <v>209851778.57823542</v>
      </c>
      <c r="AP753" s="350">
        <v>240077204.5324651</v>
      </c>
      <c r="AQ753" s="350">
        <v>270753959.54373181</v>
      </c>
      <c r="AR753" s="348">
        <v>1051427436.5203199</v>
      </c>
      <c r="AS753" s="369"/>
      <c r="AT753" s="350">
        <f t="shared" si="315"/>
        <v>27813193.563666686</v>
      </c>
      <c r="AU753" s="350">
        <f t="shared" si="298"/>
        <v>56200382.08443895</v>
      </c>
      <c r="AV753" s="350">
        <f t="shared" si="299"/>
        <v>85016977.632253051</v>
      </c>
      <c r="AW753" s="350">
        <f t="shared" si="300"/>
        <v>114274622.95413871</v>
      </c>
      <c r="AX753" s="350">
        <f t="shared" si="301"/>
        <v>143978296.85091537</v>
      </c>
      <c r="AY753" s="350">
        <f t="shared" si="302"/>
        <v>427283473.08541274</v>
      </c>
      <c r="AZ753" s="365"/>
      <c r="BA753" s="377">
        <f t="shared" si="303"/>
        <v>0</v>
      </c>
      <c r="BB753" s="377">
        <f t="shared" si="304"/>
        <v>0</v>
      </c>
      <c r="BC753" s="377">
        <f t="shared" si="305"/>
        <v>0</v>
      </c>
      <c r="BD753" s="377">
        <f t="shared" si="306"/>
        <v>0</v>
      </c>
      <c r="BE753" s="377">
        <f t="shared" si="307"/>
        <v>0</v>
      </c>
      <c r="BF753" s="377">
        <f t="shared" si="308"/>
        <v>0</v>
      </c>
      <c r="BG753" s="328"/>
    </row>
    <row r="754" spans="2:59">
      <c r="B754" s="332">
        <v>739</v>
      </c>
      <c r="C754" s="350">
        <v>135361877.18021807</v>
      </c>
      <c r="D754" s="350">
        <v>136472115.36085641</v>
      </c>
      <c r="E754" s="350">
        <v>137535832.9403365</v>
      </c>
      <c r="F754" s="350">
        <v>138602078.20499277</v>
      </c>
      <c r="G754" s="350">
        <v>139674163.23725727</v>
      </c>
      <c r="H754" s="348">
        <v>687646066.92366099</v>
      </c>
      <c r="I754" s="369"/>
      <c r="J754" s="350">
        <v>164620296.46102408</v>
      </c>
      <c r="K754" s="350">
        <v>195574490.95659304</v>
      </c>
      <c r="L754" s="350">
        <v>226933599.65079513</v>
      </c>
      <c r="M754" s="350">
        <v>258758917.5400371</v>
      </c>
      <c r="N754" s="350">
        <v>291058991.42452818</v>
      </c>
      <c r="O754" s="348">
        <v>1136946296.0329773</v>
      </c>
      <c r="P754" s="369"/>
      <c r="Q754" s="350">
        <f t="shared" si="309"/>
        <v>29258419.280806005</v>
      </c>
      <c r="R754" s="350">
        <f t="shared" si="310"/>
        <v>59102375.595736623</v>
      </c>
      <c r="S754" s="350">
        <f t="shared" si="311"/>
        <v>89397766.710458636</v>
      </c>
      <c r="T754" s="350">
        <f t="shared" si="312"/>
        <v>120156839.33504432</v>
      </c>
      <c r="U754" s="350">
        <f t="shared" si="313"/>
        <v>151384828.18727091</v>
      </c>
      <c r="V754" s="350">
        <f t="shared" si="314"/>
        <v>449300229.10931635</v>
      </c>
      <c r="W754" s="365"/>
      <c r="X754" s="377">
        <f t="shared" si="292"/>
        <v>0</v>
      </c>
      <c r="Y754" s="377">
        <f t="shared" si="293"/>
        <v>0</v>
      </c>
      <c r="Z754" s="377">
        <f t="shared" si="294"/>
        <v>0</v>
      </c>
      <c r="AA754" s="377">
        <f t="shared" si="295"/>
        <v>0</v>
      </c>
      <c r="AB754" s="377">
        <f t="shared" si="296"/>
        <v>0</v>
      </c>
      <c r="AC754" s="377">
        <f t="shared" si="297"/>
        <v>0</v>
      </c>
      <c r="AD754" s="376"/>
      <c r="AE754" s="332">
        <v>739</v>
      </c>
      <c r="AF754" s="350">
        <v>142205309.12736267</v>
      </c>
      <c r="AG754" s="350">
        <v>143371677.14006743</v>
      </c>
      <c r="AH754" s="350">
        <v>144489172.62967843</v>
      </c>
      <c r="AI754" s="350">
        <v>145609323.59555313</v>
      </c>
      <c r="AJ754" s="350">
        <v>146735609.56764418</v>
      </c>
      <c r="AK754" s="348">
        <v>722411092.06030583</v>
      </c>
      <c r="AL754" s="369"/>
      <c r="AM754" s="350">
        <v>171633877.73347467</v>
      </c>
      <c r="AN754" s="350">
        <v>202801599.27855051</v>
      </c>
      <c r="AO754" s="350">
        <v>234374256.50113434</v>
      </c>
      <c r="AP754" s="350">
        <v>266415694.43236241</v>
      </c>
      <c r="AQ754" s="350">
        <v>298934655.29565293</v>
      </c>
      <c r="AR754" s="348">
        <v>1174160083.2411749</v>
      </c>
      <c r="AS754" s="369"/>
      <c r="AT754" s="350">
        <f t="shared" si="315"/>
        <v>29428568.606112003</v>
      </c>
      <c r="AU754" s="350">
        <f t="shared" si="298"/>
        <v>59429922.138483077</v>
      </c>
      <c r="AV754" s="350">
        <f t="shared" si="299"/>
        <v>89885083.871455908</v>
      </c>
      <c r="AW754" s="350">
        <f t="shared" si="300"/>
        <v>120806370.83680928</v>
      </c>
      <c r="AX754" s="350">
        <f t="shared" si="301"/>
        <v>152199045.72800875</v>
      </c>
      <c r="AY754" s="350">
        <f t="shared" si="302"/>
        <v>451748991.1808691</v>
      </c>
      <c r="AZ754" s="365"/>
      <c r="BA754" s="377">
        <f t="shared" si="303"/>
        <v>0</v>
      </c>
      <c r="BB754" s="377">
        <f t="shared" si="304"/>
        <v>0</v>
      </c>
      <c r="BC754" s="377">
        <f t="shared" si="305"/>
        <v>0</v>
      </c>
      <c r="BD754" s="377">
        <f t="shared" si="306"/>
        <v>0</v>
      </c>
      <c r="BE754" s="377">
        <f t="shared" si="307"/>
        <v>0</v>
      </c>
      <c r="BF754" s="377">
        <f t="shared" si="308"/>
        <v>0</v>
      </c>
      <c r="BG754" s="328"/>
    </row>
    <row r="755" spans="2:59">
      <c r="B755" s="332">
        <v>740</v>
      </c>
      <c r="C755" s="350">
        <v>124090059.82988867</v>
      </c>
      <c r="D755" s="350">
        <v>125107846.55928969</v>
      </c>
      <c r="E755" s="350">
        <v>126082986.53835522</v>
      </c>
      <c r="F755" s="350">
        <v>127060443.71788573</v>
      </c>
      <c r="G755" s="350">
        <v>128043254.37748754</v>
      </c>
      <c r="H755" s="348">
        <v>630384591.02290678</v>
      </c>
      <c r="I755" s="369"/>
      <c r="J755" s="350">
        <v>147524142.21816039</v>
      </c>
      <c r="K755" s="350">
        <v>172476574.23797268</v>
      </c>
      <c r="L755" s="350">
        <v>197748421.67718211</v>
      </c>
      <c r="M755" s="350">
        <v>223394459.05634981</v>
      </c>
      <c r="N755" s="350">
        <v>249421920.14338771</v>
      </c>
      <c r="O755" s="348">
        <v>990565517.33305275</v>
      </c>
      <c r="P755" s="369"/>
      <c r="Q755" s="350">
        <f t="shared" si="309"/>
        <v>23434082.388271719</v>
      </c>
      <c r="R755" s="350">
        <f t="shared" si="310"/>
        <v>47368727.678682983</v>
      </c>
      <c r="S755" s="350">
        <f t="shared" si="311"/>
        <v>71665435.138826892</v>
      </c>
      <c r="T755" s="350">
        <f t="shared" si="312"/>
        <v>96334015.338464081</v>
      </c>
      <c r="U755" s="350">
        <f t="shared" si="313"/>
        <v>121378665.76590016</v>
      </c>
      <c r="V755" s="350">
        <f t="shared" si="314"/>
        <v>360180926.31014597</v>
      </c>
      <c r="W755" s="365"/>
      <c r="X755" s="377">
        <f t="shared" si="292"/>
        <v>0</v>
      </c>
      <c r="Y755" s="377">
        <f t="shared" si="293"/>
        <v>0</v>
      </c>
      <c r="Z755" s="377">
        <f t="shared" si="294"/>
        <v>0</v>
      </c>
      <c r="AA755" s="377">
        <f t="shared" si="295"/>
        <v>0</v>
      </c>
      <c r="AB755" s="377">
        <f t="shared" si="296"/>
        <v>0</v>
      </c>
      <c r="AC755" s="377">
        <f t="shared" si="297"/>
        <v>0</v>
      </c>
      <c r="AD755" s="376"/>
      <c r="AE755" s="332">
        <v>740</v>
      </c>
      <c r="AF755" s="350">
        <v>134640524.38998765</v>
      </c>
      <c r="AG755" s="350">
        <v>135744846.03469938</v>
      </c>
      <c r="AH755" s="350">
        <v>136802894.98974875</v>
      </c>
      <c r="AI755" s="350">
        <v>137863458.15976542</v>
      </c>
      <c r="AJ755" s="350">
        <v>138929829.97686559</v>
      </c>
      <c r="AK755" s="348">
        <v>683981553.55106664</v>
      </c>
      <c r="AL755" s="369"/>
      <c r="AM755" s="350">
        <v>169889171.75521207</v>
      </c>
      <c r="AN755" s="350">
        <v>206928525.85589543</v>
      </c>
      <c r="AO755" s="350">
        <v>244465169.97149956</v>
      </c>
      <c r="AP755" s="350">
        <v>282562643.99175298</v>
      </c>
      <c r="AQ755" s="350">
        <v>321230545.89241678</v>
      </c>
      <c r="AR755" s="348">
        <v>1225076057.4667768</v>
      </c>
      <c r="AS755" s="369"/>
      <c r="AT755" s="350">
        <f t="shared" si="315"/>
        <v>35248647.365224421</v>
      </c>
      <c r="AU755" s="350">
        <f t="shared" si="298"/>
        <v>71183679.821196049</v>
      </c>
      <c r="AV755" s="350">
        <f t="shared" si="299"/>
        <v>107662274.98175082</v>
      </c>
      <c r="AW755" s="350">
        <f t="shared" si="300"/>
        <v>144699185.83198756</v>
      </c>
      <c r="AX755" s="350">
        <f t="shared" si="301"/>
        <v>182300715.91555119</v>
      </c>
      <c r="AY755" s="350">
        <f t="shared" si="302"/>
        <v>541094503.91571021</v>
      </c>
      <c r="AZ755" s="365"/>
      <c r="BA755" s="377">
        <f t="shared" si="303"/>
        <v>0</v>
      </c>
      <c r="BB755" s="377">
        <f t="shared" si="304"/>
        <v>0</v>
      </c>
      <c r="BC755" s="377">
        <f t="shared" si="305"/>
        <v>0</v>
      </c>
      <c r="BD755" s="377">
        <f t="shared" si="306"/>
        <v>0</v>
      </c>
      <c r="BE755" s="377">
        <f t="shared" si="307"/>
        <v>0</v>
      </c>
      <c r="BF755" s="377">
        <f t="shared" si="308"/>
        <v>0</v>
      </c>
      <c r="BG755" s="328"/>
    </row>
    <row r="756" spans="2:59">
      <c r="B756" s="332">
        <v>741</v>
      </c>
      <c r="C756" s="350">
        <v>124887153.40675038</v>
      </c>
      <c r="D756" s="350">
        <v>125911477.89804572</v>
      </c>
      <c r="E756" s="350">
        <v>126892881.6972345</v>
      </c>
      <c r="F756" s="350">
        <v>127876617.58144554</v>
      </c>
      <c r="G756" s="350">
        <v>128865741.33385363</v>
      </c>
      <c r="H756" s="348">
        <v>634433871.91732979</v>
      </c>
      <c r="I756" s="369"/>
      <c r="J756" s="350">
        <v>155363302.23295292</v>
      </c>
      <c r="K756" s="350">
        <v>187480380.17710289</v>
      </c>
      <c r="L756" s="350">
        <v>220024865.2632046</v>
      </c>
      <c r="M756" s="350">
        <v>253054767.05623206</v>
      </c>
      <c r="N756" s="350">
        <v>286578594.94738609</v>
      </c>
      <c r="O756" s="348">
        <v>1102501909.6768787</v>
      </c>
      <c r="P756" s="369"/>
      <c r="Q756" s="350">
        <f t="shared" si="309"/>
        <v>30476148.826202542</v>
      </c>
      <c r="R756" s="350">
        <f t="shared" si="310"/>
        <v>61568902.279057175</v>
      </c>
      <c r="S756" s="350">
        <f t="shared" si="311"/>
        <v>93131983.565970108</v>
      </c>
      <c r="T756" s="350">
        <f t="shared" si="312"/>
        <v>125178149.47478652</v>
      </c>
      <c r="U756" s="350">
        <f t="shared" si="313"/>
        <v>157712853.61353245</v>
      </c>
      <c r="V756" s="350">
        <f t="shared" si="314"/>
        <v>468068037.7595489</v>
      </c>
      <c r="W756" s="365"/>
      <c r="X756" s="377">
        <f t="shared" si="292"/>
        <v>0</v>
      </c>
      <c r="Y756" s="377">
        <f t="shared" si="293"/>
        <v>0</v>
      </c>
      <c r="Z756" s="377">
        <f t="shared" si="294"/>
        <v>0</v>
      </c>
      <c r="AA756" s="377">
        <f t="shared" si="295"/>
        <v>0</v>
      </c>
      <c r="AB756" s="377">
        <f t="shared" si="296"/>
        <v>0</v>
      </c>
      <c r="AC756" s="377">
        <f t="shared" si="297"/>
        <v>0</v>
      </c>
      <c r="AD756" s="376"/>
      <c r="AE756" s="332">
        <v>741</v>
      </c>
      <c r="AF756" s="350">
        <v>132635019.90870395</v>
      </c>
      <c r="AG756" s="350">
        <v>133722892.4047119</v>
      </c>
      <c r="AH756" s="350">
        <v>134765181.45441046</v>
      </c>
      <c r="AI756" s="350">
        <v>135809947.26921189</v>
      </c>
      <c r="AJ756" s="350">
        <v>136860435.20983726</v>
      </c>
      <c r="AK756" s="348">
        <v>673793476.24687552</v>
      </c>
      <c r="AL756" s="369"/>
      <c r="AM756" s="350">
        <v>169606865.64924538</v>
      </c>
      <c r="AN756" s="350">
        <v>208398897.36826822</v>
      </c>
      <c r="AO756" s="350">
        <v>247715674.34291977</v>
      </c>
      <c r="AP756" s="350">
        <v>287620731.68546373</v>
      </c>
      <c r="AQ756" s="350">
        <v>328123928.34986192</v>
      </c>
      <c r="AR756" s="348">
        <v>1241466097.3957589</v>
      </c>
      <c r="AS756" s="369"/>
      <c r="AT756" s="350">
        <f t="shared" si="315"/>
        <v>36971845.740541428</v>
      </c>
      <c r="AU756" s="350">
        <f t="shared" si="298"/>
        <v>74676004.963556319</v>
      </c>
      <c r="AV756" s="350">
        <f t="shared" si="299"/>
        <v>112950492.8885093</v>
      </c>
      <c r="AW756" s="350">
        <f t="shared" si="300"/>
        <v>151810784.41625184</v>
      </c>
      <c r="AX756" s="350">
        <f t="shared" si="301"/>
        <v>191263493.14002466</v>
      </c>
      <c r="AY756" s="350">
        <f t="shared" si="302"/>
        <v>567672621.14888334</v>
      </c>
      <c r="AZ756" s="365"/>
      <c r="BA756" s="377">
        <f t="shared" si="303"/>
        <v>0</v>
      </c>
      <c r="BB756" s="377">
        <f t="shared" si="304"/>
        <v>0</v>
      </c>
      <c r="BC756" s="377">
        <f t="shared" si="305"/>
        <v>0</v>
      </c>
      <c r="BD756" s="377">
        <f t="shared" si="306"/>
        <v>0</v>
      </c>
      <c r="BE756" s="377">
        <f t="shared" si="307"/>
        <v>0</v>
      </c>
      <c r="BF756" s="377">
        <f t="shared" si="308"/>
        <v>0</v>
      </c>
      <c r="BG756" s="328"/>
    </row>
    <row r="757" spans="2:59">
      <c r="B757" s="332">
        <v>742</v>
      </c>
      <c r="C757" s="350">
        <v>132461023.26005033</v>
      </c>
      <c r="D757" s="350">
        <v>133547468.63546376</v>
      </c>
      <c r="E757" s="350">
        <v>134588390.36300483</v>
      </c>
      <c r="F757" s="350">
        <v>135631785.60651577</v>
      </c>
      <c r="G757" s="350">
        <v>136680895.46930581</v>
      </c>
      <c r="H757" s="348">
        <v>672909563.33434057</v>
      </c>
      <c r="I757" s="369"/>
      <c r="J757" s="350">
        <v>167234330.72684979</v>
      </c>
      <c r="K757" s="350">
        <v>203786813.9693501</v>
      </c>
      <c r="L757" s="350">
        <v>240830249.34979191</v>
      </c>
      <c r="M757" s="350">
        <v>278427188.93502855</v>
      </c>
      <c r="N757" s="350">
        <v>316587094.74803841</v>
      </c>
      <c r="O757" s="348">
        <v>1206865677.7290587</v>
      </c>
      <c r="P757" s="369"/>
      <c r="Q757" s="350">
        <f t="shared" si="309"/>
        <v>34773307.466799468</v>
      </c>
      <c r="R757" s="350">
        <f t="shared" si="310"/>
        <v>70239345.33388634</v>
      </c>
      <c r="S757" s="350">
        <f t="shared" si="311"/>
        <v>106241858.98678708</v>
      </c>
      <c r="T757" s="350">
        <f t="shared" si="312"/>
        <v>142795403.32851279</v>
      </c>
      <c r="U757" s="350">
        <f t="shared" si="313"/>
        <v>179906199.2787326</v>
      </c>
      <c r="V757" s="350">
        <f t="shared" si="314"/>
        <v>533956114.39471817</v>
      </c>
      <c r="W757" s="365"/>
      <c r="X757" s="377">
        <f t="shared" si="292"/>
        <v>0</v>
      </c>
      <c r="Y757" s="377">
        <f t="shared" si="293"/>
        <v>0</v>
      </c>
      <c r="Z757" s="377">
        <f t="shared" si="294"/>
        <v>0</v>
      </c>
      <c r="AA757" s="377">
        <f t="shared" si="295"/>
        <v>0</v>
      </c>
      <c r="AB757" s="377">
        <f t="shared" si="296"/>
        <v>0</v>
      </c>
      <c r="AC757" s="377">
        <f t="shared" si="297"/>
        <v>0</v>
      </c>
      <c r="AD757" s="376"/>
      <c r="AE757" s="332">
        <v>742</v>
      </c>
      <c r="AF757" s="350">
        <v>146192569.36818171</v>
      </c>
      <c r="AG757" s="350">
        <v>147391640.891267</v>
      </c>
      <c r="AH757" s="350">
        <v>148540469.56641352</v>
      </c>
      <c r="AI757" s="350">
        <v>149692028.1740799</v>
      </c>
      <c r="AJ757" s="350">
        <v>150849893.80591688</v>
      </c>
      <c r="AK757" s="348">
        <v>742666601.80585897</v>
      </c>
      <c r="AL757" s="369"/>
      <c r="AM757" s="350">
        <v>181079146.69262716</v>
      </c>
      <c r="AN757" s="350">
        <v>217872270.20981631</v>
      </c>
      <c r="AO757" s="350">
        <v>255153568.83952531</v>
      </c>
      <c r="AP757" s="350">
        <v>292990618.36994827</v>
      </c>
      <c r="AQ757" s="350">
        <v>331393238.98246205</v>
      </c>
      <c r="AR757" s="348">
        <v>1278488843.0943789</v>
      </c>
      <c r="AS757" s="369"/>
      <c r="AT757" s="350">
        <f t="shared" si="315"/>
        <v>34886577.324445456</v>
      </c>
      <c r="AU757" s="350">
        <f t="shared" si="298"/>
        <v>70480629.318549305</v>
      </c>
      <c r="AV757" s="350">
        <f t="shared" si="299"/>
        <v>106613099.27311179</v>
      </c>
      <c r="AW757" s="350">
        <f t="shared" si="300"/>
        <v>143298590.19586837</v>
      </c>
      <c r="AX757" s="350">
        <f t="shared" si="301"/>
        <v>180543345.17654517</v>
      </c>
      <c r="AY757" s="350">
        <f t="shared" si="302"/>
        <v>535822241.28851998</v>
      </c>
      <c r="AZ757" s="365"/>
      <c r="BA757" s="377">
        <f t="shared" si="303"/>
        <v>0</v>
      </c>
      <c r="BB757" s="377">
        <f t="shared" si="304"/>
        <v>0</v>
      </c>
      <c r="BC757" s="377">
        <f t="shared" si="305"/>
        <v>0</v>
      </c>
      <c r="BD757" s="377">
        <f t="shared" si="306"/>
        <v>0</v>
      </c>
      <c r="BE757" s="377">
        <f t="shared" si="307"/>
        <v>0</v>
      </c>
      <c r="BF757" s="377">
        <f t="shared" si="308"/>
        <v>0</v>
      </c>
      <c r="BG757" s="328"/>
    </row>
    <row r="758" spans="2:59">
      <c r="B758" s="332">
        <v>743</v>
      </c>
      <c r="C758" s="350">
        <v>126210653.84623787</v>
      </c>
      <c r="D758" s="350">
        <v>127245833.68876371</v>
      </c>
      <c r="E758" s="350">
        <v>128237637.98411328</v>
      </c>
      <c r="F758" s="350">
        <v>129231799.07892105</v>
      </c>
      <c r="G758" s="350">
        <v>130231405.14024007</v>
      </c>
      <c r="H758" s="348">
        <v>641157329.738276</v>
      </c>
      <c r="I758" s="369"/>
      <c r="J758" s="350">
        <v>162050696.66987541</v>
      </c>
      <c r="K758" s="350">
        <v>199632070.14538229</v>
      </c>
      <c r="L758" s="350">
        <v>237722879.17789933</v>
      </c>
      <c r="M758" s="350">
        <v>276383857.08047909</v>
      </c>
      <c r="N758" s="350">
        <v>315624502.58278716</v>
      </c>
      <c r="O758" s="348">
        <v>1191414005.6564231</v>
      </c>
      <c r="P758" s="369"/>
      <c r="Q758" s="350">
        <f t="shared" si="309"/>
        <v>35840042.823637545</v>
      </c>
      <c r="R758" s="350">
        <f t="shared" si="310"/>
        <v>72386236.456618577</v>
      </c>
      <c r="S758" s="350">
        <f t="shared" si="311"/>
        <v>109485241.19378605</v>
      </c>
      <c r="T758" s="350">
        <f t="shared" si="312"/>
        <v>147152058.00155804</v>
      </c>
      <c r="U758" s="350">
        <f t="shared" si="313"/>
        <v>185393097.44254708</v>
      </c>
      <c r="V758" s="350">
        <f t="shared" si="314"/>
        <v>550256675.91814709</v>
      </c>
      <c r="W758" s="365"/>
      <c r="X758" s="377">
        <f t="shared" si="292"/>
        <v>0</v>
      </c>
      <c r="Y758" s="377">
        <f t="shared" si="293"/>
        <v>0</v>
      </c>
      <c r="Z758" s="377">
        <f t="shared" si="294"/>
        <v>0</v>
      </c>
      <c r="AA758" s="377">
        <f t="shared" si="295"/>
        <v>0</v>
      </c>
      <c r="AB758" s="377">
        <f t="shared" si="296"/>
        <v>0</v>
      </c>
      <c r="AC758" s="377">
        <f t="shared" si="297"/>
        <v>0</v>
      </c>
      <c r="AD758" s="376"/>
      <c r="AE758" s="332">
        <v>743</v>
      </c>
      <c r="AF758" s="350">
        <v>118220234.60500731</v>
      </c>
      <c r="AG758" s="350">
        <v>119189877.0251383</v>
      </c>
      <c r="AH758" s="350">
        <v>120118890.01180202</v>
      </c>
      <c r="AI758" s="350">
        <v>121050110.58852558</v>
      </c>
      <c r="AJ758" s="350">
        <v>121986431.4099492</v>
      </c>
      <c r="AK758" s="348">
        <v>600565543.64042246</v>
      </c>
      <c r="AL758" s="369"/>
      <c r="AM758" s="350">
        <v>152121182.82104853</v>
      </c>
      <c r="AN758" s="350">
        <v>187661458.37555185</v>
      </c>
      <c r="AO758" s="350">
        <v>223684033.35395461</v>
      </c>
      <c r="AP758" s="350">
        <v>260245934.22852227</v>
      </c>
      <c r="AQ758" s="350">
        <v>297356117.64411116</v>
      </c>
      <c r="AR758" s="348">
        <v>1121068726.4231884</v>
      </c>
      <c r="AS758" s="369"/>
      <c r="AT758" s="350">
        <f t="shared" si="315"/>
        <v>33900948.216041222</v>
      </c>
      <c r="AU758" s="350">
        <f t="shared" si="298"/>
        <v>68471581.350413546</v>
      </c>
      <c r="AV758" s="350">
        <f t="shared" si="299"/>
        <v>103565143.3421526</v>
      </c>
      <c r="AW758" s="350">
        <f t="shared" si="300"/>
        <v>139195823.63999671</v>
      </c>
      <c r="AX758" s="350">
        <f t="shared" si="301"/>
        <v>175369686.23416197</v>
      </c>
      <c r="AY758" s="350">
        <f t="shared" si="302"/>
        <v>520503182.78276598</v>
      </c>
      <c r="AZ758" s="365"/>
      <c r="BA758" s="377">
        <f t="shared" si="303"/>
        <v>0</v>
      </c>
      <c r="BB758" s="377">
        <f t="shared" si="304"/>
        <v>0</v>
      </c>
      <c r="BC758" s="377">
        <f t="shared" si="305"/>
        <v>0</v>
      </c>
      <c r="BD758" s="377">
        <f t="shared" si="306"/>
        <v>0</v>
      </c>
      <c r="BE758" s="377">
        <f t="shared" si="307"/>
        <v>0</v>
      </c>
      <c r="BF758" s="377">
        <f t="shared" si="308"/>
        <v>0</v>
      </c>
      <c r="BG758" s="328"/>
    </row>
    <row r="759" spans="2:59">
      <c r="B759" s="332">
        <v>744</v>
      </c>
      <c r="C759" s="350">
        <v>146333088.08989304</v>
      </c>
      <c r="D759" s="350">
        <v>147533312.14760026</v>
      </c>
      <c r="E759" s="350">
        <v>148683245.06448495</v>
      </c>
      <c r="F759" s="350">
        <v>149835910.53787112</v>
      </c>
      <c r="G759" s="350">
        <v>150994889.09767151</v>
      </c>
      <c r="H759" s="348">
        <v>743380444.93752086</v>
      </c>
      <c r="I759" s="369"/>
      <c r="J759" s="350">
        <v>178562943.52036774</v>
      </c>
      <c r="K759" s="350">
        <v>212637069.47610977</v>
      </c>
      <c r="L759" s="350">
        <v>247158171.14015973</v>
      </c>
      <c r="M759" s="350">
        <v>282192762.62215519</v>
      </c>
      <c r="N759" s="350">
        <v>317750190.6529355</v>
      </c>
      <c r="O759" s="348">
        <v>1238301137.4117279</v>
      </c>
      <c r="P759" s="369"/>
      <c r="Q759" s="350">
        <f t="shared" si="309"/>
        <v>32229855.430474699</v>
      </c>
      <c r="R759" s="350">
        <f t="shared" si="310"/>
        <v>65103757.32850951</v>
      </c>
      <c r="S759" s="350">
        <f t="shared" si="311"/>
        <v>98474926.075674772</v>
      </c>
      <c r="T759" s="350">
        <f t="shared" si="312"/>
        <v>132356852.08428407</v>
      </c>
      <c r="U759" s="350">
        <f t="shared" si="313"/>
        <v>166755301.555264</v>
      </c>
      <c r="V759" s="350">
        <f t="shared" si="314"/>
        <v>494920692.47420704</v>
      </c>
      <c r="W759" s="365"/>
      <c r="X759" s="377">
        <f t="shared" si="292"/>
        <v>0</v>
      </c>
      <c r="Y759" s="377">
        <f t="shared" si="293"/>
        <v>0</v>
      </c>
      <c r="Z759" s="377">
        <f t="shared" si="294"/>
        <v>0</v>
      </c>
      <c r="AA759" s="377">
        <f t="shared" si="295"/>
        <v>0</v>
      </c>
      <c r="AB759" s="377">
        <f t="shared" si="296"/>
        <v>0</v>
      </c>
      <c r="AC759" s="377">
        <f t="shared" si="297"/>
        <v>0</v>
      </c>
      <c r="AD759" s="376"/>
      <c r="AE759" s="332">
        <v>744</v>
      </c>
      <c r="AF759" s="350">
        <v>109610879.79512596</v>
      </c>
      <c r="AG759" s="350">
        <v>110509908.28303531</v>
      </c>
      <c r="AH759" s="350">
        <v>111371266.16436203</v>
      </c>
      <c r="AI759" s="350">
        <v>112234670.86863306</v>
      </c>
      <c r="AJ759" s="350">
        <v>113102804.39374104</v>
      </c>
      <c r="AK759" s="348">
        <v>556829529.50489736</v>
      </c>
      <c r="AL759" s="369"/>
      <c r="AM759" s="350">
        <v>135196867.071549</v>
      </c>
      <c r="AN759" s="350">
        <v>162192975.7168211</v>
      </c>
      <c r="AO759" s="350">
        <v>189546170.96985483</v>
      </c>
      <c r="AP759" s="350">
        <v>217306879.74594453</v>
      </c>
      <c r="AQ759" s="350">
        <v>245482361.5692597</v>
      </c>
      <c r="AR759" s="348">
        <v>949725255.07342911</v>
      </c>
      <c r="AS759" s="369"/>
      <c r="AT759" s="350">
        <f t="shared" si="315"/>
        <v>25585987.276423037</v>
      </c>
      <c r="AU759" s="350">
        <f t="shared" si="298"/>
        <v>51683067.433785796</v>
      </c>
      <c r="AV759" s="350">
        <f t="shared" si="299"/>
        <v>78174904.805492803</v>
      </c>
      <c r="AW759" s="350">
        <f t="shared" si="300"/>
        <v>105072208.87731147</v>
      </c>
      <c r="AX759" s="350">
        <f t="shared" si="301"/>
        <v>132379557.17551866</v>
      </c>
      <c r="AY759" s="350">
        <f t="shared" si="302"/>
        <v>392895725.56853175</v>
      </c>
      <c r="AZ759" s="365"/>
      <c r="BA759" s="377">
        <f t="shared" si="303"/>
        <v>0</v>
      </c>
      <c r="BB759" s="377">
        <f t="shared" si="304"/>
        <v>0</v>
      </c>
      <c r="BC759" s="377">
        <f t="shared" si="305"/>
        <v>0</v>
      </c>
      <c r="BD759" s="377">
        <f t="shared" si="306"/>
        <v>0</v>
      </c>
      <c r="BE759" s="377">
        <f t="shared" si="307"/>
        <v>0</v>
      </c>
      <c r="BF759" s="377">
        <f t="shared" si="308"/>
        <v>0</v>
      </c>
      <c r="BG759" s="328"/>
    </row>
    <row r="760" spans="2:59">
      <c r="B760" s="332">
        <v>745</v>
      </c>
      <c r="C760" s="350">
        <v>112024111.35658312</v>
      </c>
      <c r="D760" s="350">
        <v>112942933.17090064</v>
      </c>
      <c r="E760" s="350">
        <v>113823255.00935289</v>
      </c>
      <c r="F760" s="350">
        <v>114705668.73432106</v>
      </c>
      <c r="G760" s="350">
        <v>115592915.39150378</v>
      </c>
      <c r="H760" s="348">
        <v>569088883.66266143</v>
      </c>
      <c r="I760" s="369"/>
      <c r="J760" s="350">
        <v>145852040.88197398</v>
      </c>
      <c r="K760" s="350">
        <v>181272953.0144445</v>
      </c>
      <c r="L760" s="350">
        <v>217177259.95971525</v>
      </c>
      <c r="M760" s="350">
        <v>253619712.7953369</v>
      </c>
      <c r="N760" s="350">
        <v>290609104.39947695</v>
      </c>
      <c r="O760" s="348">
        <v>1088531071.0509477</v>
      </c>
      <c r="P760" s="369"/>
      <c r="Q760" s="350">
        <f t="shared" si="309"/>
        <v>33827929.525390863</v>
      </c>
      <c r="R760" s="350">
        <f t="shared" si="310"/>
        <v>68330019.843543857</v>
      </c>
      <c r="S760" s="350">
        <f t="shared" si="311"/>
        <v>103354004.95036235</v>
      </c>
      <c r="T760" s="350">
        <f t="shared" si="312"/>
        <v>138914044.06101584</v>
      </c>
      <c r="U760" s="350">
        <f t="shared" si="313"/>
        <v>175016189.00797316</v>
      </c>
      <c r="V760" s="350">
        <f t="shared" si="314"/>
        <v>519442187.38828623</v>
      </c>
      <c r="W760" s="365"/>
      <c r="X760" s="377">
        <f t="shared" si="292"/>
        <v>0</v>
      </c>
      <c r="Y760" s="377">
        <f t="shared" si="293"/>
        <v>0</v>
      </c>
      <c r="Z760" s="377">
        <f t="shared" si="294"/>
        <v>0</v>
      </c>
      <c r="AA760" s="377">
        <f t="shared" si="295"/>
        <v>0</v>
      </c>
      <c r="AB760" s="377">
        <f t="shared" si="296"/>
        <v>0</v>
      </c>
      <c r="AC760" s="377">
        <f t="shared" si="297"/>
        <v>0</v>
      </c>
      <c r="AD760" s="376"/>
      <c r="AE760" s="332">
        <v>745</v>
      </c>
      <c r="AF760" s="350">
        <v>98141787.800907642</v>
      </c>
      <c r="AG760" s="350">
        <v>98946746.790857226</v>
      </c>
      <c r="AH760" s="350">
        <v>99717976.823567539</v>
      </c>
      <c r="AI760" s="350">
        <v>100491039.51069549</v>
      </c>
      <c r="AJ760" s="350">
        <v>101268336.22032186</v>
      </c>
      <c r="AK760" s="348">
        <v>498565887.14634979</v>
      </c>
      <c r="AL760" s="369"/>
      <c r="AM760" s="350">
        <v>127523651.26924294</v>
      </c>
      <c r="AN760" s="350">
        <v>158304876.21654192</v>
      </c>
      <c r="AO760" s="350">
        <v>189505811.34537238</v>
      </c>
      <c r="AP760" s="350">
        <v>221174317.00289246</v>
      </c>
      <c r="AQ760" s="350">
        <v>253318052.3369047</v>
      </c>
      <c r="AR760" s="348">
        <v>949826708.17095447</v>
      </c>
      <c r="AS760" s="369"/>
      <c r="AT760" s="350">
        <f t="shared" si="315"/>
        <v>29381863.468335301</v>
      </c>
      <c r="AU760" s="350">
        <f t="shared" si="298"/>
        <v>59358129.42568469</v>
      </c>
      <c r="AV760" s="350">
        <f t="shared" si="299"/>
        <v>89787834.521804839</v>
      </c>
      <c r="AW760" s="350">
        <f t="shared" si="300"/>
        <v>120683277.49219698</v>
      </c>
      <c r="AX760" s="350">
        <f t="shared" si="301"/>
        <v>152049716.11658284</v>
      </c>
      <c r="AY760" s="350">
        <f t="shared" si="302"/>
        <v>451260821.02460468</v>
      </c>
      <c r="AZ760" s="365"/>
      <c r="BA760" s="377">
        <f t="shared" si="303"/>
        <v>0</v>
      </c>
      <c r="BB760" s="377">
        <f t="shared" si="304"/>
        <v>0</v>
      </c>
      <c r="BC760" s="377">
        <f t="shared" si="305"/>
        <v>0</v>
      </c>
      <c r="BD760" s="377">
        <f t="shared" si="306"/>
        <v>0</v>
      </c>
      <c r="BE760" s="377">
        <f t="shared" si="307"/>
        <v>0</v>
      </c>
      <c r="BF760" s="377">
        <f t="shared" si="308"/>
        <v>0</v>
      </c>
      <c r="BG760" s="328"/>
    </row>
    <row r="761" spans="2:59">
      <c r="B761" s="332">
        <v>746</v>
      </c>
      <c r="C761" s="350">
        <v>110555425.40478706</v>
      </c>
      <c r="D761" s="350">
        <v>111462201.05623348</v>
      </c>
      <c r="E761" s="350">
        <v>112330981.4836311</v>
      </c>
      <c r="F761" s="350">
        <v>113201826.37198156</v>
      </c>
      <c r="G761" s="350">
        <v>114077440.8306545</v>
      </c>
      <c r="H761" s="348">
        <v>561627875.14728761</v>
      </c>
      <c r="I761" s="369"/>
      <c r="J761" s="350">
        <v>142949117.92217416</v>
      </c>
      <c r="K761" s="350">
        <v>176894108.84124774</v>
      </c>
      <c r="L761" s="350">
        <v>211300855.57709903</v>
      </c>
      <c r="M761" s="350">
        <v>246222976.64868647</v>
      </c>
      <c r="N761" s="350">
        <v>281668972.25114268</v>
      </c>
      <c r="O761" s="348">
        <v>1059036031.24035</v>
      </c>
      <c r="P761" s="369"/>
      <c r="Q761" s="350">
        <f t="shared" si="309"/>
        <v>32393692.517387092</v>
      </c>
      <c r="R761" s="350">
        <f t="shared" si="310"/>
        <v>65431907.785014257</v>
      </c>
      <c r="S761" s="350">
        <f t="shared" si="311"/>
        <v>98969874.093467921</v>
      </c>
      <c r="T761" s="350">
        <f t="shared" si="312"/>
        <v>133021150.27670491</v>
      </c>
      <c r="U761" s="350">
        <f t="shared" si="313"/>
        <v>167591531.42048818</v>
      </c>
      <c r="V761" s="350">
        <f t="shared" si="314"/>
        <v>497408156.0930624</v>
      </c>
      <c r="W761" s="365"/>
      <c r="X761" s="377">
        <f t="shared" si="292"/>
        <v>0</v>
      </c>
      <c r="Y761" s="377">
        <f t="shared" si="293"/>
        <v>0</v>
      </c>
      <c r="Z761" s="377">
        <f t="shared" si="294"/>
        <v>0</v>
      </c>
      <c r="AA761" s="377">
        <f t="shared" si="295"/>
        <v>0</v>
      </c>
      <c r="AB761" s="377">
        <f t="shared" si="296"/>
        <v>0</v>
      </c>
      <c r="AC761" s="377">
        <f t="shared" si="297"/>
        <v>0</v>
      </c>
      <c r="AD761" s="376"/>
      <c r="AE761" s="332">
        <v>746</v>
      </c>
      <c r="AF761" s="350">
        <v>129538176.8048005</v>
      </c>
      <c r="AG761" s="350">
        <v>130600648.99220587</v>
      </c>
      <c r="AH761" s="350">
        <v>131618602.04332685</v>
      </c>
      <c r="AI761" s="350">
        <v>132638974.03053297</v>
      </c>
      <c r="AJ761" s="350">
        <v>133664934.5398894</v>
      </c>
      <c r="AK761" s="348">
        <v>658061336.41075563</v>
      </c>
      <c r="AL761" s="369"/>
      <c r="AM761" s="350">
        <v>162231017.65839672</v>
      </c>
      <c r="AN761" s="350">
        <v>196629730.27787587</v>
      </c>
      <c r="AO761" s="350">
        <v>231488179.59469703</v>
      </c>
      <c r="AP761" s="350">
        <v>266866987.33478239</v>
      </c>
      <c r="AQ761" s="350">
        <v>302775170.60627908</v>
      </c>
      <c r="AR761" s="348">
        <v>1159991085.4720311</v>
      </c>
      <c r="AS761" s="369"/>
      <c r="AT761" s="350">
        <f t="shared" si="315"/>
        <v>32692840.853596225</v>
      </c>
      <c r="AU761" s="350">
        <f t="shared" si="298"/>
        <v>66029081.285669997</v>
      </c>
      <c r="AV761" s="350">
        <f t="shared" si="299"/>
        <v>99869577.551370174</v>
      </c>
      <c r="AW761" s="350">
        <f t="shared" si="300"/>
        <v>134228013.30424941</v>
      </c>
      <c r="AX761" s="350">
        <f t="shared" si="301"/>
        <v>169110236.06638968</v>
      </c>
      <c r="AY761" s="350">
        <f t="shared" si="302"/>
        <v>501929749.06127548</v>
      </c>
      <c r="AZ761" s="365"/>
      <c r="BA761" s="377">
        <f t="shared" si="303"/>
        <v>0</v>
      </c>
      <c r="BB761" s="377">
        <f t="shared" si="304"/>
        <v>0</v>
      </c>
      <c r="BC761" s="377">
        <f t="shared" si="305"/>
        <v>0</v>
      </c>
      <c r="BD761" s="377">
        <f t="shared" si="306"/>
        <v>0</v>
      </c>
      <c r="BE761" s="377">
        <f t="shared" si="307"/>
        <v>0</v>
      </c>
      <c r="BF761" s="377">
        <f t="shared" si="308"/>
        <v>0</v>
      </c>
      <c r="BG761" s="328"/>
    </row>
    <row r="762" spans="2:59">
      <c r="B762" s="332">
        <v>747</v>
      </c>
      <c r="C762" s="350">
        <v>120429771.13123721</v>
      </c>
      <c r="D762" s="350">
        <v>121417536.17100108</v>
      </c>
      <c r="E762" s="350">
        <v>122363912.41306892</v>
      </c>
      <c r="F762" s="350">
        <v>123312537.5050611</v>
      </c>
      <c r="G762" s="350">
        <v>124266358.16534159</v>
      </c>
      <c r="H762" s="348">
        <v>611790115.38570988</v>
      </c>
      <c r="I762" s="369"/>
      <c r="J762" s="350">
        <v>152175252.75302824</v>
      </c>
      <c r="K762" s="350">
        <v>185521528.34497309</v>
      </c>
      <c r="L762" s="350">
        <v>219315876.06008339</v>
      </c>
      <c r="M762" s="350">
        <v>253615220.02886134</v>
      </c>
      <c r="N762" s="350">
        <v>288428183.25479031</v>
      </c>
      <c r="O762" s="348">
        <v>1099056060.4417365</v>
      </c>
      <c r="P762" s="369"/>
      <c r="Q762" s="350">
        <f t="shared" si="309"/>
        <v>31745481.621791035</v>
      </c>
      <c r="R762" s="350">
        <f t="shared" si="310"/>
        <v>64103992.173972011</v>
      </c>
      <c r="S762" s="350">
        <f t="shared" si="311"/>
        <v>96951963.647014469</v>
      </c>
      <c r="T762" s="350">
        <f t="shared" si="312"/>
        <v>130302682.52380024</v>
      </c>
      <c r="U762" s="350">
        <f t="shared" si="313"/>
        <v>164161825.08944872</v>
      </c>
      <c r="V762" s="350">
        <f t="shared" si="314"/>
        <v>487265945.05602658</v>
      </c>
      <c r="W762" s="365"/>
      <c r="X762" s="377">
        <f t="shared" si="292"/>
        <v>0</v>
      </c>
      <c r="Y762" s="377">
        <f t="shared" si="293"/>
        <v>0</v>
      </c>
      <c r="Z762" s="377">
        <f t="shared" si="294"/>
        <v>0</v>
      </c>
      <c r="AA762" s="377">
        <f t="shared" si="295"/>
        <v>0</v>
      </c>
      <c r="AB762" s="377">
        <f t="shared" si="296"/>
        <v>0</v>
      </c>
      <c r="AC762" s="377">
        <f t="shared" si="297"/>
        <v>0</v>
      </c>
      <c r="AD762" s="376"/>
      <c r="AE762" s="332">
        <v>747</v>
      </c>
      <c r="AF762" s="350">
        <v>114014317.31206165</v>
      </c>
      <c r="AG762" s="350">
        <v>114949462.7965671</v>
      </c>
      <c r="AH762" s="350">
        <v>115845424.31958731</v>
      </c>
      <c r="AI762" s="350">
        <v>116743514.89331031</v>
      </c>
      <c r="AJ762" s="350">
        <v>117646524.2605</v>
      </c>
      <c r="AK762" s="348">
        <v>579199243.58202636</v>
      </c>
      <c r="AL762" s="369"/>
      <c r="AM762" s="350">
        <v>144468261.10618722</v>
      </c>
      <c r="AN762" s="350">
        <v>176454831.69099534</v>
      </c>
      <c r="AO762" s="350">
        <v>208871912.359815</v>
      </c>
      <c r="AP762" s="350">
        <v>241773562.58041617</v>
      </c>
      <c r="AQ762" s="350">
        <v>275168018.87962317</v>
      </c>
      <c r="AR762" s="348">
        <v>1046736586.6170369</v>
      </c>
      <c r="AS762" s="369"/>
      <c r="AT762" s="350">
        <f t="shared" si="315"/>
        <v>30453943.794125572</v>
      </c>
      <c r="AU762" s="350">
        <f t="shared" si="298"/>
        <v>61505368.894428238</v>
      </c>
      <c r="AV762" s="350">
        <f t="shared" si="299"/>
        <v>93026488.040227696</v>
      </c>
      <c r="AW762" s="350">
        <f t="shared" si="300"/>
        <v>125030047.68710586</v>
      </c>
      <c r="AX762" s="350">
        <f t="shared" si="301"/>
        <v>157521494.61912316</v>
      </c>
      <c r="AY762" s="350">
        <f t="shared" si="302"/>
        <v>467537343.03501058</v>
      </c>
      <c r="AZ762" s="365"/>
      <c r="BA762" s="377">
        <f t="shared" si="303"/>
        <v>0</v>
      </c>
      <c r="BB762" s="377">
        <f t="shared" si="304"/>
        <v>0</v>
      </c>
      <c r="BC762" s="377">
        <f t="shared" si="305"/>
        <v>0</v>
      </c>
      <c r="BD762" s="377">
        <f t="shared" si="306"/>
        <v>0</v>
      </c>
      <c r="BE762" s="377">
        <f t="shared" si="307"/>
        <v>0</v>
      </c>
      <c r="BF762" s="377">
        <f t="shared" si="308"/>
        <v>0</v>
      </c>
      <c r="BG762" s="328"/>
    </row>
    <row r="763" spans="2:59">
      <c r="B763" s="332">
        <v>748</v>
      </c>
      <c r="C763" s="350">
        <v>112713235.15675105</v>
      </c>
      <c r="D763" s="350">
        <v>113637709.16480342</v>
      </c>
      <c r="E763" s="350">
        <v>114523446.36181855</v>
      </c>
      <c r="F763" s="350">
        <v>115411288.31372918</v>
      </c>
      <c r="G763" s="350">
        <v>116303992.92795953</v>
      </c>
      <c r="H763" s="348">
        <v>572589671.9250617</v>
      </c>
      <c r="I763" s="369"/>
      <c r="J763" s="350">
        <v>140935114.99794579</v>
      </c>
      <c r="K763" s="350">
        <v>170639023.46031356</v>
      </c>
      <c r="L763" s="350">
        <v>200739524.06829688</v>
      </c>
      <c r="M763" s="350">
        <v>231289270.83089843</v>
      </c>
      <c r="N763" s="350">
        <v>262296069.81780845</v>
      </c>
      <c r="O763" s="348">
        <v>1005899003.1752632</v>
      </c>
      <c r="P763" s="369"/>
      <c r="Q763" s="350">
        <f t="shared" si="309"/>
        <v>28221879.841194734</v>
      </c>
      <c r="R763" s="350">
        <f t="shared" si="310"/>
        <v>57001314.295510143</v>
      </c>
      <c r="S763" s="350">
        <f t="shared" si="311"/>
        <v>86216077.706478328</v>
      </c>
      <c r="T763" s="350">
        <f t="shared" si="312"/>
        <v>115877982.51716925</v>
      </c>
      <c r="U763" s="350">
        <f t="shared" si="313"/>
        <v>145992076.88984892</v>
      </c>
      <c r="V763" s="350">
        <f t="shared" si="314"/>
        <v>433309331.25020146</v>
      </c>
      <c r="W763" s="365"/>
      <c r="X763" s="377">
        <f t="shared" si="292"/>
        <v>0</v>
      </c>
      <c r="Y763" s="377">
        <f t="shared" si="293"/>
        <v>0</v>
      </c>
      <c r="Z763" s="377">
        <f t="shared" si="294"/>
        <v>0</v>
      </c>
      <c r="AA763" s="377">
        <f t="shared" si="295"/>
        <v>0</v>
      </c>
      <c r="AB763" s="377">
        <f t="shared" si="296"/>
        <v>0</v>
      </c>
      <c r="AC763" s="377">
        <f t="shared" si="297"/>
        <v>0</v>
      </c>
      <c r="AD763" s="376"/>
      <c r="AE763" s="332">
        <v>748</v>
      </c>
      <c r="AF763" s="350">
        <v>136639143.20075554</v>
      </c>
      <c r="AG763" s="350">
        <v>137759857.51789823</v>
      </c>
      <c r="AH763" s="350">
        <v>138833612.26846385</v>
      </c>
      <c r="AI763" s="350">
        <v>139909918.55528146</v>
      </c>
      <c r="AJ763" s="350">
        <v>140992119.71338105</v>
      </c>
      <c r="AK763" s="348">
        <v>694134651.25578022</v>
      </c>
      <c r="AL763" s="369"/>
      <c r="AM763" s="350">
        <v>173361269.82429117</v>
      </c>
      <c r="AN763" s="350">
        <v>211938185.90315336</v>
      </c>
      <c r="AO763" s="350">
        <v>251034723.51188141</v>
      </c>
      <c r="AP763" s="350">
        <v>290715764.5046829</v>
      </c>
      <c r="AQ763" s="350">
        <v>330991222.16351503</v>
      </c>
      <c r="AR763" s="348">
        <v>1258041165.9075239</v>
      </c>
      <c r="AS763" s="369"/>
      <c r="AT763" s="350">
        <f t="shared" si="315"/>
        <v>36722126.623535633</v>
      </c>
      <c r="AU763" s="350">
        <f t="shared" si="298"/>
        <v>74178328.385255128</v>
      </c>
      <c r="AV763" s="350">
        <f t="shared" si="299"/>
        <v>112201111.24341756</v>
      </c>
      <c r="AW763" s="350">
        <f t="shared" si="300"/>
        <v>150805845.94940144</v>
      </c>
      <c r="AX763" s="350">
        <f t="shared" si="301"/>
        <v>189999102.45013398</v>
      </c>
      <c r="AY763" s="350">
        <f t="shared" si="302"/>
        <v>563906514.65174365</v>
      </c>
      <c r="AZ763" s="365"/>
      <c r="BA763" s="377">
        <f t="shared" si="303"/>
        <v>0</v>
      </c>
      <c r="BB763" s="377">
        <f t="shared" si="304"/>
        <v>0</v>
      </c>
      <c r="BC763" s="377">
        <f t="shared" si="305"/>
        <v>0</v>
      </c>
      <c r="BD763" s="377">
        <f t="shared" si="306"/>
        <v>0</v>
      </c>
      <c r="BE763" s="377">
        <f t="shared" si="307"/>
        <v>0</v>
      </c>
      <c r="BF763" s="377">
        <f t="shared" si="308"/>
        <v>0</v>
      </c>
      <c r="BG763" s="328"/>
    </row>
    <row r="764" spans="2:59">
      <c r="B764" s="332">
        <v>749</v>
      </c>
      <c r="C764" s="350">
        <v>118266439.24420436</v>
      </c>
      <c r="D764" s="350">
        <v>119236460.63480785</v>
      </c>
      <c r="E764" s="350">
        <v>120165836.71252786</v>
      </c>
      <c r="F764" s="350">
        <v>121097421.24311179</v>
      </c>
      <c r="G764" s="350">
        <v>122034108.01175144</v>
      </c>
      <c r="H764" s="348">
        <v>600800265.84640336</v>
      </c>
      <c r="I764" s="369"/>
      <c r="J764" s="350">
        <v>155463742.6306766</v>
      </c>
      <c r="K764" s="350">
        <v>194361115.5825035</v>
      </c>
      <c r="L764" s="350">
        <v>233791544.9107092</v>
      </c>
      <c r="M764" s="350">
        <v>273813453.27522373</v>
      </c>
      <c r="N764" s="350">
        <v>314436387.35732973</v>
      </c>
      <c r="O764" s="348">
        <v>1171866243.7564425</v>
      </c>
      <c r="P764" s="369"/>
      <c r="Q764" s="350">
        <f t="shared" si="309"/>
        <v>37197303.38647224</v>
      </c>
      <c r="R764" s="350">
        <f t="shared" si="310"/>
        <v>75124654.947695643</v>
      </c>
      <c r="S764" s="350">
        <f t="shared" si="311"/>
        <v>113625708.19818135</v>
      </c>
      <c r="T764" s="350">
        <f t="shared" si="312"/>
        <v>152716032.03211194</v>
      </c>
      <c r="U764" s="350">
        <f t="shared" si="313"/>
        <v>192402279.34557828</v>
      </c>
      <c r="V764" s="350">
        <f t="shared" si="314"/>
        <v>571065977.91003919</v>
      </c>
      <c r="W764" s="365"/>
      <c r="X764" s="377">
        <f t="shared" si="292"/>
        <v>0</v>
      </c>
      <c r="Y764" s="377">
        <f t="shared" si="293"/>
        <v>0</v>
      </c>
      <c r="Z764" s="377">
        <f t="shared" si="294"/>
        <v>0</v>
      </c>
      <c r="AA764" s="377">
        <f t="shared" si="295"/>
        <v>0</v>
      </c>
      <c r="AB764" s="377">
        <f t="shared" si="296"/>
        <v>0</v>
      </c>
      <c r="AC764" s="377">
        <f t="shared" si="297"/>
        <v>0</v>
      </c>
      <c r="AD764" s="376"/>
      <c r="AE764" s="332">
        <v>749</v>
      </c>
      <c r="AF764" s="350">
        <v>104569835.14411834</v>
      </c>
      <c r="AG764" s="350">
        <v>105427516.98141648</v>
      </c>
      <c r="AH764" s="350">
        <v>106249260.69717509</v>
      </c>
      <c r="AI764" s="350">
        <v>107072957.10173853</v>
      </c>
      <c r="AJ764" s="350">
        <v>107901164.84693046</v>
      </c>
      <c r="AK764" s="348">
        <v>531220734.77137887</v>
      </c>
      <c r="AL764" s="369"/>
      <c r="AM764" s="350">
        <v>129699051.37346742</v>
      </c>
      <c r="AN764" s="350">
        <v>156191742.88077551</v>
      </c>
      <c r="AO764" s="350">
        <v>183036265.74461988</v>
      </c>
      <c r="AP764" s="350">
        <v>210281029.28370976</v>
      </c>
      <c r="AQ764" s="350">
        <v>237933088.54018065</v>
      </c>
      <c r="AR764" s="348">
        <v>917141177.82275319</v>
      </c>
      <c r="AS764" s="369"/>
      <c r="AT764" s="350">
        <f t="shared" si="315"/>
        <v>25129216.229349077</v>
      </c>
      <c r="AU764" s="350">
        <f t="shared" si="298"/>
        <v>50764225.899359033</v>
      </c>
      <c r="AV764" s="350">
        <f t="shared" si="299"/>
        <v>76787005.047444791</v>
      </c>
      <c r="AW764" s="350">
        <f t="shared" si="300"/>
        <v>103208072.18197124</v>
      </c>
      <c r="AX764" s="350">
        <f t="shared" si="301"/>
        <v>130031923.69325019</v>
      </c>
      <c r="AY764" s="350">
        <f t="shared" si="302"/>
        <v>385920443.05137432</v>
      </c>
      <c r="AZ764" s="365"/>
      <c r="BA764" s="377">
        <f t="shared" si="303"/>
        <v>0</v>
      </c>
      <c r="BB764" s="377">
        <f t="shared" si="304"/>
        <v>0</v>
      </c>
      <c r="BC764" s="377">
        <f t="shared" si="305"/>
        <v>0</v>
      </c>
      <c r="BD764" s="377">
        <f t="shared" si="306"/>
        <v>0</v>
      </c>
      <c r="BE764" s="377">
        <f t="shared" si="307"/>
        <v>0</v>
      </c>
      <c r="BF764" s="377">
        <f t="shared" si="308"/>
        <v>0</v>
      </c>
      <c r="BG764" s="328"/>
    </row>
    <row r="765" spans="2:59">
      <c r="B765" s="332">
        <v>750</v>
      </c>
      <c r="C765" s="350">
        <v>109181932.12523144</v>
      </c>
      <c r="D765" s="350">
        <v>110077442.38414951</v>
      </c>
      <c r="E765" s="350">
        <v>110935429.45541763</v>
      </c>
      <c r="F765" s="350">
        <v>111795455.33965947</v>
      </c>
      <c r="G765" s="350">
        <v>112660191.53912377</v>
      </c>
      <c r="H765" s="348">
        <v>554650450.8435818</v>
      </c>
      <c r="I765" s="369"/>
      <c r="J765" s="350">
        <v>139779938.53883865</v>
      </c>
      <c r="K765" s="350">
        <v>171874120.76278335</v>
      </c>
      <c r="L765" s="350">
        <v>204402701.31446385</v>
      </c>
      <c r="M765" s="350">
        <v>237418048.96717751</v>
      </c>
      <c r="N765" s="350">
        <v>270928307.82791215</v>
      </c>
      <c r="O765" s="348">
        <v>1024403117.4111755</v>
      </c>
      <c r="P765" s="369"/>
      <c r="Q765" s="350">
        <f t="shared" si="309"/>
        <v>30598006.41360721</v>
      </c>
      <c r="R765" s="350">
        <f t="shared" si="310"/>
        <v>61796678.378633842</v>
      </c>
      <c r="S765" s="350">
        <f t="shared" si="311"/>
        <v>93467271.859046221</v>
      </c>
      <c r="T765" s="350">
        <f t="shared" si="312"/>
        <v>125622593.62751804</v>
      </c>
      <c r="U765" s="350">
        <f t="shared" si="313"/>
        <v>158268116.28878838</v>
      </c>
      <c r="V765" s="350">
        <f t="shared" si="314"/>
        <v>469752666.56759369</v>
      </c>
      <c r="W765" s="365"/>
      <c r="X765" s="377">
        <f t="shared" si="292"/>
        <v>0</v>
      </c>
      <c r="Y765" s="377">
        <f t="shared" si="293"/>
        <v>0</v>
      </c>
      <c r="Z765" s="377">
        <f t="shared" si="294"/>
        <v>0</v>
      </c>
      <c r="AA765" s="377">
        <f t="shared" si="295"/>
        <v>0</v>
      </c>
      <c r="AB765" s="377">
        <f t="shared" si="296"/>
        <v>0</v>
      </c>
      <c r="AC765" s="377">
        <f t="shared" si="297"/>
        <v>0</v>
      </c>
      <c r="AD765" s="376"/>
      <c r="AE765" s="332">
        <v>750</v>
      </c>
      <c r="AF765" s="350">
        <v>130890841.65880537</v>
      </c>
      <c r="AG765" s="350">
        <v>131964408.40398295</v>
      </c>
      <c r="AH765" s="350">
        <v>132992991.13470294</v>
      </c>
      <c r="AI765" s="350">
        <v>134024018.06054683</v>
      </c>
      <c r="AJ765" s="350">
        <v>135060691.86506331</v>
      </c>
      <c r="AK765" s="348">
        <v>664932951.12310135</v>
      </c>
      <c r="AL765" s="369"/>
      <c r="AM765" s="350">
        <v>165601975.20925587</v>
      </c>
      <c r="AN765" s="350">
        <v>202071261.96728516</v>
      </c>
      <c r="AO765" s="350">
        <v>239030973.64358315</v>
      </c>
      <c r="AP765" s="350">
        <v>276543066.94319797</v>
      </c>
      <c r="AQ765" s="350">
        <v>314616953.29243177</v>
      </c>
      <c r="AR765" s="348">
        <v>1197864231.0557539</v>
      </c>
      <c r="AS765" s="369"/>
      <c r="AT765" s="350">
        <f t="shared" si="315"/>
        <v>34711133.550450504</v>
      </c>
      <c r="AU765" s="350">
        <f t="shared" si="298"/>
        <v>70106853.563302204</v>
      </c>
      <c r="AV765" s="350">
        <f t="shared" si="299"/>
        <v>106037982.50888021</v>
      </c>
      <c r="AW765" s="350">
        <f t="shared" si="300"/>
        <v>142519048.88265115</v>
      </c>
      <c r="AX765" s="350">
        <f t="shared" si="301"/>
        <v>179556261.42736846</v>
      </c>
      <c r="AY765" s="350">
        <f t="shared" si="302"/>
        <v>532931279.93265259</v>
      </c>
      <c r="AZ765" s="365"/>
      <c r="BA765" s="377">
        <f t="shared" si="303"/>
        <v>0</v>
      </c>
      <c r="BB765" s="377">
        <f t="shared" si="304"/>
        <v>0</v>
      </c>
      <c r="BC765" s="377">
        <f t="shared" si="305"/>
        <v>0</v>
      </c>
      <c r="BD765" s="377">
        <f t="shared" si="306"/>
        <v>0</v>
      </c>
      <c r="BE765" s="377">
        <f t="shared" si="307"/>
        <v>0</v>
      </c>
      <c r="BF765" s="377">
        <f t="shared" si="308"/>
        <v>0</v>
      </c>
      <c r="BG765" s="328"/>
    </row>
    <row r="766" spans="2:59">
      <c r="B766" s="332">
        <v>751</v>
      </c>
      <c r="C766" s="350">
        <v>133278149.04163766</v>
      </c>
      <c r="D766" s="350">
        <v>134371296.48309803</v>
      </c>
      <c r="E766" s="350">
        <v>135418639.45033103</v>
      </c>
      <c r="F766" s="350">
        <v>136468471.19216332</v>
      </c>
      <c r="G766" s="350">
        <v>137524052.8056277</v>
      </c>
      <c r="H766" s="348">
        <v>677060608.97285771</v>
      </c>
      <c r="I766" s="369"/>
      <c r="J766" s="350">
        <v>167494033.76355281</v>
      </c>
      <c r="K766" s="350">
        <v>203481934.76695383</v>
      </c>
      <c r="L766" s="350">
        <v>239951864.29519719</v>
      </c>
      <c r="M766" s="350">
        <v>276966437.02906197</v>
      </c>
      <c r="N766" s="350">
        <v>314535034.84189457</v>
      </c>
      <c r="O766" s="348">
        <v>1202429304.6966605</v>
      </c>
      <c r="P766" s="369"/>
      <c r="Q766" s="350">
        <f t="shared" si="309"/>
        <v>34215884.721915156</v>
      </c>
      <c r="R766" s="350">
        <f t="shared" si="310"/>
        <v>69110638.283855796</v>
      </c>
      <c r="S766" s="350">
        <f t="shared" si="311"/>
        <v>104533224.84486616</v>
      </c>
      <c r="T766" s="350">
        <f t="shared" si="312"/>
        <v>140497965.83689865</v>
      </c>
      <c r="U766" s="350">
        <f t="shared" si="313"/>
        <v>177010982.03626686</v>
      </c>
      <c r="V766" s="350">
        <f t="shared" si="314"/>
        <v>525368695.7238028</v>
      </c>
      <c r="W766" s="365"/>
      <c r="X766" s="377">
        <f t="shared" si="292"/>
        <v>0</v>
      </c>
      <c r="Y766" s="377">
        <f t="shared" si="293"/>
        <v>0</v>
      </c>
      <c r="Z766" s="377">
        <f t="shared" si="294"/>
        <v>0</v>
      </c>
      <c r="AA766" s="377">
        <f t="shared" si="295"/>
        <v>0</v>
      </c>
      <c r="AB766" s="377">
        <f t="shared" si="296"/>
        <v>0</v>
      </c>
      <c r="AC766" s="377">
        <f t="shared" si="297"/>
        <v>0</v>
      </c>
      <c r="AD766" s="376"/>
      <c r="AE766" s="332">
        <v>751</v>
      </c>
      <c r="AF766" s="350">
        <v>117612637.34486812</v>
      </c>
      <c r="AG766" s="350">
        <v>118577296.25198412</v>
      </c>
      <c r="AH766" s="350">
        <v>119501534.54210617</v>
      </c>
      <c r="AI766" s="350">
        <v>120427969.07629737</v>
      </c>
      <c r="AJ766" s="350">
        <v>121359477.64229272</v>
      </c>
      <c r="AK766" s="348">
        <v>597478914.85754848</v>
      </c>
      <c r="AL766" s="369"/>
      <c r="AM766" s="350">
        <v>148193687.05029348</v>
      </c>
      <c r="AN766" s="350">
        <v>180360276.93633336</v>
      </c>
      <c r="AO766" s="350">
        <v>212958426.52053097</v>
      </c>
      <c r="AP766" s="350">
        <v>246043553.48118594</v>
      </c>
      <c r="AQ766" s="350">
        <v>279624008.31456125</v>
      </c>
      <c r="AR766" s="348">
        <v>1067179952.302905</v>
      </c>
      <c r="AS766" s="369"/>
      <c r="AT766" s="350">
        <f t="shared" si="315"/>
        <v>30581049.705425352</v>
      </c>
      <c r="AU766" s="350">
        <f t="shared" si="298"/>
        <v>61782980.684349239</v>
      </c>
      <c r="AV766" s="350">
        <f t="shared" si="299"/>
        <v>93456891.978424802</v>
      </c>
      <c r="AW766" s="350">
        <f t="shared" si="300"/>
        <v>125615584.40488857</v>
      </c>
      <c r="AX766" s="350">
        <f t="shared" si="301"/>
        <v>158264530.67226851</v>
      </c>
      <c r="AY766" s="350">
        <f t="shared" si="302"/>
        <v>469701037.44535649</v>
      </c>
      <c r="AZ766" s="365"/>
      <c r="BA766" s="377">
        <f t="shared" si="303"/>
        <v>0</v>
      </c>
      <c r="BB766" s="377">
        <f t="shared" si="304"/>
        <v>0</v>
      </c>
      <c r="BC766" s="377">
        <f t="shared" si="305"/>
        <v>0</v>
      </c>
      <c r="BD766" s="377">
        <f t="shared" si="306"/>
        <v>0</v>
      </c>
      <c r="BE766" s="377">
        <f t="shared" si="307"/>
        <v>0</v>
      </c>
      <c r="BF766" s="377">
        <f t="shared" si="308"/>
        <v>0</v>
      </c>
      <c r="BG766" s="328"/>
    </row>
    <row r="767" spans="2:59">
      <c r="B767" s="332">
        <v>752</v>
      </c>
      <c r="C767" s="350">
        <v>128627095.30886802</v>
      </c>
      <c r="D767" s="350">
        <v>129682094.80541293</v>
      </c>
      <c r="E767" s="350">
        <v>130692888.28233364</v>
      </c>
      <c r="F767" s="350">
        <v>131706083.68222438</v>
      </c>
      <c r="G767" s="350">
        <v>132724828.29848516</v>
      </c>
      <c r="H767" s="348">
        <v>653432990.3773241</v>
      </c>
      <c r="I767" s="369"/>
      <c r="J767" s="350">
        <v>169056076.73657137</v>
      </c>
      <c r="K767" s="350">
        <v>211336002.9459604</v>
      </c>
      <c r="L767" s="350">
        <v>254195306.18231472</v>
      </c>
      <c r="M767" s="350">
        <v>297697516.03532791</v>
      </c>
      <c r="N767" s="350">
        <v>341853011.07104558</v>
      </c>
      <c r="O767" s="348">
        <v>1274137912.97122</v>
      </c>
      <c r="P767" s="369"/>
      <c r="Q767" s="350">
        <f t="shared" si="309"/>
        <v>40428981.427703351</v>
      </c>
      <c r="R767" s="350">
        <f t="shared" si="310"/>
        <v>81653908.140547469</v>
      </c>
      <c r="S767" s="350">
        <f t="shared" si="311"/>
        <v>123502417.89998108</v>
      </c>
      <c r="T767" s="350">
        <f t="shared" si="312"/>
        <v>165991432.35310352</v>
      </c>
      <c r="U767" s="350">
        <f t="shared" si="313"/>
        <v>209128182.77256042</v>
      </c>
      <c r="V767" s="350">
        <f t="shared" si="314"/>
        <v>620704922.59389591</v>
      </c>
      <c r="W767" s="365"/>
      <c r="X767" s="377">
        <f t="shared" si="292"/>
        <v>0</v>
      </c>
      <c r="Y767" s="377">
        <f t="shared" si="293"/>
        <v>0</v>
      </c>
      <c r="Z767" s="377">
        <f t="shared" si="294"/>
        <v>0</v>
      </c>
      <c r="AA767" s="377">
        <f t="shared" si="295"/>
        <v>0</v>
      </c>
      <c r="AB767" s="377">
        <f t="shared" si="296"/>
        <v>0</v>
      </c>
      <c r="AC767" s="377">
        <f t="shared" si="297"/>
        <v>0</v>
      </c>
      <c r="AD767" s="376"/>
      <c r="AE767" s="332">
        <v>752</v>
      </c>
      <c r="AF767" s="350">
        <v>148499718.18061289</v>
      </c>
      <c r="AG767" s="350">
        <v>149717712.93934873</v>
      </c>
      <c r="AH767" s="350">
        <v>150884671.93893659</v>
      </c>
      <c r="AI767" s="350">
        <v>152054403.95367554</v>
      </c>
      <c r="AJ767" s="350">
        <v>153230542.52735215</v>
      </c>
      <c r="AK767" s="348">
        <v>754387049.53992581</v>
      </c>
      <c r="AL767" s="369"/>
      <c r="AM767" s="350">
        <v>186717996.32694206</v>
      </c>
      <c r="AN767" s="350">
        <v>226910724.99871558</v>
      </c>
      <c r="AO767" s="350">
        <v>267641965.5988293</v>
      </c>
      <c r="AP767" s="350">
        <v>308981523.47765476</v>
      </c>
      <c r="AQ767" s="350">
        <v>350939868.65301532</v>
      </c>
      <c r="AR767" s="348">
        <v>1341192079.0551569</v>
      </c>
      <c r="AS767" s="369"/>
      <c r="AT767" s="350">
        <f t="shared" si="315"/>
        <v>38218278.146329165</v>
      </c>
      <c r="AU767" s="350">
        <f t="shared" si="298"/>
        <v>77193012.059366852</v>
      </c>
      <c r="AV767" s="350">
        <f t="shared" si="299"/>
        <v>116757293.65989271</v>
      </c>
      <c r="AW767" s="350">
        <f t="shared" si="300"/>
        <v>156927119.52397922</v>
      </c>
      <c r="AX767" s="350">
        <f t="shared" si="301"/>
        <v>197709326.12566316</v>
      </c>
      <c r="AY767" s="350">
        <f t="shared" si="302"/>
        <v>586805029.51523113</v>
      </c>
      <c r="AZ767" s="365"/>
      <c r="BA767" s="377">
        <f t="shared" si="303"/>
        <v>0</v>
      </c>
      <c r="BB767" s="377">
        <f t="shared" si="304"/>
        <v>0</v>
      </c>
      <c r="BC767" s="377">
        <f t="shared" si="305"/>
        <v>0</v>
      </c>
      <c r="BD767" s="377">
        <f t="shared" si="306"/>
        <v>0</v>
      </c>
      <c r="BE767" s="377">
        <f t="shared" si="307"/>
        <v>0</v>
      </c>
      <c r="BF767" s="377">
        <f t="shared" si="308"/>
        <v>0</v>
      </c>
      <c r="BG767" s="328"/>
    </row>
    <row r="768" spans="2:59">
      <c r="B768" s="332">
        <v>753</v>
      </c>
      <c r="C768" s="350">
        <v>134158595.47936904</v>
      </c>
      <c r="D768" s="350">
        <v>135258964.34292799</v>
      </c>
      <c r="E768" s="350">
        <v>136313226.14412755</v>
      </c>
      <c r="F768" s="350">
        <v>137369993.1609765</v>
      </c>
      <c r="G768" s="350">
        <v>138432548.0335834</v>
      </c>
      <c r="H768" s="348">
        <v>681533327.16098452</v>
      </c>
      <c r="I768" s="369"/>
      <c r="J768" s="350">
        <v>168648887.27120081</v>
      </c>
      <c r="K768" s="350">
        <v>204924927.75233078</v>
      </c>
      <c r="L768" s="350">
        <v>241686943.95021707</v>
      </c>
      <c r="M768" s="350">
        <v>278997984.49015689</v>
      </c>
      <c r="N768" s="350">
        <v>316867502.03922391</v>
      </c>
      <c r="O768" s="348">
        <v>1211126245.5031295</v>
      </c>
      <c r="P768" s="369"/>
      <c r="Q768" s="350">
        <f t="shared" si="309"/>
        <v>34490291.791831762</v>
      </c>
      <c r="R768" s="350">
        <f t="shared" si="310"/>
        <v>69665963.409402788</v>
      </c>
      <c r="S768" s="350">
        <f t="shared" si="311"/>
        <v>105373717.80608952</v>
      </c>
      <c r="T768" s="350">
        <f t="shared" si="312"/>
        <v>141627991.32918039</v>
      </c>
      <c r="U768" s="350">
        <f t="shared" si="313"/>
        <v>178434954.00564051</v>
      </c>
      <c r="V768" s="350">
        <f t="shared" si="314"/>
        <v>529592918.34214497</v>
      </c>
      <c r="W768" s="365"/>
      <c r="X768" s="377">
        <f t="shared" si="292"/>
        <v>0</v>
      </c>
      <c r="Y768" s="377">
        <f t="shared" si="293"/>
        <v>0</v>
      </c>
      <c r="Z768" s="377">
        <f t="shared" si="294"/>
        <v>0</v>
      </c>
      <c r="AA768" s="377">
        <f t="shared" si="295"/>
        <v>0</v>
      </c>
      <c r="AB768" s="377">
        <f t="shared" si="296"/>
        <v>0</v>
      </c>
      <c r="AC768" s="377">
        <f t="shared" si="297"/>
        <v>0</v>
      </c>
      <c r="AD768" s="376"/>
      <c r="AE768" s="332">
        <v>753</v>
      </c>
      <c r="AF768" s="350">
        <v>132943459.36682105</v>
      </c>
      <c r="AG768" s="350">
        <v>134033861.68341035</v>
      </c>
      <c r="AH768" s="350">
        <v>135078574.55051336</v>
      </c>
      <c r="AI768" s="350">
        <v>136125769.94237515</v>
      </c>
      <c r="AJ768" s="350">
        <v>137178700.76672301</v>
      </c>
      <c r="AK768" s="348">
        <v>675360366.30984294</v>
      </c>
      <c r="AL768" s="369"/>
      <c r="AM768" s="350">
        <v>168139539.23528183</v>
      </c>
      <c r="AN768" s="350">
        <v>205123586.58647585</v>
      </c>
      <c r="AO768" s="350">
        <v>242604886.80036056</v>
      </c>
      <c r="AP768" s="350">
        <v>280646343.51275313</v>
      </c>
      <c r="AQ768" s="350">
        <v>319257505.63713664</v>
      </c>
      <c r="AR768" s="348">
        <v>1215771861.7720079</v>
      </c>
      <c r="AS768" s="369"/>
      <c r="AT768" s="350">
        <f t="shared" si="315"/>
        <v>35196079.868460774</v>
      </c>
      <c r="AU768" s="350">
        <f t="shared" si="298"/>
        <v>71089724.903065503</v>
      </c>
      <c r="AV768" s="350">
        <f t="shared" si="299"/>
        <v>107526312.2498472</v>
      </c>
      <c r="AW768" s="350">
        <f t="shared" si="300"/>
        <v>144520573.57037798</v>
      </c>
      <c r="AX768" s="350">
        <f t="shared" si="301"/>
        <v>182078804.87041363</v>
      </c>
      <c r="AY768" s="350">
        <f t="shared" si="302"/>
        <v>540411495.462165</v>
      </c>
      <c r="AZ768" s="365"/>
      <c r="BA768" s="377">
        <f t="shared" si="303"/>
        <v>0</v>
      </c>
      <c r="BB768" s="377">
        <f t="shared" si="304"/>
        <v>0</v>
      </c>
      <c r="BC768" s="377">
        <f t="shared" si="305"/>
        <v>0</v>
      </c>
      <c r="BD768" s="377">
        <f t="shared" si="306"/>
        <v>0</v>
      </c>
      <c r="BE768" s="377">
        <f t="shared" si="307"/>
        <v>0</v>
      </c>
      <c r="BF768" s="377">
        <f t="shared" si="308"/>
        <v>0</v>
      </c>
      <c r="BG768" s="328"/>
    </row>
    <row r="769" spans="2:59">
      <c r="B769" s="332">
        <v>754</v>
      </c>
      <c r="C769" s="350">
        <v>121396139.25270565</v>
      </c>
      <c r="D769" s="350">
        <v>122391830.44425875</v>
      </c>
      <c r="E769" s="350">
        <v>123345800.72078052</v>
      </c>
      <c r="F769" s="350">
        <v>124302037.89273861</v>
      </c>
      <c r="G769" s="350">
        <v>125263512.323935</v>
      </c>
      <c r="H769" s="348">
        <v>616699320.63441849</v>
      </c>
      <c r="I769" s="369"/>
      <c r="J769" s="350">
        <v>153749160.5781258</v>
      </c>
      <c r="K769" s="350">
        <v>187746770.29309314</v>
      </c>
      <c r="L769" s="350">
        <v>222201863.48942256</v>
      </c>
      <c r="M769" s="350">
        <v>257171970.07607037</v>
      </c>
      <c r="N769" s="350">
        <v>292665849.01795387</v>
      </c>
      <c r="O769" s="348">
        <v>1113535613.4546657</v>
      </c>
      <c r="P769" s="369"/>
      <c r="Q769" s="350">
        <f t="shared" si="309"/>
        <v>32353021.325420156</v>
      </c>
      <c r="R769" s="350">
        <f t="shared" si="310"/>
        <v>65354939.848834395</v>
      </c>
      <c r="S769" s="350">
        <f t="shared" si="311"/>
        <v>98856062.768642038</v>
      </c>
      <c r="T769" s="350">
        <f t="shared" si="312"/>
        <v>132869932.18333176</v>
      </c>
      <c r="U769" s="350">
        <f t="shared" si="313"/>
        <v>167402336.69401887</v>
      </c>
      <c r="V769" s="350">
        <f t="shared" si="314"/>
        <v>496836292.82024717</v>
      </c>
      <c r="W769" s="365"/>
      <c r="X769" s="377">
        <f t="shared" si="292"/>
        <v>0</v>
      </c>
      <c r="Y769" s="377">
        <f t="shared" si="293"/>
        <v>0</v>
      </c>
      <c r="Z769" s="377">
        <f t="shared" si="294"/>
        <v>0</v>
      </c>
      <c r="AA769" s="377">
        <f t="shared" si="295"/>
        <v>0</v>
      </c>
      <c r="AB769" s="377">
        <f t="shared" si="296"/>
        <v>0</v>
      </c>
      <c r="AC769" s="377">
        <f t="shared" si="297"/>
        <v>0</v>
      </c>
      <c r="AD769" s="376"/>
      <c r="AE769" s="332">
        <v>754</v>
      </c>
      <c r="AF769" s="350">
        <v>135227747.33774948</v>
      </c>
      <c r="AG769" s="350">
        <v>136336885.38535649</v>
      </c>
      <c r="AH769" s="350">
        <v>137399548.92898586</v>
      </c>
      <c r="AI769" s="350">
        <v>138464737.65311268</v>
      </c>
      <c r="AJ769" s="350">
        <v>139535760.35823244</v>
      </c>
      <c r="AK769" s="348">
        <v>686964679.66343689</v>
      </c>
      <c r="AL769" s="369"/>
      <c r="AM769" s="350">
        <v>175311395.34291309</v>
      </c>
      <c r="AN769" s="350">
        <v>217262580.57168919</v>
      </c>
      <c r="AO769" s="350">
        <v>259785068.55124626</v>
      </c>
      <c r="AP769" s="350">
        <v>302944634.36455387</v>
      </c>
      <c r="AQ769" s="350">
        <v>346751751.62383795</v>
      </c>
      <c r="AR769" s="348">
        <v>1302055430.4542403</v>
      </c>
      <c r="AS769" s="369"/>
      <c r="AT769" s="350">
        <f t="shared" si="315"/>
        <v>40083648.00516361</v>
      </c>
      <c r="AU769" s="350">
        <f t="shared" si="298"/>
        <v>80925695.186332703</v>
      </c>
      <c r="AV769" s="350">
        <f t="shared" si="299"/>
        <v>122385519.62226039</v>
      </c>
      <c r="AW769" s="350">
        <f t="shared" si="300"/>
        <v>164479896.71144119</v>
      </c>
      <c r="AX769" s="350">
        <f t="shared" si="301"/>
        <v>207215991.26560551</v>
      </c>
      <c r="AY769" s="350">
        <f t="shared" si="302"/>
        <v>615090750.79080343</v>
      </c>
      <c r="AZ769" s="365"/>
      <c r="BA769" s="377">
        <f t="shared" si="303"/>
        <v>0</v>
      </c>
      <c r="BB769" s="377">
        <f t="shared" si="304"/>
        <v>0</v>
      </c>
      <c r="BC769" s="377">
        <f t="shared" si="305"/>
        <v>0</v>
      </c>
      <c r="BD769" s="377">
        <f t="shared" si="306"/>
        <v>0</v>
      </c>
      <c r="BE769" s="377">
        <f t="shared" si="307"/>
        <v>0</v>
      </c>
      <c r="BF769" s="377">
        <f t="shared" si="308"/>
        <v>0</v>
      </c>
      <c r="BG769" s="328"/>
    </row>
    <row r="770" spans="2:59">
      <c r="B770" s="332">
        <v>755</v>
      </c>
      <c r="C770" s="350">
        <v>106362176.57320973</v>
      </c>
      <c r="D770" s="350">
        <v>107234559.19575678</v>
      </c>
      <c r="E770" s="350">
        <v>108070387.71239342</v>
      </c>
      <c r="F770" s="350">
        <v>108908202.38719088</v>
      </c>
      <c r="G770" s="350">
        <v>109750605.7276188</v>
      </c>
      <c r="H770" s="348">
        <v>540325931.59616959</v>
      </c>
      <c r="I770" s="369"/>
      <c r="J770" s="350">
        <v>135788815.78864849</v>
      </c>
      <c r="K770" s="350">
        <v>166668885.35286134</v>
      </c>
      <c r="L770" s="350">
        <v>197966308.65172866</v>
      </c>
      <c r="M770" s="350">
        <v>229731942.63478187</v>
      </c>
      <c r="N770" s="350">
        <v>261973653.42490727</v>
      </c>
      <c r="O770" s="348">
        <v>992129605.85292768</v>
      </c>
      <c r="P770" s="369"/>
      <c r="Q770" s="350">
        <f t="shared" si="309"/>
        <v>29426639.215438753</v>
      </c>
      <c r="R770" s="350">
        <f t="shared" si="310"/>
        <v>59434326.157104567</v>
      </c>
      <c r="S770" s="350">
        <f t="shared" si="311"/>
        <v>89895920.939335242</v>
      </c>
      <c r="T770" s="350">
        <f t="shared" si="312"/>
        <v>120823740.24759099</v>
      </c>
      <c r="U770" s="350">
        <f t="shared" si="313"/>
        <v>152223047.69728845</v>
      </c>
      <c r="V770" s="350">
        <f t="shared" si="314"/>
        <v>451803674.25675809</v>
      </c>
      <c r="W770" s="365"/>
      <c r="X770" s="377">
        <f t="shared" si="292"/>
        <v>0</v>
      </c>
      <c r="Y770" s="377">
        <f t="shared" si="293"/>
        <v>0</v>
      </c>
      <c r="Z770" s="377">
        <f t="shared" si="294"/>
        <v>0</v>
      </c>
      <c r="AA770" s="377">
        <f t="shared" si="295"/>
        <v>0</v>
      </c>
      <c r="AB770" s="377">
        <f t="shared" si="296"/>
        <v>0</v>
      </c>
      <c r="AC770" s="377">
        <f t="shared" si="297"/>
        <v>0</v>
      </c>
      <c r="AD770" s="376"/>
      <c r="AE770" s="332">
        <v>755</v>
      </c>
      <c r="AF770" s="350">
        <v>122073356.36127505</v>
      </c>
      <c r="AG770" s="350">
        <v>123074602.08787291</v>
      </c>
      <c r="AH770" s="350">
        <v>124033894.15630914</v>
      </c>
      <c r="AI770" s="350">
        <v>124995465.76622127</v>
      </c>
      <c r="AJ770" s="350">
        <v>125962303.85179961</v>
      </c>
      <c r="AK770" s="348">
        <v>620139622.22347796</v>
      </c>
      <c r="AL770" s="369"/>
      <c r="AM770" s="350">
        <v>150555048.27798975</v>
      </c>
      <c r="AN770" s="350">
        <v>180596849.24731103</v>
      </c>
      <c r="AO770" s="350">
        <v>211035973.56177798</v>
      </c>
      <c r="AP770" s="350">
        <v>241928575.3975668</v>
      </c>
      <c r="AQ770" s="350">
        <v>273282735.74104643</v>
      </c>
      <c r="AR770" s="348">
        <v>1057399182.2256919</v>
      </c>
      <c r="AS770" s="369"/>
      <c r="AT770" s="350">
        <f t="shared" si="315"/>
        <v>28481691.916714698</v>
      </c>
      <c r="AU770" s="350">
        <f t="shared" si="298"/>
        <v>57522247.159438118</v>
      </c>
      <c r="AV770" s="350">
        <f t="shared" si="299"/>
        <v>87002079.405468836</v>
      </c>
      <c r="AW770" s="350">
        <f t="shared" si="300"/>
        <v>116933109.63134553</v>
      </c>
      <c r="AX770" s="350">
        <f t="shared" si="301"/>
        <v>147320431.88924682</v>
      </c>
      <c r="AY770" s="350">
        <f t="shared" si="302"/>
        <v>437259560.00221395</v>
      </c>
      <c r="AZ770" s="365"/>
      <c r="BA770" s="377">
        <f t="shared" si="303"/>
        <v>0</v>
      </c>
      <c r="BB770" s="377">
        <f t="shared" si="304"/>
        <v>0</v>
      </c>
      <c r="BC770" s="377">
        <f t="shared" si="305"/>
        <v>0</v>
      </c>
      <c r="BD770" s="377">
        <f t="shared" si="306"/>
        <v>0</v>
      </c>
      <c r="BE770" s="377">
        <f t="shared" si="307"/>
        <v>0</v>
      </c>
      <c r="BF770" s="377">
        <f t="shared" si="308"/>
        <v>0</v>
      </c>
      <c r="BG770" s="328"/>
    </row>
    <row r="771" spans="2:59">
      <c r="B771" s="332">
        <v>756</v>
      </c>
      <c r="C771" s="350">
        <v>127106341.6437517</v>
      </c>
      <c r="D771" s="350">
        <v>128148867.91801627</v>
      </c>
      <c r="E771" s="350">
        <v>129147710.81888601</v>
      </c>
      <c r="F771" s="350">
        <v>130148927.24487421</v>
      </c>
      <c r="G771" s="350">
        <v>131155627.27904066</v>
      </c>
      <c r="H771" s="348">
        <v>645707474.90456891</v>
      </c>
      <c r="I771" s="369"/>
      <c r="J771" s="350">
        <v>158119490.37976861</v>
      </c>
      <c r="K771" s="350">
        <v>190789721.50919181</v>
      </c>
      <c r="L771" s="350">
        <v>223894683.13010973</v>
      </c>
      <c r="M771" s="350">
        <v>257493412.99021322</v>
      </c>
      <c r="N771" s="350">
        <v>291594568.90387046</v>
      </c>
      <c r="O771" s="348">
        <v>1121891876.9131536</v>
      </c>
      <c r="P771" s="369"/>
      <c r="Q771" s="350">
        <f t="shared" si="309"/>
        <v>31013148.736016914</v>
      </c>
      <c r="R771" s="350">
        <f t="shared" si="310"/>
        <v>62640853.591175541</v>
      </c>
      <c r="S771" s="350">
        <f t="shared" si="311"/>
        <v>94746972.311223716</v>
      </c>
      <c r="T771" s="350">
        <f t="shared" si="312"/>
        <v>127344485.74533901</v>
      </c>
      <c r="U771" s="350">
        <f t="shared" si="313"/>
        <v>160438941.6248298</v>
      </c>
      <c r="V771" s="350">
        <f t="shared" si="314"/>
        <v>476184402.00858474</v>
      </c>
      <c r="W771" s="365"/>
      <c r="X771" s="377">
        <f t="shared" si="292"/>
        <v>0</v>
      </c>
      <c r="Y771" s="377">
        <f t="shared" si="293"/>
        <v>0</v>
      </c>
      <c r="Z771" s="377">
        <f t="shared" si="294"/>
        <v>0</v>
      </c>
      <c r="AA771" s="377">
        <f t="shared" si="295"/>
        <v>0</v>
      </c>
      <c r="AB771" s="377">
        <f t="shared" si="296"/>
        <v>0</v>
      </c>
      <c r="AC771" s="377">
        <f t="shared" si="297"/>
        <v>0</v>
      </c>
      <c r="AD771" s="376"/>
      <c r="AE771" s="332">
        <v>756</v>
      </c>
      <c r="AF771" s="350">
        <v>137097134.15690231</v>
      </c>
      <c r="AG771" s="350">
        <v>138221604.91608393</v>
      </c>
      <c r="AH771" s="350">
        <v>139298958.70828113</v>
      </c>
      <c r="AI771" s="350">
        <v>140378872.5890418</v>
      </c>
      <c r="AJ771" s="350">
        <v>141464701.09968138</v>
      </c>
      <c r="AK771" s="348">
        <v>696461271.46999061</v>
      </c>
      <c r="AL771" s="369"/>
      <c r="AM771" s="350">
        <v>170133126.82814768</v>
      </c>
      <c r="AN771" s="350">
        <v>204949382.3102223</v>
      </c>
      <c r="AO771" s="350">
        <v>240228157.35614106</v>
      </c>
      <c r="AP771" s="350">
        <v>276032956.6152221</v>
      </c>
      <c r="AQ771" s="350">
        <v>312373044.38862091</v>
      </c>
      <c r="AR771" s="348">
        <v>1203716667.498354</v>
      </c>
      <c r="AS771" s="369"/>
      <c r="AT771" s="350">
        <f t="shared" si="315"/>
        <v>33035992.671245366</v>
      </c>
      <c r="AU771" s="350">
        <f t="shared" si="298"/>
        <v>66727777.394138366</v>
      </c>
      <c r="AV771" s="350">
        <f t="shared" si="299"/>
        <v>100929198.64785993</v>
      </c>
      <c r="AW771" s="350">
        <f t="shared" si="300"/>
        <v>135654084.0261803</v>
      </c>
      <c r="AX771" s="350">
        <f t="shared" si="301"/>
        <v>170908343.28893954</v>
      </c>
      <c r="AY771" s="350">
        <f t="shared" si="302"/>
        <v>507255396.02836335</v>
      </c>
      <c r="AZ771" s="365"/>
      <c r="BA771" s="377">
        <f t="shared" si="303"/>
        <v>0</v>
      </c>
      <c r="BB771" s="377">
        <f t="shared" si="304"/>
        <v>0</v>
      </c>
      <c r="BC771" s="377">
        <f t="shared" si="305"/>
        <v>0</v>
      </c>
      <c r="BD771" s="377">
        <f t="shared" si="306"/>
        <v>0</v>
      </c>
      <c r="BE771" s="377">
        <f t="shared" si="307"/>
        <v>0</v>
      </c>
      <c r="BF771" s="377">
        <f t="shared" si="308"/>
        <v>0</v>
      </c>
      <c r="BG771" s="328"/>
    </row>
    <row r="772" spans="2:59">
      <c r="B772" s="332">
        <v>757</v>
      </c>
      <c r="C772" s="350">
        <v>127006654.57625166</v>
      </c>
      <c r="D772" s="350">
        <v>128048363.21714142</v>
      </c>
      <c r="E772" s="350">
        <v>129046422.74466889</v>
      </c>
      <c r="F772" s="350">
        <v>130046853.93580453</v>
      </c>
      <c r="G772" s="350">
        <v>131052764.43442965</v>
      </c>
      <c r="H772" s="348">
        <v>645201058.90829611</v>
      </c>
      <c r="I772" s="369"/>
      <c r="J772" s="350">
        <v>155254254.09886941</v>
      </c>
      <c r="K772" s="350">
        <v>185105407.3810741</v>
      </c>
      <c r="L772" s="350">
        <v>215348696.20134324</v>
      </c>
      <c r="M772" s="350">
        <v>246041964.75501752</v>
      </c>
      <c r="N772" s="350">
        <v>277193374.02617896</v>
      </c>
      <c r="O772" s="348">
        <v>1078943696.4624834</v>
      </c>
      <c r="P772" s="369"/>
      <c r="Q772" s="350">
        <f t="shared" si="309"/>
        <v>28247599.522617757</v>
      </c>
      <c r="R772" s="350">
        <f t="shared" si="310"/>
        <v>57057044.163932681</v>
      </c>
      <c r="S772" s="350">
        <f t="shared" si="311"/>
        <v>86302273.456674352</v>
      </c>
      <c r="T772" s="350">
        <f t="shared" si="312"/>
        <v>115995110.81921299</v>
      </c>
      <c r="U772" s="350">
        <f t="shared" si="313"/>
        <v>146140609.59174931</v>
      </c>
      <c r="V772" s="350">
        <f t="shared" si="314"/>
        <v>433742637.5541873</v>
      </c>
      <c r="W772" s="365"/>
      <c r="X772" s="377">
        <f t="shared" si="292"/>
        <v>0</v>
      </c>
      <c r="Y772" s="377">
        <f t="shared" si="293"/>
        <v>0</v>
      </c>
      <c r="Z772" s="377">
        <f t="shared" si="294"/>
        <v>0</v>
      </c>
      <c r="AA772" s="377">
        <f t="shared" si="295"/>
        <v>0</v>
      </c>
      <c r="AB772" s="377">
        <f t="shared" si="296"/>
        <v>0</v>
      </c>
      <c r="AC772" s="377">
        <f t="shared" si="297"/>
        <v>0</v>
      </c>
      <c r="AD772" s="376"/>
      <c r="AE772" s="332">
        <v>757</v>
      </c>
      <c r="AF772" s="350">
        <v>117365469.79987025</v>
      </c>
      <c r="AG772" s="350">
        <v>118328101.43866526</v>
      </c>
      <c r="AH772" s="350">
        <v>119250397.40596963</v>
      </c>
      <c r="AI772" s="350">
        <v>120174885.00185058</v>
      </c>
      <c r="AJ772" s="350">
        <v>121104435.96625993</v>
      </c>
      <c r="AK772" s="348">
        <v>596223289.6126157</v>
      </c>
      <c r="AL772" s="369"/>
      <c r="AM772" s="350">
        <v>150132376.91258618</v>
      </c>
      <c r="AN772" s="350">
        <v>184509124.50295314</v>
      </c>
      <c r="AO772" s="350">
        <v>219350971.31574401</v>
      </c>
      <c r="AP772" s="350">
        <v>254714159.43582672</v>
      </c>
      <c r="AQ772" s="350">
        <v>290607421.7318657</v>
      </c>
      <c r="AR772" s="348">
        <v>1099314053.8989756</v>
      </c>
      <c r="AS772" s="369"/>
      <c r="AT772" s="350">
        <f t="shared" si="315"/>
        <v>32766907.11271593</v>
      </c>
      <c r="AU772" s="350">
        <f t="shared" si="298"/>
        <v>66181023.064287886</v>
      </c>
      <c r="AV772" s="350">
        <f t="shared" si="299"/>
        <v>100100573.90977438</v>
      </c>
      <c r="AW772" s="350">
        <f t="shared" si="300"/>
        <v>134539274.43397614</v>
      </c>
      <c r="AX772" s="350">
        <f t="shared" si="301"/>
        <v>169502985.76560578</v>
      </c>
      <c r="AY772" s="350">
        <f t="shared" si="302"/>
        <v>503090764.28635991</v>
      </c>
      <c r="AZ772" s="365"/>
      <c r="BA772" s="377">
        <f t="shared" si="303"/>
        <v>0</v>
      </c>
      <c r="BB772" s="377">
        <f t="shared" si="304"/>
        <v>0</v>
      </c>
      <c r="BC772" s="377">
        <f t="shared" si="305"/>
        <v>0</v>
      </c>
      <c r="BD772" s="377">
        <f t="shared" si="306"/>
        <v>0</v>
      </c>
      <c r="BE772" s="377">
        <f t="shared" si="307"/>
        <v>0</v>
      </c>
      <c r="BF772" s="377">
        <f t="shared" si="308"/>
        <v>0</v>
      </c>
      <c r="BG772" s="328"/>
    </row>
    <row r="773" spans="2:59">
      <c r="B773" s="332">
        <v>758</v>
      </c>
      <c r="C773" s="350">
        <v>128638280.2747833</v>
      </c>
      <c r="D773" s="350">
        <v>129693371.51042397</v>
      </c>
      <c r="E773" s="350">
        <v>130704252.8824383</v>
      </c>
      <c r="F773" s="350">
        <v>131717536.38628559</v>
      </c>
      <c r="G773" s="350">
        <v>132736369.58904347</v>
      </c>
      <c r="H773" s="348">
        <v>653489810.64297462</v>
      </c>
      <c r="I773" s="369"/>
      <c r="J773" s="350">
        <v>161903913.13025144</v>
      </c>
      <c r="K773" s="350">
        <v>196876102.79722658</v>
      </c>
      <c r="L773" s="350">
        <v>232317123.21611002</v>
      </c>
      <c r="M773" s="350">
        <v>268287509.60096964</v>
      </c>
      <c r="N773" s="350">
        <v>304796359.00248754</v>
      </c>
      <c r="O773" s="348">
        <v>1164181007.7470453</v>
      </c>
      <c r="P773" s="369"/>
      <c r="Q773" s="350">
        <f t="shared" si="309"/>
        <v>33265632.855468139</v>
      </c>
      <c r="R773" s="350">
        <f t="shared" si="310"/>
        <v>67182731.286802605</v>
      </c>
      <c r="S773" s="350">
        <f t="shared" si="311"/>
        <v>101612870.33367172</v>
      </c>
      <c r="T773" s="350">
        <f t="shared" si="312"/>
        <v>136569973.21468407</v>
      </c>
      <c r="U773" s="350">
        <f t="shared" si="313"/>
        <v>172059989.41344407</v>
      </c>
      <c r="V773" s="350">
        <f t="shared" si="314"/>
        <v>510691197.10407066</v>
      </c>
      <c r="W773" s="365"/>
      <c r="X773" s="377">
        <f t="shared" si="292"/>
        <v>0</v>
      </c>
      <c r="Y773" s="377">
        <f t="shared" si="293"/>
        <v>0</v>
      </c>
      <c r="Z773" s="377">
        <f t="shared" si="294"/>
        <v>0</v>
      </c>
      <c r="AA773" s="377">
        <f t="shared" si="295"/>
        <v>0</v>
      </c>
      <c r="AB773" s="377">
        <f t="shared" si="296"/>
        <v>0</v>
      </c>
      <c r="AC773" s="377">
        <f t="shared" si="297"/>
        <v>0</v>
      </c>
      <c r="AD773" s="376"/>
      <c r="AE773" s="332">
        <v>758</v>
      </c>
      <c r="AF773" s="350">
        <v>109824110.05862099</v>
      </c>
      <c r="AG773" s="350">
        <v>110724887.46125236</v>
      </c>
      <c r="AH773" s="350">
        <v>111587920.97522008</v>
      </c>
      <c r="AI773" s="350">
        <v>112453005.29389563</v>
      </c>
      <c r="AJ773" s="350">
        <v>113322827.63256532</v>
      </c>
      <c r="AK773" s="348">
        <v>557912751.42155433</v>
      </c>
      <c r="AL773" s="369"/>
      <c r="AM773" s="350">
        <v>137456099.78285316</v>
      </c>
      <c r="AN773" s="350">
        <v>166530793.38228795</v>
      </c>
      <c r="AO773" s="350">
        <v>195993910.9065749</v>
      </c>
      <c r="AP773" s="350">
        <v>225896812.36915746</v>
      </c>
      <c r="AQ773" s="350">
        <v>256247127.02491608</v>
      </c>
      <c r="AR773" s="348">
        <v>982124743.46578956</v>
      </c>
      <c r="AS773" s="369"/>
      <c r="AT773" s="350">
        <f t="shared" si="315"/>
        <v>27631989.724232167</v>
      </c>
      <c r="AU773" s="350">
        <f t="shared" si="298"/>
        <v>55805905.921035588</v>
      </c>
      <c r="AV773" s="350">
        <f t="shared" si="299"/>
        <v>84405989.931354821</v>
      </c>
      <c r="AW773" s="350">
        <f t="shared" si="300"/>
        <v>113443807.07526183</v>
      </c>
      <c r="AX773" s="350">
        <f t="shared" si="301"/>
        <v>142924299.39235076</v>
      </c>
      <c r="AY773" s="350">
        <f t="shared" si="302"/>
        <v>424211992.04423523</v>
      </c>
      <c r="AZ773" s="365"/>
      <c r="BA773" s="377">
        <f t="shared" si="303"/>
        <v>0</v>
      </c>
      <c r="BB773" s="377">
        <f t="shared" si="304"/>
        <v>0</v>
      </c>
      <c r="BC773" s="377">
        <f t="shared" si="305"/>
        <v>0</v>
      </c>
      <c r="BD773" s="377">
        <f t="shared" si="306"/>
        <v>0</v>
      </c>
      <c r="BE773" s="377">
        <f t="shared" si="307"/>
        <v>0</v>
      </c>
      <c r="BF773" s="377">
        <f t="shared" si="308"/>
        <v>0</v>
      </c>
      <c r="BG773" s="328"/>
    </row>
    <row r="774" spans="2:59">
      <c r="B774" s="332">
        <v>759</v>
      </c>
      <c r="C774" s="350">
        <v>113468434.16832271</v>
      </c>
      <c r="D774" s="350">
        <v>114399102.3190251</v>
      </c>
      <c r="E774" s="350">
        <v>115290774.11506729</v>
      </c>
      <c r="F774" s="350">
        <v>116184564.76824251</v>
      </c>
      <c r="G774" s="350">
        <v>117083250.66445234</v>
      </c>
      <c r="H774" s="348">
        <v>576426126.03510988</v>
      </c>
      <c r="I774" s="369"/>
      <c r="J774" s="350">
        <v>147106635.54379904</v>
      </c>
      <c r="K774" s="350">
        <v>182368628.50387022</v>
      </c>
      <c r="L774" s="350">
        <v>218110947.33375108</v>
      </c>
      <c r="M774" s="350">
        <v>254388788.31043908</v>
      </c>
      <c r="N774" s="350">
        <v>291210949.18150342</v>
      </c>
      <c r="O774" s="348">
        <v>1093185948.873363</v>
      </c>
      <c r="P774" s="369"/>
      <c r="Q774" s="350">
        <f t="shared" si="309"/>
        <v>33638201.375476331</v>
      </c>
      <c r="R774" s="350">
        <f t="shared" si="310"/>
        <v>67969526.18484512</v>
      </c>
      <c r="S774" s="350">
        <f t="shared" si="311"/>
        <v>102820173.21868379</v>
      </c>
      <c r="T774" s="350">
        <f t="shared" si="312"/>
        <v>138204223.54219657</v>
      </c>
      <c r="U774" s="350">
        <f t="shared" si="313"/>
        <v>174127698.51705107</v>
      </c>
      <c r="V774" s="350">
        <f t="shared" si="314"/>
        <v>516759822.83825314</v>
      </c>
      <c r="W774" s="365"/>
      <c r="X774" s="377">
        <f t="shared" si="292"/>
        <v>0</v>
      </c>
      <c r="Y774" s="377">
        <f t="shared" si="293"/>
        <v>0</v>
      </c>
      <c r="Z774" s="377">
        <f t="shared" si="294"/>
        <v>0</v>
      </c>
      <c r="AA774" s="377">
        <f t="shared" si="295"/>
        <v>0</v>
      </c>
      <c r="AB774" s="377">
        <f t="shared" si="296"/>
        <v>0</v>
      </c>
      <c r="AC774" s="377">
        <f t="shared" si="297"/>
        <v>0</v>
      </c>
      <c r="AD774" s="376"/>
      <c r="AE774" s="332">
        <v>759</v>
      </c>
      <c r="AF774" s="350">
        <v>138582543.83307812</v>
      </c>
      <c r="AG774" s="350">
        <v>139719197.9231261</v>
      </c>
      <c r="AH774" s="350">
        <v>140808224.54683384</v>
      </c>
      <c r="AI774" s="350">
        <v>141899838.99695933</v>
      </c>
      <c r="AJ774" s="350">
        <v>142997432.16034892</v>
      </c>
      <c r="AK774" s="348">
        <v>704007237.46034634</v>
      </c>
      <c r="AL774" s="369"/>
      <c r="AM774" s="350">
        <v>173010332.28464213</v>
      </c>
      <c r="AN774" s="350">
        <v>209251713.38700494</v>
      </c>
      <c r="AO774" s="350">
        <v>245976473.3341006</v>
      </c>
      <c r="AP774" s="350">
        <v>283249237.20438927</v>
      </c>
      <c r="AQ774" s="350">
        <v>321079553.63144976</v>
      </c>
      <c r="AR774" s="348">
        <v>1232567309.8415866</v>
      </c>
      <c r="AS774" s="369"/>
      <c r="AT774" s="350">
        <f t="shared" si="315"/>
        <v>34427788.451564014</v>
      </c>
      <c r="AU774" s="350">
        <f t="shared" si="298"/>
        <v>69532515.46387884</v>
      </c>
      <c r="AV774" s="350">
        <f t="shared" si="299"/>
        <v>105168248.78726676</v>
      </c>
      <c r="AW774" s="350">
        <f t="shared" si="300"/>
        <v>141349398.20742995</v>
      </c>
      <c r="AX774" s="350">
        <f t="shared" si="301"/>
        <v>178082121.47110084</v>
      </c>
      <c r="AY774" s="350">
        <f t="shared" si="302"/>
        <v>528560072.38124025</v>
      </c>
      <c r="AZ774" s="365"/>
      <c r="BA774" s="377">
        <f t="shared" si="303"/>
        <v>0</v>
      </c>
      <c r="BB774" s="377">
        <f t="shared" si="304"/>
        <v>0</v>
      </c>
      <c r="BC774" s="377">
        <f t="shared" si="305"/>
        <v>0</v>
      </c>
      <c r="BD774" s="377">
        <f t="shared" si="306"/>
        <v>0</v>
      </c>
      <c r="BE774" s="377">
        <f t="shared" si="307"/>
        <v>0</v>
      </c>
      <c r="BF774" s="377">
        <f t="shared" si="308"/>
        <v>0</v>
      </c>
      <c r="BG774" s="328"/>
    </row>
    <row r="775" spans="2:59">
      <c r="B775" s="332">
        <v>760</v>
      </c>
      <c r="C775" s="350">
        <v>117146885.06873792</v>
      </c>
      <c r="D775" s="350">
        <v>118107723.87546484</v>
      </c>
      <c r="E775" s="350">
        <v>119028302.13298301</v>
      </c>
      <c r="F775" s="350">
        <v>119951067.93732741</v>
      </c>
      <c r="G775" s="350">
        <v>120878887.68004122</v>
      </c>
      <c r="H775" s="348">
        <v>595112866.69455445</v>
      </c>
      <c r="I775" s="369"/>
      <c r="J775" s="350">
        <v>149909790.96143511</v>
      </c>
      <c r="K775" s="350">
        <v>184285397.04395008</v>
      </c>
      <c r="L775" s="350">
        <v>219126189.51124293</v>
      </c>
      <c r="M775" s="350">
        <v>254488329.83232412</v>
      </c>
      <c r="N775" s="350">
        <v>290380545.53397501</v>
      </c>
      <c r="O775" s="348">
        <v>1098190252.8829272</v>
      </c>
      <c r="P775" s="369"/>
      <c r="Q775" s="350">
        <f t="shared" si="309"/>
        <v>32762905.892697185</v>
      </c>
      <c r="R775" s="350">
        <f t="shared" si="310"/>
        <v>66177673.168485239</v>
      </c>
      <c r="S775" s="350">
        <f t="shared" si="311"/>
        <v>100097887.37825991</v>
      </c>
      <c r="T775" s="350">
        <f t="shared" si="312"/>
        <v>134537261.8949967</v>
      </c>
      <c r="U775" s="350">
        <f t="shared" si="313"/>
        <v>169501657.85393378</v>
      </c>
      <c r="V775" s="350">
        <f t="shared" si="314"/>
        <v>503077386.18837273</v>
      </c>
      <c r="W775" s="365"/>
      <c r="X775" s="377">
        <f t="shared" si="292"/>
        <v>0</v>
      </c>
      <c r="Y775" s="377">
        <f t="shared" si="293"/>
        <v>0</v>
      </c>
      <c r="Z775" s="377">
        <f t="shared" si="294"/>
        <v>0</v>
      </c>
      <c r="AA775" s="377">
        <f t="shared" si="295"/>
        <v>0</v>
      </c>
      <c r="AB775" s="377">
        <f t="shared" si="296"/>
        <v>0</v>
      </c>
      <c r="AC775" s="377">
        <f t="shared" si="297"/>
        <v>0</v>
      </c>
      <c r="AD775" s="376"/>
      <c r="AE775" s="332">
        <v>760</v>
      </c>
      <c r="AF775" s="350">
        <v>99133193.497338906</v>
      </c>
      <c r="AG775" s="350">
        <v>99946283.997279435</v>
      </c>
      <c r="AH775" s="350">
        <v>100725304.81783682</v>
      </c>
      <c r="AI775" s="350">
        <v>101506176.80586387</v>
      </c>
      <c r="AJ775" s="350">
        <v>102291325.58750775</v>
      </c>
      <c r="AK775" s="348">
        <v>503602284.70582676</v>
      </c>
      <c r="AL775" s="369"/>
      <c r="AM775" s="350">
        <v>124677235.60496828</v>
      </c>
      <c r="AN775" s="350">
        <v>151542503.53530332</v>
      </c>
      <c r="AO775" s="350">
        <v>178767778.8000322</v>
      </c>
      <c r="AP775" s="350">
        <v>206399674.05707318</v>
      </c>
      <c r="AQ775" s="350">
        <v>234445184.63098991</v>
      </c>
      <c r="AR775" s="348">
        <v>895832376.62836683</v>
      </c>
      <c r="AS775" s="369"/>
      <c r="AT775" s="350">
        <f t="shared" si="315"/>
        <v>25544042.107629374</v>
      </c>
      <c r="AU775" s="350">
        <f t="shared" si="298"/>
        <v>51596219.538023889</v>
      </c>
      <c r="AV775" s="350">
        <f t="shared" si="299"/>
        <v>78042473.982195377</v>
      </c>
      <c r="AW775" s="350">
        <f t="shared" si="300"/>
        <v>104893497.2512093</v>
      </c>
      <c r="AX775" s="350">
        <f t="shared" si="301"/>
        <v>132153859.04348215</v>
      </c>
      <c r="AY775" s="350">
        <f t="shared" si="302"/>
        <v>392230091.92254007</v>
      </c>
      <c r="AZ775" s="365"/>
      <c r="BA775" s="377">
        <f t="shared" si="303"/>
        <v>0</v>
      </c>
      <c r="BB775" s="377">
        <f t="shared" si="304"/>
        <v>0</v>
      </c>
      <c r="BC775" s="377">
        <f t="shared" si="305"/>
        <v>0</v>
      </c>
      <c r="BD775" s="377">
        <f t="shared" si="306"/>
        <v>0</v>
      </c>
      <c r="BE775" s="377">
        <f t="shared" si="307"/>
        <v>0</v>
      </c>
      <c r="BF775" s="377">
        <f t="shared" si="308"/>
        <v>0</v>
      </c>
      <c r="BG775" s="328"/>
    </row>
    <row r="776" spans="2:59">
      <c r="B776" s="332">
        <v>761</v>
      </c>
      <c r="C776" s="350">
        <v>139492940.87124854</v>
      </c>
      <c r="D776" s="350">
        <v>140637062.03823408</v>
      </c>
      <c r="E776" s="350">
        <v>141733242.85745078</v>
      </c>
      <c r="F776" s="350">
        <v>142832028.5034191</v>
      </c>
      <c r="G776" s="350">
        <v>143936832.13890293</v>
      </c>
      <c r="H776" s="348">
        <v>708632106.40925539</v>
      </c>
      <c r="I776" s="369"/>
      <c r="J776" s="350">
        <v>169915228.02884692</v>
      </c>
      <c r="K776" s="350">
        <v>202104635.61005193</v>
      </c>
      <c r="L776" s="350">
        <v>234715716.12151036</v>
      </c>
      <c r="M776" s="350">
        <v>267811749.395895</v>
      </c>
      <c r="N776" s="350">
        <v>301401593.70805621</v>
      </c>
      <c r="O776" s="348">
        <v>1175948922.8643603</v>
      </c>
      <c r="P776" s="369"/>
      <c r="Q776" s="350">
        <f t="shared" si="309"/>
        <v>30422287.157598376</v>
      </c>
      <c r="R776" s="350">
        <f t="shared" si="310"/>
        <v>61467573.571817845</v>
      </c>
      <c r="S776" s="350">
        <f t="shared" si="311"/>
        <v>92982473.264059573</v>
      </c>
      <c r="T776" s="350">
        <f t="shared" si="312"/>
        <v>124979720.8924759</v>
      </c>
      <c r="U776" s="350">
        <f t="shared" si="313"/>
        <v>157464761.56915328</v>
      </c>
      <c r="V776" s="350">
        <f t="shared" si="314"/>
        <v>467316816.45510495</v>
      </c>
      <c r="W776" s="365"/>
      <c r="X776" s="377">
        <f t="shared" si="292"/>
        <v>0</v>
      </c>
      <c r="Y776" s="377">
        <f t="shared" si="293"/>
        <v>0</v>
      </c>
      <c r="Z776" s="377">
        <f t="shared" si="294"/>
        <v>0</v>
      </c>
      <c r="AA776" s="377">
        <f t="shared" si="295"/>
        <v>0</v>
      </c>
      <c r="AB776" s="377">
        <f t="shared" si="296"/>
        <v>0</v>
      </c>
      <c r="AC776" s="377">
        <f t="shared" si="297"/>
        <v>0</v>
      </c>
      <c r="AD776" s="376"/>
      <c r="AE776" s="332">
        <v>761</v>
      </c>
      <c r="AF776" s="350">
        <v>100577187.06933446</v>
      </c>
      <c r="AG776" s="350">
        <v>101402121.20523527</v>
      </c>
      <c r="AH776" s="350">
        <v>102192489.39610982</v>
      </c>
      <c r="AI776" s="350">
        <v>102984735.71892305</v>
      </c>
      <c r="AJ776" s="350">
        <v>103781321.13196914</v>
      </c>
      <c r="AK776" s="348">
        <v>510937854.52157176</v>
      </c>
      <c r="AL776" s="369"/>
      <c r="AM776" s="350">
        <v>129222305.11531429</v>
      </c>
      <c r="AN776" s="350">
        <v>159277842.52300233</v>
      </c>
      <c r="AO776" s="350">
        <v>189740976.54665279</v>
      </c>
      <c r="AP776" s="350">
        <v>220660141.9426327</v>
      </c>
      <c r="AQ776" s="350">
        <v>252042926.52490199</v>
      </c>
      <c r="AR776" s="348">
        <v>950944192.65250409</v>
      </c>
      <c r="AS776" s="369"/>
      <c r="AT776" s="350">
        <f t="shared" si="315"/>
        <v>28645118.045979828</v>
      </c>
      <c r="AU776" s="350">
        <f t="shared" si="298"/>
        <v>57875721.317767054</v>
      </c>
      <c r="AV776" s="350">
        <f t="shared" si="299"/>
        <v>87548487.150542974</v>
      </c>
      <c r="AW776" s="350">
        <f t="shared" si="300"/>
        <v>117675406.22370966</v>
      </c>
      <c r="AX776" s="350">
        <f t="shared" si="301"/>
        <v>148261605.39293283</v>
      </c>
      <c r="AY776" s="350">
        <f t="shared" si="302"/>
        <v>440006338.13093233</v>
      </c>
      <c r="AZ776" s="365"/>
      <c r="BA776" s="377">
        <f t="shared" si="303"/>
        <v>0</v>
      </c>
      <c r="BB776" s="377">
        <f t="shared" si="304"/>
        <v>0</v>
      </c>
      <c r="BC776" s="377">
        <f t="shared" si="305"/>
        <v>0</v>
      </c>
      <c r="BD776" s="377">
        <f t="shared" si="306"/>
        <v>0</v>
      </c>
      <c r="BE776" s="377">
        <f t="shared" si="307"/>
        <v>0</v>
      </c>
      <c r="BF776" s="377">
        <f t="shared" si="308"/>
        <v>0</v>
      </c>
      <c r="BG776" s="328"/>
    </row>
    <row r="777" spans="2:59">
      <c r="B777" s="332">
        <v>762</v>
      </c>
      <c r="C777" s="350">
        <v>126629210.24797304</v>
      </c>
      <c r="D777" s="350">
        <v>127667823.09030382</v>
      </c>
      <c r="E777" s="350">
        <v>128662916.53775294</v>
      </c>
      <c r="F777" s="350">
        <v>129660374.60058923</v>
      </c>
      <c r="G777" s="350">
        <v>130663295.68725222</v>
      </c>
      <c r="H777" s="348">
        <v>643283620.16387129</v>
      </c>
      <c r="I777" s="369"/>
      <c r="J777" s="350">
        <v>160109373.05589837</v>
      </c>
      <c r="K777" s="350">
        <v>195294817.59104276</v>
      </c>
      <c r="L777" s="350">
        <v>230953263.45203477</v>
      </c>
      <c r="M777" s="350">
        <v>267144608.26986611</v>
      </c>
      <c r="N777" s="350">
        <v>303877939.98414981</v>
      </c>
      <c r="O777" s="348">
        <v>1157380002.3529918</v>
      </c>
      <c r="P777" s="369"/>
      <c r="Q777" s="350">
        <f t="shared" si="309"/>
        <v>33480162.807925329</v>
      </c>
      <c r="R777" s="350">
        <f t="shared" si="310"/>
        <v>67626994.500738934</v>
      </c>
      <c r="S777" s="350">
        <f t="shared" si="311"/>
        <v>102290346.91428183</v>
      </c>
      <c r="T777" s="350">
        <f t="shared" si="312"/>
        <v>137484233.66927689</v>
      </c>
      <c r="U777" s="350">
        <f t="shared" si="313"/>
        <v>173214644.29689759</v>
      </c>
      <c r="V777" s="350">
        <f t="shared" si="314"/>
        <v>514096382.18912053</v>
      </c>
      <c r="W777" s="365"/>
      <c r="X777" s="377">
        <f t="shared" si="292"/>
        <v>0</v>
      </c>
      <c r="Y777" s="377">
        <f t="shared" si="293"/>
        <v>0</v>
      </c>
      <c r="Z777" s="377">
        <f t="shared" si="294"/>
        <v>0</v>
      </c>
      <c r="AA777" s="377">
        <f t="shared" si="295"/>
        <v>0</v>
      </c>
      <c r="AB777" s="377">
        <f t="shared" si="296"/>
        <v>0</v>
      </c>
      <c r="AC777" s="377">
        <f t="shared" si="297"/>
        <v>0</v>
      </c>
      <c r="AD777" s="376"/>
      <c r="AE777" s="332">
        <v>762</v>
      </c>
      <c r="AF777" s="350">
        <v>122892467.63917932</v>
      </c>
      <c r="AG777" s="350">
        <v>123900431.71686584</v>
      </c>
      <c r="AH777" s="350">
        <v>124866160.62766874</v>
      </c>
      <c r="AI777" s="350">
        <v>125834184.37565313</v>
      </c>
      <c r="AJ777" s="350">
        <v>126807509.93731479</v>
      </c>
      <c r="AK777" s="348">
        <v>624300754.29668176</v>
      </c>
      <c r="AL777" s="369"/>
      <c r="AM777" s="350">
        <v>156617662.31431493</v>
      </c>
      <c r="AN777" s="350">
        <v>192021580.29108551</v>
      </c>
      <c r="AO777" s="350">
        <v>227903551.79436439</v>
      </c>
      <c r="AP777" s="350">
        <v>264322222.9668459</v>
      </c>
      <c r="AQ777" s="350">
        <v>301286634.03148079</v>
      </c>
      <c r="AR777" s="348">
        <v>1142151651.3980913</v>
      </c>
      <c r="AS777" s="369"/>
      <c r="AT777" s="350">
        <f t="shared" si="315"/>
        <v>33725194.675135612</v>
      </c>
      <c r="AU777" s="350">
        <f t="shared" si="298"/>
        <v>68121148.574219674</v>
      </c>
      <c r="AV777" s="350">
        <f t="shared" si="299"/>
        <v>103037391.16669565</v>
      </c>
      <c r="AW777" s="350">
        <f t="shared" si="300"/>
        <v>138488038.59119278</v>
      </c>
      <c r="AX777" s="350">
        <f t="shared" si="301"/>
        <v>174479124.09416598</v>
      </c>
      <c r="AY777" s="350">
        <f t="shared" si="302"/>
        <v>517850897.10140955</v>
      </c>
      <c r="AZ777" s="365"/>
      <c r="BA777" s="377">
        <f t="shared" si="303"/>
        <v>0</v>
      </c>
      <c r="BB777" s="377">
        <f t="shared" si="304"/>
        <v>0</v>
      </c>
      <c r="BC777" s="377">
        <f t="shared" si="305"/>
        <v>0</v>
      </c>
      <c r="BD777" s="377">
        <f t="shared" si="306"/>
        <v>0</v>
      </c>
      <c r="BE777" s="377">
        <f t="shared" si="307"/>
        <v>0</v>
      </c>
      <c r="BF777" s="377">
        <f t="shared" si="308"/>
        <v>0</v>
      </c>
      <c r="BG777" s="328"/>
    </row>
    <row r="778" spans="2:59">
      <c r="B778" s="332">
        <v>763</v>
      </c>
      <c r="C778" s="350">
        <v>126050986.18722992</v>
      </c>
      <c r="D778" s="350">
        <v>127084856.43554106</v>
      </c>
      <c r="E778" s="350">
        <v>128075406.01058605</v>
      </c>
      <c r="F778" s="350">
        <v>129068309.4035292</v>
      </c>
      <c r="G778" s="350">
        <v>130066650.8746185</v>
      </c>
      <c r="H778" s="348">
        <v>640346208.91150475</v>
      </c>
      <c r="I778" s="369"/>
      <c r="J778" s="350">
        <v>156537946.37269172</v>
      </c>
      <c r="K778" s="350">
        <v>188671681.02591041</v>
      </c>
      <c r="L778" s="350">
        <v>221232528.59312513</v>
      </c>
      <c r="M778" s="350">
        <v>254278924.66102618</v>
      </c>
      <c r="N778" s="350">
        <v>287819408.43431854</v>
      </c>
      <c r="O778" s="348">
        <v>1108540489.0870719</v>
      </c>
      <c r="P778" s="369"/>
      <c r="Q778" s="350">
        <f t="shared" si="309"/>
        <v>30486960.185461804</v>
      </c>
      <c r="R778" s="350">
        <f t="shared" si="310"/>
        <v>61586824.590369344</v>
      </c>
      <c r="S778" s="350">
        <f t="shared" si="311"/>
        <v>93157122.582539082</v>
      </c>
      <c r="T778" s="350">
        <f t="shared" si="312"/>
        <v>125210615.25749698</v>
      </c>
      <c r="U778" s="350">
        <f t="shared" si="313"/>
        <v>157752757.55970004</v>
      </c>
      <c r="V778" s="350">
        <f t="shared" si="314"/>
        <v>468194280.17556715</v>
      </c>
      <c r="W778" s="365"/>
      <c r="X778" s="377">
        <f t="shared" si="292"/>
        <v>0</v>
      </c>
      <c r="Y778" s="377">
        <f t="shared" si="293"/>
        <v>0</v>
      </c>
      <c r="Z778" s="377">
        <f t="shared" si="294"/>
        <v>0</v>
      </c>
      <c r="AA778" s="377">
        <f t="shared" si="295"/>
        <v>0</v>
      </c>
      <c r="AB778" s="377">
        <f t="shared" si="296"/>
        <v>0</v>
      </c>
      <c r="AC778" s="377">
        <f t="shared" si="297"/>
        <v>0</v>
      </c>
      <c r="AD778" s="376"/>
      <c r="AE778" s="332">
        <v>763</v>
      </c>
      <c r="AF778" s="350">
        <v>113411939.74388164</v>
      </c>
      <c r="AG778" s="350">
        <v>114342144.52728802</v>
      </c>
      <c r="AH778" s="350">
        <v>115233372.37180063</v>
      </c>
      <c r="AI778" s="350">
        <v>116126718.01849553</v>
      </c>
      <c r="AJ778" s="350">
        <v>117024956.47094859</v>
      </c>
      <c r="AK778" s="348">
        <v>576139131.13241446</v>
      </c>
      <c r="AL778" s="369"/>
      <c r="AM778" s="350">
        <v>146976158.46639386</v>
      </c>
      <c r="AN778" s="350">
        <v>182115412.51289374</v>
      </c>
      <c r="AO778" s="350">
        <v>217733140.60256103</v>
      </c>
      <c r="AP778" s="350">
        <v>253884484.97360295</v>
      </c>
      <c r="AQ778" s="350">
        <v>290578221.60926157</v>
      </c>
      <c r="AR778" s="348">
        <v>1091287418.1647131</v>
      </c>
      <c r="AS778" s="369"/>
      <c r="AT778" s="350">
        <f t="shared" si="315"/>
        <v>33564218.722512215</v>
      </c>
      <c r="AU778" s="350">
        <f t="shared" si="298"/>
        <v>67773267.985605717</v>
      </c>
      <c r="AV778" s="350">
        <f t="shared" si="299"/>
        <v>102499768.2307604</v>
      </c>
      <c r="AW778" s="350">
        <f t="shared" si="300"/>
        <v>137757766.95510742</v>
      </c>
      <c r="AX778" s="350">
        <f t="shared" si="301"/>
        <v>173553265.138313</v>
      </c>
      <c r="AY778" s="350">
        <f t="shared" si="302"/>
        <v>515148287.03229868</v>
      </c>
      <c r="AZ778" s="365"/>
      <c r="BA778" s="377">
        <f t="shared" si="303"/>
        <v>0</v>
      </c>
      <c r="BB778" s="377">
        <f t="shared" si="304"/>
        <v>0</v>
      </c>
      <c r="BC778" s="377">
        <f t="shared" si="305"/>
        <v>0</v>
      </c>
      <c r="BD778" s="377">
        <f t="shared" si="306"/>
        <v>0</v>
      </c>
      <c r="BE778" s="377">
        <f t="shared" si="307"/>
        <v>0</v>
      </c>
      <c r="BF778" s="377">
        <f t="shared" si="308"/>
        <v>0</v>
      </c>
      <c r="BG778" s="328"/>
    </row>
    <row r="779" spans="2:59">
      <c r="B779" s="332">
        <v>764</v>
      </c>
      <c r="C779" s="350">
        <v>136748250.77394533</v>
      </c>
      <c r="D779" s="350">
        <v>137869859.99145502</v>
      </c>
      <c r="E779" s="350">
        <v>138944472.14475524</v>
      </c>
      <c r="F779" s="350">
        <v>140021637.87173185</v>
      </c>
      <c r="G779" s="350">
        <v>141104703.1770978</v>
      </c>
      <c r="H779" s="348">
        <v>694688923.95898521</v>
      </c>
      <c r="I779" s="369"/>
      <c r="J779" s="350">
        <v>169759915.92860776</v>
      </c>
      <c r="K779" s="350">
        <v>204554148.369463</v>
      </c>
      <c r="L779" s="350">
        <v>239810733.04362047</v>
      </c>
      <c r="M779" s="350">
        <v>275593038.31405699</v>
      </c>
      <c r="N779" s="350">
        <v>311910316.4556784</v>
      </c>
      <c r="O779" s="348">
        <v>1201628152.1114266</v>
      </c>
      <c r="P779" s="369"/>
      <c r="Q779" s="350">
        <f t="shared" si="309"/>
        <v>33011665.15466243</v>
      </c>
      <c r="R779" s="350">
        <f t="shared" si="310"/>
        <v>66684288.378007978</v>
      </c>
      <c r="S779" s="350">
        <f t="shared" si="311"/>
        <v>100866260.89886522</v>
      </c>
      <c r="T779" s="350">
        <f t="shared" si="312"/>
        <v>135571400.44232515</v>
      </c>
      <c r="U779" s="350">
        <f t="shared" si="313"/>
        <v>170805613.27858061</v>
      </c>
      <c r="V779" s="350">
        <f t="shared" si="314"/>
        <v>506939228.15244138</v>
      </c>
      <c r="W779" s="365"/>
      <c r="X779" s="377">
        <f t="shared" si="292"/>
        <v>0</v>
      </c>
      <c r="Y779" s="377">
        <f t="shared" si="293"/>
        <v>0</v>
      </c>
      <c r="Z779" s="377">
        <f t="shared" si="294"/>
        <v>0</v>
      </c>
      <c r="AA779" s="377">
        <f t="shared" si="295"/>
        <v>0</v>
      </c>
      <c r="AB779" s="377">
        <f t="shared" si="296"/>
        <v>0</v>
      </c>
      <c r="AC779" s="377">
        <f t="shared" si="297"/>
        <v>0</v>
      </c>
      <c r="AD779" s="376"/>
      <c r="AE779" s="332">
        <v>764</v>
      </c>
      <c r="AF779" s="350">
        <v>152044908.82162112</v>
      </c>
      <c r="AG779" s="350">
        <v>153291981.2356708</v>
      </c>
      <c r="AH779" s="350">
        <v>154486799.49434993</v>
      </c>
      <c r="AI779" s="350">
        <v>155684456.96943289</v>
      </c>
      <c r="AJ779" s="350">
        <v>156888673.94968843</v>
      </c>
      <c r="AK779" s="348">
        <v>772396820.47076321</v>
      </c>
      <c r="AL779" s="369"/>
      <c r="AM779" s="350">
        <v>183909151.50289255</v>
      </c>
      <c r="AN779" s="350">
        <v>217634060.35458964</v>
      </c>
      <c r="AO779" s="350">
        <v>251797980.11795461</v>
      </c>
      <c r="AP779" s="350">
        <v>286469340.25683743</v>
      </c>
      <c r="AQ779" s="350">
        <v>321657558.31647825</v>
      </c>
      <c r="AR779" s="348">
        <v>1261468090.5487525</v>
      </c>
      <c r="AS779" s="369"/>
      <c r="AT779" s="350">
        <f t="shared" si="315"/>
        <v>31864242.681271434</v>
      </c>
      <c r="AU779" s="350">
        <f t="shared" si="298"/>
        <v>64342079.118918836</v>
      </c>
      <c r="AV779" s="350">
        <f t="shared" si="299"/>
        <v>97311180.623604685</v>
      </c>
      <c r="AW779" s="350">
        <f t="shared" si="300"/>
        <v>130784883.28740454</v>
      </c>
      <c r="AX779" s="350">
        <f t="shared" si="301"/>
        <v>164768884.36678982</v>
      </c>
      <c r="AY779" s="350">
        <f t="shared" si="302"/>
        <v>489071270.07798934</v>
      </c>
      <c r="AZ779" s="365"/>
      <c r="BA779" s="377">
        <f t="shared" si="303"/>
        <v>0</v>
      </c>
      <c r="BB779" s="377">
        <f t="shared" si="304"/>
        <v>0</v>
      </c>
      <c r="BC779" s="377">
        <f t="shared" si="305"/>
        <v>0</v>
      </c>
      <c r="BD779" s="377">
        <f t="shared" si="306"/>
        <v>0</v>
      </c>
      <c r="BE779" s="377">
        <f t="shared" si="307"/>
        <v>0</v>
      </c>
      <c r="BF779" s="377">
        <f t="shared" si="308"/>
        <v>0</v>
      </c>
      <c r="BG779" s="328"/>
    </row>
    <row r="780" spans="2:59">
      <c r="B780" s="332">
        <v>765</v>
      </c>
      <c r="C780" s="350">
        <v>113138298.74835035</v>
      </c>
      <c r="D780" s="350">
        <v>114066259.12818204</v>
      </c>
      <c r="E780" s="350">
        <v>114955336.61290738</v>
      </c>
      <c r="F780" s="350">
        <v>115846526.78996944</v>
      </c>
      <c r="G780" s="350">
        <v>116742597.96739917</v>
      </c>
      <c r="H780" s="348">
        <v>574749019.24680829</v>
      </c>
      <c r="I780" s="369"/>
      <c r="J780" s="350">
        <v>140964960.58004177</v>
      </c>
      <c r="K780" s="350">
        <v>170270003.72600228</v>
      </c>
      <c r="L780" s="350">
        <v>199965407.11664981</v>
      </c>
      <c r="M780" s="350">
        <v>230103813.39901212</v>
      </c>
      <c r="N780" s="350">
        <v>260692968.45206103</v>
      </c>
      <c r="O780" s="348">
        <v>1001997153.273767</v>
      </c>
      <c r="P780" s="369"/>
      <c r="Q780" s="350">
        <f t="shared" si="309"/>
        <v>27826661.831691414</v>
      </c>
      <c r="R780" s="350">
        <f t="shared" si="310"/>
        <v>56203744.597820237</v>
      </c>
      <c r="S780" s="350">
        <f t="shared" si="311"/>
        <v>85010070.503742427</v>
      </c>
      <c r="T780" s="350">
        <f t="shared" si="312"/>
        <v>114257286.60904267</v>
      </c>
      <c r="U780" s="350">
        <f t="shared" si="313"/>
        <v>143950370.48466188</v>
      </c>
      <c r="V780" s="350">
        <f t="shared" si="314"/>
        <v>427248134.0269587</v>
      </c>
      <c r="W780" s="365"/>
      <c r="X780" s="377">
        <f t="shared" si="292"/>
        <v>0</v>
      </c>
      <c r="Y780" s="377">
        <f t="shared" si="293"/>
        <v>0</v>
      </c>
      <c r="Z780" s="377">
        <f t="shared" si="294"/>
        <v>0</v>
      </c>
      <c r="AA780" s="377">
        <f t="shared" si="295"/>
        <v>0</v>
      </c>
      <c r="AB780" s="377">
        <f t="shared" si="296"/>
        <v>0</v>
      </c>
      <c r="AC780" s="377">
        <f t="shared" si="297"/>
        <v>0</v>
      </c>
      <c r="AD780" s="376"/>
      <c r="AE780" s="332">
        <v>765</v>
      </c>
      <c r="AF780" s="350">
        <v>127948982.21909653</v>
      </c>
      <c r="AG780" s="350">
        <v>128998419.8317585</v>
      </c>
      <c r="AH780" s="350">
        <v>130003884.47585347</v>
      </c>
      <c r="AI780" s="350">
        <v>131011738.38014787</v>
      </c>
      <c r="AJ780" s="350">
        <v>132025112.24573001</v>
      </c>
      <c r="AK780" s="348">
        <v>649988137.15258634</v>
      </c>
      <c r="AL780" s="369"/>
      <c r="AM780" s="350">
        <v>160913671.83600724</v>
      </c>
      <c r="AN780" s="350">
        <v>195589709.36825126</v>
      </c>
      <c r="AO780" s="350">
        <v>230730427.93243158</v>
      </c>
      <c r="AP780" s="350">
        <v>266395987.92498064</v>
      </c>
      <c r="AQ780" s="350">
        <v>302595418.20148528</v>
      </c>
      <c r="AR780" s="348">
        <v>1156225215.2631559</v>
      </c>
      <c r="AS780" s="369"/>
      <c r="AT780" s="350">
        <f t="shared" si="315"/>
        <v>32964689.616910711</v>
      </c>
      <c r="AU780" s="350">
        <f t="shared" si="298"/>
        <v>66591289.536492765</v>
      </c>
      <c r="AV780" s="350">
        <f t="shared" si="299"/>
        <v>100726543.45657811</v>
      </c>
      <c r="AW780" s="350">
        <f t="shared" si="300"/>
        <v>135384249.54483277</v>
      </c>
      <c r="AX780" s="350">
        <f t="shared" si="301"/>
        <v>170570305.95575526</v>
      </c>
      <c r="AY780" s="350">
        <f t="shared" si="302"/>
        <v>506237078.1105696</v>
      </c>
      <c r="AZ780" s="365"/>
      <c r="BA780" s="377">
        <f t="shared" si="303"/>
        <v>0</v>
      </c>
      <c r="BB780" s="377">
        <f t="shared" si="304"/>
        <v>0</v>
      </c>
      <c r="BC780" s="377">
        <f t="shared" si="305"/>
        <v>0</v>
      </c>
      <c r="BD780" s="377">
        <f t="shared" si="306"/>
        <v>0</v>
      </c>
      <c r="BE780" s="377">
        <f t="shared" si="307"/>
        <v>0</v>
      </c>
      <c r="BF780" s="377">
        <f t="shared" si="308"/>
        <v>0</v>
      </c>
      <c r="BG780" s="328"/>
    </row>
    <row r="781" spans="2:59">
      <c r="B781" s="332">
        <v>766</v>
      </c>
      <c r="C781" s="350">
        <v>123518116.0010633</v>
      </c>
      <c r="D781" s="350">
        <v>124531211.64690983</v>
      </c>
      <c r="E781" s="350">
        <v>125501857.10567269</v>
      </c>
      <c r="F781" s="350">
        <v>126474809.08468561</v>
      </c>
      <c r="G781" s="350">
        <v>127453089.86903045</v>
      </c>
      <c r="H781" s="348">
        <v>627479083.70736182</v>
      </c>
      <c r="I781" s="369"/>
      <c r="J781" s="350">
        <v>161657955.74778828</v>
      </c>
      <c r="K781" s="350">
        <v>201559088.35574877</v>
      </c>
      <c r="L781" s="350">
        <v>242006003.95000029</v>
      </c>
      <c r="M781" s="350">
        <v>283059422.61028981</v>
      </c>
      <c r="N781" s="350">
        <v>324729188.04107863</v>
      </c>
      <c r="O781" s="348">
        <v>1213011658.7049057</v>
      </c>
      <c r="P781" s="369"/>
      <c r="Q781" s="350">
        <f t="shared" si="309"/>
        <v>38139839.746724978</v>
      </c>
      <c r="R781" s="350">
        <f t="shared" si="310"/>
        <v>77027876.70883894</v>
      </c>
      <c r="S781" s="350">
        <f t="shared" si="311"/>
        <v>116504146.8443276</v>
      </c>
      <c r="T781" s="350">
        <f t="shared" si="312"/>
        <v>156584613.52560419</v>
      </c>
      <c r="U781" s="350">
        <f t="shared" si="313"/>
        <v>197276098.17204818</v>
      </c>
      <c r="V781" s="350">
        <f t="shared" si="314"/>
        <v>585532574.99754393</v>
      </c>
      <c r="W781" s="365"/>
      <c r="X781" s="377">
        <f t="shared" si="292"/>
        <v>0</v>
      </c>
      <c r="Y781" s="377">
        <f t="shared" si="293"/>
        <v>0</v>
      </c>
      <c r="Z781" s="377">
        <f t="shared" si="294"/>
        <v>0</v>
      </c>
      <c r="AA781" s="377">
        <f t="shared" si="295"/>
        <v>0</v>
      </c>
      <c r="AB781" s="377">
        <f t="shared" si="296"/>
        <v>0</v>
      </c>
      <c r="AC781" s="377">
        <f t="shared" si="297"/>
        <v>0</v>
      </c>
      <c r="AD781" s="376"/>
      <c r="AE781" s="332">
        <v>766</v>
      </c>
      <c r="AF781" s="350">
        <v>124987373.12139702</v>
      </c>
      <c r="AG781" s="350">
        <v>126012519.61483926</v>
      </c>
      <c r="AH781" s="350">
        <v>126994710.97308454</v>
      </c>
      <c r="AI781" s="350">
        <v>127979236.28780876</v>
      </c>
      <c r="AJ781" s="350">
        <v>128969153.79439819</v>
      </c>
      <c r="AK781" s="348">
        <v>634942993.79152775</v>
      </c>
      <c r="AL781" s="369"/>
      <c r="AM781" s="350">
        <v>160500771.81249654</v>
      </c>
      <c r="AN781" s="350">
        <v>197733463.80503651</v>
      </c>
      <c r="AO781" s="350">
        <v>235470886.67605484</v>
      </c>
      <c r="AP781" s="350">
        <v>273773193.45628721</v>
      </c>
      <c r="AQ781" s="350">
        <v>312649793.66828609</v>
      </c>
      <c r="AR781" s="348">
        <v>1180128109.4181612</v>
      </c>
      <c r="AS781" s="369"/>
      <c r="AT781" s="350">
        <f t="shared" si="315"/>
        <v>35513398.691099524</v>
      </c>
      <c r="AU781" s="350">
        <f t="shared" si="298"/>
        <v>71720944.190197259</v>
      </c>
      <c r="AV781" s="350">
        <f t="shared" si="299"/>
        <v>108476175.7029703</v>
      </c>
      <c r="AW781" s="350">
        <f t="shared" si="300"/>
        <v>145793957.16847843</v>
      </c>
      <c r="AX781" s="350">
        <f t="shared" si="301"/>
        <v>183680639.8738879</v>
      </c>
      <c r="AY781" s="350">
        <f t="shared" si="302"/>
        <v>545185115.62663341</v>
      </c>
      <c r="AZ781" s="365"/>
      <c r="BA781" s="377">
        <f t="shared" si="303"/>
        <v>0</v>
      </c>
      <c r="BB781" s="377">
        <f t="shared" si="304"/>
        <v>0</v>
      </c>
      <c r="BC781" s="377">
        <f t="shared" si="305"/>
        <v>0</v>
      </c>
      <c r="BD781" s="377">
        <f t="shared" si="306"/>
        <v>0</v>
      </c>
      <c r="BE781" s="377">
        <f t="shared" si="307"/>
        <v>0</v>
      </c>
      <c r="BF781" s="377">
        <f t="shared" si="308"/>
        <v>0</v>
      </c>
      <c r="BG781" s="328"/>
    </row>
    <row r="782" spans="2:59">
      <c r="B782" s="332">
        <v>767</v>
      </c>
      <c r="C782" s="350">
        <v>127593875.93360555</v>
      </c>
      <c r="D782" s="350">
        <v>128640400.96434599</v>
      </c>
      <c r="E782" s="350">
        <v>129643075.06795555</v>
      </c>
      <c r="F782" s="350">
        <v>130648131.80067366</v>
      </c>
      <c r="G782" s="350">
        <v>131658693.17472221</v>
      </c>
      <c r="H782" s="348">
        <v>648184176.94130301</v>
      </c>
      <c r="I782" s="369"/>
      <c r="J782" s="350">
        <v>163189157.83326948</v>
      </c>
      <c r="K782" s="350">
        <v>200526272.73854107</v>
      </c>
      <c r="L782" s="350">
        <v>238368478.68088979</v>
      </c>
      <c r="M782" s="350">
        <v>276776907.40297329</v>
      </c>
      <c r="N782" s="350">
        <v>315761046.78127682</v>
      </c>
      <c r="O782" s="348">
        <v>1194621863.4369504</v>
      </c>
      <c r="P782" s="369"/>
      <c r="Q782" s="350">
        <f t="shared" si="309"/>
        <v>35595281.899663925</v>
      </c>
      <c r="R782" s="350">
        <f t="shared" si="310"/>
        <v>71885871.774195075</v>
      </c>
      <c r="S782" s="350">
        <f t="shared" si="311"/>
        <v>108725403.61293423</v>
      </c>
      <c r="T782" s="350">
        <f t="shared" si="312"/>
        <v>146128775.60229963</v>
      </c>
      <c r="U782" s="350">
        <f t="shared" si="313"/>
        <v>184102353.60655463</v>
      </c>
      <c r="V782" s="350">
        <f t="shared" si="314"/>
        <v>546437686.49564743</v>
      </c>
      <c r="W782" s="365"/>
      <c r="X782" s="377">
        <f t="shared" si="292"/>
        <v>0</v>
      </c>
      <c r="Y782" s="377">
        <f t="shared" si="293"/>
        <v>0</v>
      </c>
      <c r="Z782" s="377">
        <f t="shared" si="294"/>
        <v>0</v>
      </c>
      <c r="AA782" s="377">
        <f t="shared" si="295"/>
        <v>0</v>
      </c>
      <c r="AB782" s="377">
        <f t="shared" si="296"/>
        <v>0</v>
      </c>
      <c r="AC782" s="377">
        <f t="shared" si="297"/>
        <v>0</v>
      </c>
      <c r="AD782" s="376"/>
      <c r="AE782" s="332">
        <v>767</v>
      </c>
      <c r="AF782" s="350">
        <v>140728139.48656911</v>
      </c>
      <c r="AG782" s="350">
        <v>141882391.75318155</v>
      </c>
      <c r="AH782" s="350">
        <v>142988279.16415536</v>
      </c>
      <c r="AI782" s="350">
        <v>144096794.46740925</v>
      </c>
      <c r="AJ782" s="350">
        <v>145211381.04898503</v>
      </c>
      <c r="AK782" s="348">
        <v>714906985.92030025</v>
      </c>
      <c r="AL782" s="369"/>
      <c r="AM782" s="350">
        <v>179136396.71687174</v>
      </c>
      <c r="AN782" s="350">
        <v>219447535.28796682</v>
      </c>
      <c r="AO782" s="350">
        <v>260302606.64450628</v>
      </c>
      <c r="AP782" s="350">
        <v>301768678.98396868</v>
      </c>
      <c r="AQ782" s="350">
        <v>343856064.38117701</v>
      </c>
      <c r="AR782" s="348">
        <v>1304511282.0144906</v>
      </c>
      <c r="AS782" s="369"/>
      <c r="AT782" s="350">
        <f t="shared" si="315"/>
        <v>38408257.230302632</v>
      </c>
      <c r="AU782" s="350">
        <f t="shared" si="298"/>
        <v>77565143.534785271</v>
      </c>
      <c r="AV782" s="350">
        <f t="shared" si="299"/>
        <v>117314327.48035091</v>
      </c>
      <c r="AW782" s="350">
        <f t="shared" si="300"/>
        <v>157671884.51655942</v>
      </c>
      <c r="AX782" s="350">
        <f t="shared" si="301"/>
        <v>198644683.33219197</v>
      </c>
      <c r="AY782" s="350">
        <f t="shared" si="302"/>
        <v>589604296.09419036</v>
      </c>
      <c r="AZ782" s="365"/>
      <c r="BA782" s="377">
        <f t="shared" si="303"/>
        <v>0</v>
      </c>
      <c r="BB782" s="377">
        <f t="shared" si="304"/>
        <v>0</v>
      </c>
      <c r="BC782" s="377">
        <f t="shared" si="305"/>
        <v>0</v>
      </c>
      <c r="BD782" s="377">
        <f t="shared" si="306"/>
        <v>0</v>
      </c>
      <c r="BE782" s="377">
        <f t="shared" si="307"/>
        <v>0</v>
      </c>
      <c r="BF782" s="377">
        <f t="shared" si="308"/>
        <v>0</v>
      </c>
      <c r="BG782" s="328"/>
    </row>
    <row r="783" spans="2:59">
      <c r="B783" s="332">
        <v>768</v>
      </c>
      <c r="C783" s="350">
        <v>136379790.90796831</v>
      </c>
      <c r="D783" s="350">
        <v>137498378.01748297</v>
      </c>
      <c r="E783" s="350">
        <v>138570094.69352674</v>
      </c>
      <c r="F783" s="350">
        <v>139644358.06279746</v>
      </c>
      <c r="G783" s="350">
        <v>140724505.11440146</v>
      </c>
      <c r="H783" s="348">
        <v>692817126.79617691</v>
      </c>
      <c r="I783" s="369"/>
      <c r="J783" s="350">
        <v>166107740.49876258</v>
      </c>
      <c r="K783" s="350">
        <v>197586778.18067354</v>
      </c>
      <c r="L783" s="350">
        <v>229478210.34946164</v>
      </c>
      <c r="M783" s="350">
        <v>261843899.46084487</v>
      </c>
      <c r="N783" s="350">
        <v>294692506.96125221</v>
      </c>
      <c r="O783" s="348">
        <v>1149709135.450995</v>
      </c>
      <c r="P783" s="369"/>
      <c r="Q783" s="350">
        <f t="shared" si="309"/>
        <v>29727949.590794265</v>
      </c>
      <c r="R783" s="350">
        <f t="shared" si="310"/>
        <v>60088400.163190573</v>
      </c>
      <c r="S783" s="350">
        <f t="shared" si="311"/>
        <v>90908115.6559349</v>
      </c>
      <c r="T783" s="350">
        <f t="shared" si="312"/>
        <v>122199541.39804742</v>
      </c>
      <c r="U783" s="350">
        <f t="shared" si="313"/>
        <v>153968001.84685075</v>
      </c>
      <c r="V783" s="350">
        <f t="shared" si="314"/>
        <v>456892008.65481806</v>
      </c>
      <c r="W783" s="365"/>
      <c r="X783" s="377">
        <f t="shared" si="292"/>
        <v>0</v>
      </c>
      <c r="Y783" s="377">
        <f t="shared" si="293"/>
        <v>0</v>
      </c>
      <c r="Z783" s="377">
        <f t="shared" si="294"/>
        <v>0</v>
      </c>
      <c r="AA783" s="377">
        <f t="shared" si="295"/>
        <v>0</v>
      </c>
      <c r="AB783" s="377">
        <f t="shared" si="296"/>
        <v>0</v>
      </c>
      <c r="AC783" s="377">
        <f t="shared" si="297"/>
        <v>0</v>
      </c>
      <c r="AD783" s="376"/>
      <c r="AE783" s="332">
        <v>768</v>
      </c>
      <c r="AF783" s="350">
        <v>120567923.11198941</v>
      </c>
      <c r="AG783" s="350">
        <v>121556821.27436474</v>
      </c>
      <c r="AH783" s="350">
        <v>122504283.1595518</v>
      </c>
      <c r="AI783" s="350">
        <v>123453996.47444953</v>
      </c>
      <c r="AJ783" s="350">
        <v>124408911.31777343</v>
      </c>
      <c r="AK783" s="348">
        <v>612491935.33812892</v>
      </c>
      <c r="AL783" s="369"/>
      <c r="AM783" s="350">
        <v>155380508.46965221</v>
      </c>
      <c r="AN783" s="350">
        <v>191865259.48780948</v>
      </c>
      <c r="AO783" s="350">
        <v>228845496.27328986</v>
      </c>
      <c r="AP783" s="350">
        <v>266379477.30708644</v>
      </c>
      <c r="AQ783" s="350">
        <v>304476379.07049602</v>
      </c>
      <c r="AR783" s="348">
        <v>1146947120.6083341</v>
      </c>
      <c r="AS783" s="369"/>
      <c r="AT783" s="350">
        <f t="shared" si="315"/>
        <v>34812585.357662797</v>
      </c>
      <c r="AU783" s="350">
        <f t="shared" si="298"/>
        <v>70308438.21344474</v>
      </c>
      <c r="AV783" s="350">
        <f t="shared" si="299"/>
        <v>106341213.11373806</v>
      </c>
      <c r="AW783" s="350">
        <f t="shared" si="300"/>
        <v>142925480.83263689</v>
      </c>
      <c r="AX783" s="350">
        <f t="shared" si="301"/>
        <v>180067467.75272259</v>
      </c>
      <c r="AY783" s="350">
        <f t="shared" si="302"/>
        <v>534455185.27020514</v>
      </c>
      <c r="AZ783" s="365"/>
      <c r="BA783" s="377">
        <f t="shared" si="303"/>
        <v>0</v>
      </c>
      <c r="BB783" s="377">
        <f t="shared" si="304"/>
        <v>0</v>
      </c>
      <c r="BC783" s="377">
        <f t="shared" si="305"/>
        <v>0</v>
      </c>
      <c r="BD783" s="377">
        <f t="shared" si="306"/>
        <v>0</v>
      </c>
      <c r="BE783" s="377">
        <f t="shared" si="307"/>
        <v>0</v>
      </c>
      <c r="BF783" s="377">
        <f t="shared" si="308"/>
        <v>0</v>
      </c>
      <c r="BG783" s="328"/>
    </row>
    <row r="784" spans="2:59">
      <c r="B784" s="332">
        <v>769</v>
      </c>
      <c r="C784" s="350">
        <v>136170252.29789096</v>
      </c>
      <c r="D784" s="350">
        <v>137287120.77162665</v>
      </c>
      <c r="E784" s="350">
        <v>138357190.82524049</v>
      </c>
      <c r="F784" s="350">
        <v>139429803.65925407</v>
      </c>
      <c r="G784" s="350">
        <v>140508291.13570869</v>
      </c>
      <c r="H784" s="348">
        <v>691752658.68972087</v>
      </c>
      <c r="I784" s="369"/>
      <c r="J784" s="350">
        <v>171986464.98626423</v>
      </c>
      <c r="K784" s="350">
        <v>209639290.34147269</v>
      </c>
      <c r="L784" s="350">
        <v>247797980.03891957</v>
      </c>
      <c r="M784" s="350">
        <v>286526867.05276775</v>
      </c>
      <c r="N784" s="350">
        <v>325835691.69186211</v>
      </c>
      <c r="O784" s="348">
        <v>1241786294.1112864</v>
      </c>
      <c r="P784" s="369"/>
      <c r="Q784" s="350">
        <f t="shared" si="309"/>
        <v>35816212.688373268</v>
      </c>
      <c r="R784" s="350">
        <f t="shared" si="310"/>
        <v>72352169.569846034</v>
      </c>
      <c r="S784" s="350">
        <f t="shared" si="311"/>
        <v>109440789.21367908</v>
      </c>
      <c r="T784" s="350">
        <f t="shared" si="312"/>
        <v>147097063.39351368</v>
      </c>
      <c r="U784" s="350">
        <f t="shared" si="313"/>
        <v>185327400.55615342</v>
      </c>
      <c r="V784" s="350">
        <f t="shared" si="314"/>
        <v>550033635.42156553</v>
      </c>
      <c r="W784" s="365"/>
      <c r="X784" s="377">
        <f t="shared" ref="X784:X847" si="316">IF(Q784&lt;Q$8,1,0)</f>
        <v>0</v>
      </c>
      <c r="Y784" s="377">
        <f t="shared" ref="Y784:Y847" si="317">IF(R784&lt;R$8,1,0)</f>
        <v>0</v>
      </c>
      <c r="Z784" s="377">
        <f t="shared" ref="Z784:Z847" si="318">IF(S784&lt;S$8,1,0)</f>
        <v>0</v>
      </c>
      <c r="AA784" s="377">
        <f t="shared" ref="AA784:AA847" si="319">IF(T784&lt;T$8,1,0)</f>
        <v>0</v>
      </c>
      <c r="AB784" s="377">
        <f t="shared" ref="AB784:AB847" si="320">IF(U784&lt;U$8,1,0)</f>
        <v>0</v>
      </c>
      <c r="AC784" s="377">
        <f t="shared" ref="AC784:AC847" si="321">IF(V784&lt;V$8,1,0)</f>
        <v>0</v>
      </c>
      <c r="AD784" s="376"/>
      <c r="AE784" s="332">
        <v>769</v>
      </c>
      <c r="AF784" s="350">
        <v>126258941.2292863</v>
      </c>
      <c r="AG784" s="350">
        <v>127294517.12495074</v>
      </c>
      <c r="AH784" s="350">
        <v>128286700.878234</v>
      </c>
      <c r="AI784" s="350">
        <v>129281242.33267176</v>
      </c>
      <c r="AJ784" s="350">
        <v>130281230.83682987</v>
      </c>
      <c r="AK784" s="348">
        <v>641402632.40197265</v>
      </c>
      <c r="AL784" s="369"/>
      <c r="AM784" s="350">
        <v>156144309.09027663</v>
      </c>
      <c r="AN784" s="350">
        <v>187653062.39727023</v>
      </c>
      <c r="AO784" s="350">
        <v>219579371.52902609</v>
      </c>
      <c r="AP784" s="350">
        <v>251981494.89041573</v>
      </c>
      <c r="AQ784" s="350">
        <v>284867867.14886802</v>
      </c>
      <c r="AR784" s="348">
        <v>1100226105.0558567</v>
      </c>
      <c r="AS784" s="369"/>
      <c r="AT784" s="350">
        <f t="shared" si="315"/>
        <v>29885367.860990331</v>
      </c>
      <c r="AU784" s="350">
        <f t="shared" ref="AU784:AU847" si="322">AN784-AG784</f>
        <v>60358545.272319496</v>
      </c>
      <c r="AV784" s="350">
        <f t="shared" ref="AV784:AV847" si="323">AO784-AH784</f>
        <v>91292670.650792092</v>
      </c>
      <c r="AW784" s="350">
        <f t="shared" ref="AW784:AW847" si="324">AP784-AI784</f>
        <v>122700252.55774397</v>
      </c>
      <c r="AX784" s="350">
        <f t="shared" ref="AX784:AX847" si="325">AQ784-AJ784</f>
        <v>154586636.31203815</v>
      </c>
      <c r="AY784" s="350">
        <f t="shared" ref="AY784:AY847" si="326">AR784-AK784</f>
        <v>458823472.65388405</v>
      </c>
      <c r="AZ784" s="365"/>
      <c r="BA784" s="377">
        <f t="shared" ref="BA784:BA847" si="327">IF(AT784&lt;AT$8,1,0)</f>
        <v>0</v>
      </c>
      <c r="BB784" s="377">
        <f t="shared" ref="BB784:BB847" si="328">IF(AU784&lt;AU$8,1,0)</f>
        <v>0</v>
      </c>
      <c r="BC784" s="377">
        <f t="shared" ref="BC784:BC847" si="329">IF(AV784&lt;AV$8,1,0)</f>
        <v>0</v>
      </c>
      <c r="BD784" s="377">
        <f t="shared" ref="BD784:BD847" si="330">IF(AW784&lt;AW$8,1,0)</f>
        <v>0</v>
      </c>
      <c r="BE784" s="377">
        <f t="shared" ref="BE784:BE847" si="331">IF(AX784&lt;AX$8,1,0)</f>
        <v>0</v>
      </c>
      <c r="BF784" s="377">
        <f t="shared" ref="BF784:BF847" si="332">IF(AY784&lt;AY$8,1,0)</f>
        <v>0</v>
      </c>
      <c r="BG784" s="328"/>
    </row>
    <row r="785" spans="2:59">
      <c r="B785" s="332">
        <v>770</v>
      </c>
      <c r="C785" s="350">
        <v>120287054.88416204</v>
      </c>
      <c r="D785" s="350">
        <v>121273649.36519997</v>
      </c>
      <c r="E785" s="350">
        <v>122218904.0966619</v>
      </c>
      <c r="F785" s="350">
        <v>123166405.01303089</v>
      </c>
      <c r="G785" s="350">
        <v>124119095.34063914</v>
      </c>
      <c r="H785" s="348">
        <v>611065108.69969392</v>
      </c>
      <c r="I785" s="369"/>
      <c r="J785" s="350">
        <v>148719126.89548805</v>
      </c>
      <c r="K785" s="350">
        <v>178717731.86621279</v>
      </c>
      <c r="L785" s="350">
        <v>209113852.51003081</v>
      </c>
      <c r="M785" s="350">
        <v>239962976.19475237</v>
      </c>
      <c r="N785" s="350">
        <v>271273134.68976384</v>
      </c>
      <c r="O785" s="348">
        <v>1047786822.1562479</v>
      </c>
      <c r="P785" s="369"/>
      <c r="Q785" s="350">
        <f t="shared" ref="Q785:Q848" si="333">J785-C785</f>
        <v>28432072.011326015</v>
      </c>
      <c r="R785" s="350">
        <f t="shared" ref="R785:R848" si="334">K785-D785</f>
        <v>57444082.501012817</v>
      </c>
      <c r="S785" s="350">
        <f t="shared" ref="S785:S848" si="335">L785-E785</f>
        <v>86894948.413368911</v>
      </c>
      <c r="T785" s="350">
        <f t="shared" ref="T785:T848" si="336">M785-F785</f>
        <v>116796571.18172148</v>
      </c>
      <c r="U785" s="350">
        <f t="shared" ref="U785:U848" si="337">N785-G785</f>
        <v>147154039.3491247</v>
      </c>
      <c r="V785" s="350">
        <f t="shared" ref="V785:V848" si="338">O785-H785</f>
        <v>436721713.45655394</v>
      </c>
      <c r="W785" s="365"/>
      <c r="X785" s="377">
        <f t="shared" si="316"/>
        <v>0</v>
      </c>
      <c r="Y785" s="377">
        <f t="shared" si="317"/>
        <v>0</v>
      </c>
      <c r="Z785" s="377">
        <f t="shared" si="318"/>
        <v>0</v>
      </c>
      <c r="AA785" s="377">
        <f t="shared" si="319"/>
        <v>0</v>
      </c>
      <c r="AB785" s="377">
        <f t="shared" si="320"/>
        <v>0</v>
      </c>
      <c r="AC785" s="377">
        <f t="shared" si="321"/>
        <v>0</v>
      </c>
      <c r="AD785" s="376"/>
      <c r="AE785" s="332">
        <v>770</v>
      </c>
      <c r="AF785" s="350">
        <v>109678566.64303407</v>
      </c>
      <c r="AG785" s="350">
        <v>110578150.29850197</v>
      </c>
      <c r="AH785" s="350">
        <v>111440040.08505577</v>
      </c>
      <c r="AI785" s="350">
        <v>112303977.95850682</v>
      </c>
      <c r="AJ785" s="350">
        <v>113172647.57293358</v>
      </c>
      <c r="AK785" s="348">
        <v>557173382.55803216</v>
      </c>
      <c r="AL785" s="369"/>
      <c r="AM785" s="350">
        <v>143552655.30865592</v>
      </c>
      <c r="AN785" s="350">
        <v>178996984.35994574</v>
      </c>
      <c r="AO785" s="350">
        <v>214926157.50638574</v>
      </c>
      <c r="AP785" s="350">
        <v>251394094.99377784</v>
      </c>
      <c r="AQ785" s="350">
        <v>288409539.89127678</v>
      </c>
      <c r="AR785" s="348">
        <v>1077279432.0600419</v>
      </c>
      <c r="AS785" s="369"/>
      <c r="AT785" s="350">
        <f t="shared" ref="AT785:AT848" si="339">AM785-AF785</f>
        <v>33874088.665621847</v>
      </c>
      <c r="AU785" s="350">
        <f t="shared" si="322"/>
        <v>68418834.061443776</v>
      </c>
      <c r="AV785" s="350">
        <f t="shared" si="323"/>
        <v>103486117.42132998</v>
      </c>
      <c r="AW785" s="350">
        <f t="shared" si="324"/>
        <v>139090117.03527102</v>
      </c>
      <c r="AX785" s="350">
        <f t="shared" si="325"/>
        <v>175236892.31834319</v>
      </c>
      <c r="AY785" s="350">
        <f t="shared" si="326"/>
        <v>520106049.50200975</v>
      </c>
      <c r="AZ785" s="365"/>
      <c r="BA785" s="377">
        <f t="shared" si="327"/>
        <v>0</v>
      </c>
      <c r="BB785" s="377">
        <f t="shared" si="328"/>
        <v>0</v>
      </c>
      <c r="BC785" s="377">
        <f t="shared" si="329"/>
        <v>0</v>
      </c>
      <c r="BD785" s="377">
        <f t="shared" si="330"/>
        <v>0</v>
      </c>
      <c r="BE785" s="377">
        <f t="shared" si="331"/>
        <v>0</v>
      </c>
      <c r="BF785" s="377">
        <f t="shared" si="332"/>
        <v>0</v>
      </c>
      <c r="BG785" s="328"/>
    </row>
    <row r="786" spans="2:59">
      <c r="B786" s="332">
        <v>771</v>
      </c>
      <c r="C786" s="350">
        <v>140565727.78138977</v>
      </c>
      <c r="D786" s="350">
        <v>141718647.94711953</v>
      </c>
      <c r="E786" s="350">
        <v>142823259.07418311</v>
      </c>
      <c r="F786" s="350">
        <v>143930495.06072551</v>
      </c>
      <c r="G786" s="350">
        <v>145043795.31884146</v>
      </c>
      <c r="H786" s="348">
        <v>714081925.18225932</v>
      </c>
      <c r="I786" s="369"/>
      <c r="J786" s="350">
        <v>174072804.74601084</v>
      </c>
      <c r="K786" s="350">
        <v>209400024.37365824</v>
      </c>
      <c r="L786" s="350">
        <v>245195871.18168694</v>
      </c>
      <c r="M786" s="350">
        <v>281525303.95526874</v>
      </c>
      <c r="N786" s="350">
        <v>318397756.45525813</v>
      </c>
      <c r="O786" s="348">
        <v>1228591760.7118831</v>
      </c>
      <c r="P786" s="369"/>
      <c r="Q786" s="350">
        <f t="shared" si="333"/>
        <v>33507076.964621067</v>
      </c>
      <c r="R786" s="350">
        <f t="shared" si="334"/>
        <v>67681376.426538706</v>
      </c>
      <c r="S786" s="350">
        <f t="shared" si="335"/>
        <v>102372612.10750383</v>
      </c>
      <c r="T786" s="350">
        <f t="shared" si="336"/>
        <v>137594808.89454323</v>
      </c>
      <c r="U786" s="350">
        <f t="shared" si="337"/>
        <v>173353961.13641667</v>
      </c>
      <c r="V786" s="350">
        <f t="shared" si="338"/>
        <v>514509835.52962375</v>
      </c>
      <c r="W786" s="365"/>
      <c r="X786" s="377">
        <f t="shared" si="316"/>
        <v>0</v>
      </c>
      <c r="Y786" s="377">
        <f t="shared" si="317"/>
        <v>0</v>
      </c>
      <c r="Z786" s="377">
        <f t="shared" si="318"/>
        <v>0</v>
      </c>
      <c r="AA786" s="377">
        <f t="shared" si="319"/>
        <v>0</v>
      </c>
      <c r="AB786" s="377">
        <f t="shared" si="320"/>
        <v>0</v>
      </c>
      <c r="AC786" s="377">
        <f t="shared" si="321"/>
        <v>0</v>
      </c>
      <c r="AD786" s="376"/>
      <c r="AE786" s="332">
        <v>771</v>
      </c>
      <c r="AF786" s="350">
        <v>148070476.77032924</v>
      </c>
      <c r="AG786" s="350">
        <v>149284950.89081493</v>
      </c>
      <c r="AH786" s="350">
        <v>150448536.77203685</v>
      </c>
      <c r="AI786" s="350">
        <v>151614887.65295413</v>
      </c>
      <c r="AJ786" s="350">
        <v>152787626.57452202</v>
      </c>
      <c r="AK786" s="348">
        <v>752206478.66065717</v>
      </c>
      <c r="AL786" s="369"/>
      <c r="AM786" s="350">
        <v>182320099.30786172</v>
      </c>
      <c r="AN786" s="350">
        <v>218466735.57923707</v>
      </c>
      <c r="AO786" s="350">
        <v>255090883.85649604</v>
      </c>
      <c r="AP786" s="350">
        <v>292260533.09865284</v>
      </c>
      <c r="AQ786" s="350">
        <v>329985433.6163702</v>
      </c>
      <c r="AR786" s="348">
        <v>1278123685.4586179</v>
      </c>
      <c r="AS786" s="369"/>
      <c r="AT786" s="350">
        <f t="shared" si="339"/>
        <v>34249622.537532479</v>
      </c>
      <c r="AU786" s="350">
        <f t="shared" si="322"/>
        <v>69181784.688422143</v>
      </c>
      <c r="AV786" s="350">
        <f t="shared" si="323"/>
        <v>104642347.08445919</v>
      </c>
      <c r="AW786" s="350">
        <f t="shared" si="324"/>
        <v>140645645.44569871</v>
      </c>
      <c r="AX786" s="350">
        <f t="shared" si="325"/>
        <v>177197807.04184818</v>
      </c>
      <c r="AY786" s="350">
        <f t="shared" si="326"/>
        <v>525917206.79796076</v>
      </c>
      <c r="AZ786" s="365"/>
      <c r="BA786" s="377">
        <f t="shared" si="327"/>
        <v>0</v>
      </c>
      <c r="BB786" s="377">
        <f t="shared" si="328"/>
        <v>0</v>
      </c>
      <c r="BC786" s="377">
        <f t="shared" si="329"/>
        <v>0</v>
      </c>
      <c r="BD786" s="377">
        <f t="shared" si="330"/>
        <v>0</v>
      </c>
      <c r="BE786" s="377">
        <f t="shared" si="331"/>
        <v>0</v>
      </c>
      <c r="BF786" s="377">
        <f t="shared" si="332"/>
        <v>0</v>
      </c>
      <c r="BG786" s="328"/>
    </row>
    <row r="787" spans="2:59">
      <c r="B787" s="332">
        <v>772</v>
      </c>
      <c r="C787" s="350">
        <v>159130527.97317189</v>
      </c>
      <c r="D787" s="350">
        <v>160435716.63885304</v>
      </c>
      <c r="E787" s="350">
        <v>161686215.99334744</v>
      </c>
      <c r="F787" s="350">
        <v>162939686.87782508</v>
      </c>
      <c r="G787" s="350">
        <v>164200022.95449796</v>
      </c>
      <c r="H787" s="348">
        <v>808392170.43769538</v>
      </c>
      <c r="I787" s="369"/>
      <c r="J787" s="350">
        <v>194501832.4139474</v>
      </c>
      <c r="K787" s="350">
        <v>231883566.48819858</v>
      </c>
      <c r="L787" s="350">
        <v>269756322.13444692</v>
      </c>
      <c r="M787" s="350">
        <v>308192565.43092012</v>
      </c>
      <c r="N787" s="350">
        <v>347202518.03195781</v>
      </c>
      <c r="O787" s="348">
        <v>1351536804.4994709</v>
      </c>
      <c r="P787" s="369"/>
      <c r="Q787" s="350">
        <f t="shared" si="333"/>
        <v>35371304.440775514</v>
      </c>
      <c r="R787" s="350">
        <f t="shared" si="334"/>
        <v>71447849.849345535</v>
      </c>
      <c r="S787" s="350">
        <f t="shared" si="335"/>
        <v>108070106.14109948</v>
      </c>
      <c r="T787" s="350">
        <f t="shared" si="336"/>
        <v>145252878.55309504</v>
      </c>
      <c r="U787" s="350">
        <f t="shared" si="337"/>
        <v>183002495.07745984</v>
      </c>
      <c r="V787" s="350">
        <f t="shared" si="338"/>
        <v>543144634.06177557</v>
      </c>
      <c r="W787" s="365"/>
      <c r="X787" s="377">
        <f t="shared" si="316"/>
        <v>0</v>
      </c>
      <c r="Y787" s="377">
        <f t="shared" si="317"/>
        <v>0</v>
      </c>
      <c r="Z787" s="377">
        <f t="shared" si="318"/>
        <v>0</v>
      </c>
      <c r="AA787" s="377">
        <f t="shared" si="319"/>
        <v>0</v>
      </c>
      <c r="AB787" s="377">
        <f t="shared" si="320"/>
        <v>0</v>
      </c>
      <c r="AC787" s="377">
        <f t="shared" si="321"/>
        <v>0</v>
      </c>
      <c r="AD787" s="376"/>
      <c r="AE787" s="332">
        <v>772</v>
      </c>
      <c r="AF787" s="350">
        <v>151925742.827373</v>
      </c>
      <c r="AG787" s="350">
        <v>153171837.84188151</v>
      </c>
      <c r="AH787" s="350">
        <v>154365719.65548766</v>
      </c>
      <c r="AI787" s="350">
        <v>155562438.46024686</v>
      </c>
      <c r="AJ787" s="350">
        <v>156765711.62913206</v>
      </c>
      <c r="AK787" s="348">
        <v>771791450.41412115</v>
      </c>
      <c r="AL787" s="369"/>
      <c r="AM787" s="350">
        <v>187004092.00381804</v>
      </c>
      <c r="AN787" s="350">
        <v>224020498.30219007</v>
      </c>
      <c r="AO787" s="350">
        <v>261525766.60203505</v>
      </c>
      <c r="AP787" s="350">
        <v>299589629.2979731</v>
      </c>
      <c r="AQ787" s="350">
        <v>338222078.20953441</v>
      </c>
      <c r="AR787" s="348">
        <v>1310362064.4155507</v>
      </c>
      <c r="AS787" s="369"/>
      <c r="AT787" s="350">
        <f t="shared" si="339"/>
        <v>35078349.176445037</v>
      </c>
      <c r="AU787" s="350">
        <f t="shared" si="322"/>
        <v>70848660.460308552</v>
      </c>
      <c r="AV787" s="350">
        <f t="shared" si="323"/>
        <v>107160046.94654739</v>
      </c>
      <c r="AW787" s="350">
        <f t="shared" si="324"/>
        <v>144027190.83772624</v>
      </c>
      <c r="AX787" s="350">
        <f t="shared" si="325"/>
        <v>181456366.58040234</v>
      </c>
      <c r="AY787" s="350">
        <f t="shared" si="326"/>
        <v>538570614.00142956</v>
      </c>
      <c r="AZ787" s="365"/>
      <c r="BA787" s="377">
        <f t="shared" si="327"/>
        <v>0</v>
      </c>
      <c r="BB787" s="377">
        <f t="shared" si="328"/>
        <v>0</v>
      </c>
      <c r="BC787" s="377">
        <f t="shared" si="329"/>
        <v>0</v>
      </c>
      <c r="BD787" s="377">
        <f t="shared" si="330"/>
        <v>0</v>
      </c>
      <c r="BE787" s="377">
        <f t="shared" si="331"/>
        <v>0</v>
      </c>
      <c r="BF787" s="377">
        <f t="shared" si="332"/>
        <v>0</v>
      </c>
      <c r="BG787" s="328"/>
    </row>
    <row r="788" spans="2:59">
      <c r="B788" s="332">
        <v>773</v>
      </c>
      <c r="C788" s="350">
        <v>148918282.50502947</v>
      </c>
      <c r="D788" s="350">
        <v>150139710.3285521</v>
      </c>
      <c r="E788" s="350">
        <v>151309958.5424985</v>
      </c>
      <c r="F788" s="350">
        <v>152482987.58767295</v>
      </c>
      <c r="G788" s="350">
        <v>153662441.24944228</v>
      </c>
      <c r="H788" s="348">
        <v>756513380.21319532</v>
      </c>
      <c r="I788" s="369"/>
      <c r="J788" s="350">
        <v>188932702.6964798</v>
      </c>
      <c r="K788" s="350">
        <v>230954953.697501</v>
      </c>
      <c r="L788" s="350">
        <v>273543192.35470617</v>
      </c>
      <c r="M788" s="350">
        <v>316768127.16368538</v>
      </c>
      <c r="N788" s="350">
        <v>360640558.82179981</v>
      </c>
      <c r="O788" s="348">
        <v>1370839534.7341721</v>
      </c>
      <c r="P788" s="369"/>
      <c r="Q788" s="350">
        <f t="shared" si="333"/>
        <v>40014420.191450328</v>
      </c>
      <c r="R788" s="350">
        <f t="shared" si="334"/>
        <v>80815243.368948907</v>
      </c>
      <c r="S788" s="350">
        <f t="shared" si="335"/>
        <v>122233233.81220767</v>
      </c>
      <c r="T788" s="350">
        <f t="shared" si="336"/>
        <v>164285139.57601243</v>
      </c>
      <c r="U788" s="350">
        <f t="shared" si="337"/>
        <v>206978117.57235754</v>
      </c>
      <c r="V788" s="350">
        <f t="shared" si="338"/>
        <v>614326154.52097678</v>
      </c>
      <c r="W788" s="365"/>
      <c r="X788" s="377">
        <f t="shared" si="316"/>
        <v>0</v>
      </c>
      <c r="Y788" s="377">
        <f t="shared" si="317"/>
        <v>0</v>
      </c>
      <c r="Z788" s="377">
        <f t="shared" si="318"/>
        <v>0</v>
      </c>
      <c r="AA788" s="377">
        <f t="shared" si="319"/>
        <v>0</v>
      </c>
      <c r="AB788" s="377">
        <f t="shared" si="320"/>
        <v>0</v>
      </c>
      <c r="AC788" s="377">
        <f t="shared" si="321"/>
        <v>0</v>
      </c>
      <c r="AD788" s="376"/>
      <c r="AE788" s="332">
        <v>773</v>
      </c>
      <c r="AF788" s="350">
        <v>107508391.43324028</v>
      </c>
      <c r="AG788" s="350">
        <v>108390175.31061131</v>
      </c>
      <c r="AH788" s="350">
        <v>109235011.15576516</v>
      </c>
      <c r="AI788" s="350">
        <v>110081854.56296679</v>
      </c>
      <c r="AJ788" s="350">
        <v>110933336.08567762</v>
      </c>
      <c r="AK788" s="348">
        <v>546148768.54826117</v>
      </c>
      <c r="AL788" s="369"/>
      <c r="AM788" s="350">
        <v>141211008.14387849</v>
      </c>
      <c r="AN788" s="350">
        <v>176445742.88175583</v>
      </c>
      <c r="AO788" s="350">
        <v>212163158.5617685</v>
      </c>
      <c r="AP788" s="350">
        <v>248416316.35653138</v>
      </c>
      <c r="AQ788" s="350">
        <v>285213872.97770983</v>
      </c>
      <c r="AR788" s="348">
        <v>1063450098.921644</v>
      </c>
      <c r="AS788" s="369"/>
      <c r="AT788" s="350">
        <f t="shared" si="339"/>
        <v>33702616.71063821</v>
      </c>
      <c r="AU788" s="350">
        <f t="shared" si="322"/>
        <v>68055567.571144521</v>
      </c>
      <c r="AV788" s="350">
        <f t="shared" si="323"/>
        <v>102928147.40600334</v>
      </c>
      <c r="AW788" s="350">
        <f t="shared" si="324"/>
        <v>138334461.79356459</v>
      </c>
      <c r="AX788" s="350">
        <f t="shared" si="325"/>
        <v>174280536.89203221</v>
      </c>
      <c r="AY788" s="350">
        <f t="shared" si="326"/>
        <v>517301330.37338281</v>
      </c>
      <c r="AZ788" s="365"/>
      <c r="BA788" s="377">
        <f t="shared" si="327"/>
        <v>0</v>
      </c>
      <c r="BB788" s="377">
        <f t="shared" si="328"/>
        <v>0</v>
      </c>
      <c r="BC788" s="377">
        <f t="shared" si="329"/>
        <v>0</v>
      </c>
      <c r="BD788" s="377">
        <f t="shared" si="330"/>
        <v>0</v>
      </c>
      <c r="BE788" s="377">
        <f t="shared" si="331"/>
        <v>0</v>
      </c>
      <c r="BF788" s="377">
        <f t="shared" si="332"/>
        <v>0</v>
      </c>
      <c r="BG788" s="328"/>
    </row>
    <row r="789" spans="2:59">
      <c r="B789" s="332">
        <v>774</v>
      </c>
      <c r="C789" s="350">
        <v>130895291.69435629</v>
      </c>
      <c r="D789" s="350">
        <v>131968894.93872753</v>
      </c>
      <c r="E789" s="350">
        <v>132997512.6392718</v>
      </c>
      <c r="F789" s="350">
        <v>134028574.6180377</v>
      </c>
      <c r="G789" s="350">
        <v>135065283.66745922</v>
      </c>
      <c r="H789" s="348">
        <v>664955557.55785251</v>
      </c>
      <c r="I789" s="369"/>
      <c r="J789" s="350">
        <v>163708477.05477279</v>
      </c>
      <c r="K789" s="350">
        <v>198254660.63657033</v>
      </c>
      <c r="L789" s="350">
        <v>233262183.13567767</v>
      </c>
      <c r="M789" s="350">
        <v>268792209.15531164</v>
      </c>
      <c r="N789" s="350">
        <v>304853812.61515665</v>
      </c>
      <c r="O789" s="348">
        <v>1168871342.5974891</v>
      </c>
      <c r="P789" s="369"/>
      <c r="Q789" s="350">
        <f t="shared" si="333"/>
        <v>32813185.360416502</v>
      </c>
      <c r="R789" s="350">
        <f t="shared" si="334"/>
        <v>66285765.697842807</v>
      </c>
      <c r="S789" s="350">
        <f t="shared" si="335"/>
        <v>100264670.49640587</v>
      </c>
      <c r="T789" s="350">
        <f t="shared" si="336"/>
        <v>134763634.53727394</v>
      </c>
      <c r="U789" s="350">
        <f t="shared" si="337"/>
        <v>169788528.94769743</v>
      </c>
      <c r="V789" s="350">
        <f t="shared" si="338"/>
        <v>503915785.03963661</v>
      </c>
      <c r="W789" s="365"/>
      <c r="X789" s="377">
        <f t="shared" si="316"/>
        <v>0</v>
      </c>
      <c r="Y789" s="377">
        <f t="shared" si="317"/>
        <v>0</v>
      </c>
      <c r="Z789" s="377">
        <f t="shared" si="318"/>
        <v>0</v>
      </c>
      <c r="AA789" s="377">
        <f t="shared" si="319"/>
        <v>0</v>
      </c>
      <c r="AB789" s="377">
        <f t="shared" si="320"/>
        <v>0</v>
      </c>
      <c r="AC789" s="377">
        <f t="shared" si="321"/>
        <v>0</v>
      </c>
      <c r="AD789" s="376"/>
      <c r="AE789" s="332">
        <v>774</v>
      </c>
      <c r="AF789" s="350">
        <v>133683452.91822259</v>
      </c>
      <c r="AG789" s="350">
        <v>134779924.6622704</v>
      </c>
      <c r="AH789" s="350">
        <v>135830452.63895756</v>
      </c>
      <c r="AI789" s="350">
        <v>136883476.95870146</v>
      </c>
      <c r="AJ789" s="350">
        <v>137942268.63565379</v>
      </c>
      <c r="AK789" s="348">
        <v>679119575.81380582</v>
      </c>
      <c r="AL789" s="369"/>
      <c r="AM789" s="350">
        <v>166198227.5353986</v>
      </c>
      <c r="AN789" s="350">
        <v>200447959.63835227</v>
      </c>
      <c r="AO789" s="350">
        <v>235153235.33409482</v>
      </c>
      <c r="AP789" s="350">
        <v>270376103.77830225</v>
      </c>
      <c r="AQ789" s="350">
        <v>306125651.44269776</v>
      </c>
      <c r="AR789" s="348">
        <v>1178301177.7288456</v>
      </c>
      <c r="AS789" s="369"/>
      <c r="AT789" s="350">
        <f t="shared" si="339"/>
        <v>32514774.617176011</v>
      </c>
      <c r="AU789" s="350">
        <f t="shared" si="322"/>
        <v>65668034.976081878</v>
      </c>
      <c r="AV789" s="350">
        <f t="shared" si="323"/>
        <v>99322782.695137262</v>
      </c>
      <c r="AW789" s="350">
        <f t="shared" si="324"/>
        <v>133492626.81960079</v>
      </c>
      <c r="AX789" s="350">
        <f t="shared" si="325"/>
        <v>168183382.80704397</v>
      </c>
      <c r="AY789" s="350">
        <f t="shared" si="326"/>
        <v>499181601.91503978</v>
      </c>
      <c r="AZ789" s="365"/>
      <c r="BA789" s="377">
        <f t="shared" si="327"/>
        <v>0</v>
      </c>
      <c r="BB789" s="377">
        <f t="shared" si="328"/>
        <v>0</v>
      </c>
      <c r="BC789" s="377">
        <f t="shared" si="329"/>
        <v>0</v>
      </c>
      <c r="BD789" s="377">
        <f t="shared" si="330"/>
        <v>0</v>
      </c>
      <c r="BE789" s="377">
        <f t="shared" si="331"/>
        <v>0</v>
      </c>
      <c r="BF789" s="377">
        <f t="shared" si="332"/>
        <v>0</v>
      </c>
      <c r="BG789" s="328"/>
    </row>
    <row r="790" spans="2:59">
      <c r="B790" s="332">
        <v>775</v>
      </c>
      <c r="C790" s="350">
        <v>94322088.756626636</v>
      </c>
      <c r="D790" s="350">
        <v>95095718.573208898</v>
      </c>
      <c r="E790" s="350">
        <v>95836932.170669034</v>
      </c>
      <c r="F790" s="350">
        <v>96579907.095250964</v>
      </c>
      <c r="G790" s="350">
        <v>97326951.253284276</v>
      </c>
      <c r="H790" s="348">
        <v>479161597.84903979</v>
      </c>
      <c r="I790" s="369"/>
      <c r="J790" s="350">
        <v>119576233.64262226</v>
      </c>
      <c r="K790" s="350">
        <v>146109843.01741919</v>
      </c>
      <c r="L790" s="350">
        <v>173000694.87228221</v>
      </c>
      <c r="M790" s="350">
        <v>200293537.41663638</v>
      </c>
      <c r="N790" s="350">
        <v>227995196.9231765</v>
      </c>
      <c r="O790" s="348">
        <v>866975505.87213659</v>
      </c>
      <c r="P790" s="369"/>
      <c r="Q790" s="350">
        <f t="shared" si="333"/>
        <v>25254144.885995626</v>
      </c>
      <c r="R790" s="350">
        <f t="shared" si="334"/>
        <v>51014124.444210291</v>
      </c>
      <c r="S790" s="350">
        <f t="shared" si="335"/>
        <v>77163762.701613173</v>
      </c>
      <c r="T790" s="350">
        <f t="shared" si="336"/>
        <v>103713630.32138541</v>
      </c>
      <c r="U790" s="350">
        <f t="shared" si="337"/>
        <v>130668245.66989222</v>
      </c>
      <c r="V790" s="350">
        <f t="shared" si="338"/>
        <v>387813908.0230968</v>
      </c>
      <c r="W790" s="365"/>
      <c r="X790" s="377">
        <f t="shared" si="316"/>
        <v>0</v>
      </c>
      <c r="Y790" s="377">
        <f t="shared" si="317"/>
        <v>0</v>
      </c>
      <c r="Z790" s="377">
        <f t="shared" si="318"/>
        <v>0</v>
      </c>
      <c r="AA790" s="377">
        <f t="shared" si="319"/>
        <v>0</v>
      </c>
      <c r="AB790" s="377">
        <f t="shared" si="320"/>
        <v>0</v>
      </c>
      <c r="AC790" s="377">
        <f t="shared" si="321"/>
        <v>0</v>
      </c>
      <c r="AD790" s="376"/>
      <c r="AE790" s="332">
        <v>775</v>
      </c>
      <c r="AF790" s="350">
        <v>126915588.28248534</v>
      </c>
      <c r="AG790" s="350">
        <v>127956549.99759057</v>
      </c>
      <c r="AH790" s="350">
        <v>128953893.89661463</v>
      </c>
      <c r="AI790" s="350">
        <v>129953607.75871702</v>
      </c>
      <c r="AJ790" s="350">
        <v>130958796.99953663</v>
      </c>
      <c r="AK790" s="348">
        <v>644738436.93494415</v>
      </c>
      <c r="AL790" s="369"/>
      <c r="AM790" s="350">
        <v>156196072.88083827</v>
      </c>
      <c r="AN790" s="350">
        <v>187087716.85457328</v>
      </c>
      <c r="AO790" s="350">
        <v>218387272.2567721</v>
      </c>
      <c r="AP790" s="350">
        <v>250152981.93568984</v>
      </c>
      <c r="AQ790" s="350">
        <v>282393187.5636813</v>
      </c>
      <c r="AR790" s="348">
        <v>1094217231.4915547</v>
      </c>
      <c r="AS790" s="369"/>
      <c r="AT790" s="350">
        <f t="shared" si="339"/>
        <v>29280484.598352939</v>
      </c>
      <c r="AU790" s="350">
        <f t="shared" si="322"/>
        <v>59131166.856982708</v>
      </c>
      <c r="AV790" s="350">
        <f t="shared" si="323"/>
        <v>89433378.360157475</v>
      </c>
      <c r="AW790" s="350">
        <f t="shared" si="324"/>
        <v>120199374.17697282</v>
      </c>
      <c r="AX790" s="350">
        <f t="shared" si="325"/>
        <v>151434390.56414467</v>
      </c>
      <c r="AY790" s="350">
        <f t="shared" si="326"/>
        <v>449478794.55661058</v>
      </c>
      <c r="AZ790" s="365"/>
      <c r="BA790" s="377">
        <f t="shared" si="327"/>
        <v>0</v>
      </c>
      <c r="BB790" s="377">
        <f t="shared" si="328"/>
        <v>0</v>
      </c>
      <c r="BC790" s="377">
        <f t="shared" si="329"/>
        <v>0</v>
      </c>
      <c r="BD790" s="377">
        <f t="shared" si="330"/>
        <v>0</v>
      </c>
      <c r="BE790" s="377">
        <f t="shared" si="331"/>
        <v>0</v>
      </c>
      <c r="BF790" s="377">
        <f t="shared" si="332"/>
        <v>0</v>
      </c>
      <c r="BG790" s="328"/>
    </row>
    <row r="791" spans="2:59">
      <c r="B791" s="332">
        <v>776</v>
      </c>
      <c r="C791" s="350">
        <v>130211963.77614197</v>
      </c>
      <c r="D791" s="350">
        <v>131279962.36460483</v>
      </c>
      <c r="E791" s="350">
        <v>132303210.25250834</v>
      </c>
      <c r="F791" s="350">
        <v>133328889.65848362</v>
      </c>
      <c r="G791" s="350">
        <v>134360186.65505457</v>
      </c>
      <c r="H791" s="348">
        <v>661484212.70679331</v>
      </c>
      <c r="I791" s="369"/>
      <c r="J791" s="350">
        <v>163908071.93421403</v>
      </c>
      <c r="K791" s="350">
        <v>199355350.11307544</v>
      </c>
      <c r="L791" s="350">
        <v>235277920.06778407</v>
      </c>
      <c r="M791" s="350">
        <v>271737068.70287037</v>
      </c>
      <c r="N791" s="350">
        <v>308742012.11682844</v>
      </c>
      <c r="O791" s="348">
        <v>1179020422.9347725</v>
      </c>
      <c r="P791" s="369"/>
      <c r="Q791" s="350">
        <f t="shared" si="333"/>
        <v>33696108.158072054</v>
      </c>
      <c r="R791" s="350">
        <f t="shared" si="334"/>
        <v>68075387.748470604</v>
      </c>
      <c r="S791" s="350">
        <f t="shared" si="335"/>
        <v>102974709.81527573</v>
      </c>
      <c r="T791" s="350">
        <f t="shared" si="336"/>
        <v>138408179.04438674</v>
      </c>
      <c r="U791" s="350">
        <f t="shared" si="337"/>
        <v>174381825.46177387</v>
      </c>
      <c r="V791" s="350">
        <f t="shared" si="338"/>
        <v>517536210.22797918</v>
      </c>
      <c r="W791" s="365"/>
      <c r="X791" s="377">
        <f t="shared" si="316"/>
        <v>0</v>
      </c>
      <c r="Y791" s="377">
        <f t="shared" si="317"/>
        <v>0</v>
      </c>
      <c r="Z791" s="377">
        <f t="shared" si="318"/>
        <v>0</v>
      </c>
      <c r="AA791" s="377">
        <f t="shared" si="319"/>
        <v>0</v>
      </c>
      <c r="AB791" s="377">
        <f t="shared" si="320"/>
        <v>0</v>
      </c>
      <c r="AC791" s="377">
        <f t="shared" si="321"/>
        <v>0</v>
      </c>
      <c r="AD791" s="376"/>
      <c r="AE791" s="332">
        <v>776</v>
      </c>
      <c r="AF791" s="350">
        <v>120003866.8092528</v>
      </c>
      <c r="AG791" s="350">
        <v>120988138.58156639</v>
      </c>
      <c r="AH791" s="350">
        <v>121931167.92919168</v>
      </c>
      <c r="AI791" s="350">
        <v>122876438.17360067</v>
      </c>
      <c r="AJ791" s="350">
        <v>123826885.61197932</v>
      </c>
      <c r="AK791" s="348">
        <v>609626497.10559094</v>
      </c>
      <c r="AL791" s="369"/>
      <c r="AM791" s="350">
        <v>150992936.98589882</v>
      </c>
      <c r="AN791" s="350">
        <v>183587258.14965639</v>
      </c>
      <c r="AO791" s="350">
        <v>216618486.8801823</v>
      </c>
      <c r="AP791" s="350">
        <v>250143077.65322661</v>
      </c>
      <c r="AQ791" s="350">
        <v>284169511.24329984</v>
      </c>
      <c r="AR791" s="348">
        <v>1085511270.9122639</v>
      </c>
      <c r="AS791" s="369"/>
      <c r="AT791" s="350">
        <f t="shared" si="339"/>
        <v>30989070.176646024</v>
      </c>
      <c r="AU791" s="350">
        <f t="shared" si="322"/>
        <v>62599119.568089992</v>
      </c>
      <c r="AV791" s="350">
        <f t="shared" si="323"/>
        <v>94687318.950990617</v>
      </c>
      <c r="AW791" s="350">
        <f t="shared" si="324"/>
        <v>127266639.47962594</v>
      </c>
      <c r="AX791" s="350">
        <f t="shared" si="325"/>
        <v>160342625.63132054</v>
      </c>
      <c r="AY791" s="350">
        <f t="shared" si="326"/>
        <v>475884773.80667293</v>
      </c>
      <c r="AZ791" s="365"/>
      <c r="BA791" s="377">
        <f t="shared" si="327"/>
        <v>0</v>
      </c>
      <c r="BB791" s="377">
        <f t="shared" si="328"/>
        <v>0</v>
      </c>
      <c r="BC791" s="377">
        <f t="shared" si="329"/>
        <v>0</v>
      </c>
      <c r="BD791" s="377">
        <f t="shared" si="330"/>
        <v>0</v>
      </c>
      <c r="BE791" s="377">
        <f t="shared" si="331"/>
        <v>0</v>
      </c>
      <c r="BF791" s="377">
        <f t="shared" si="332"/>
        <v>0</v>
      </c>
      <c r="BG791" s="328"/>
    </row>
    <row r="792" spans="2:59">
      <c r="B792" s="332">
        <v>777</v>
      </c>
      <c r="C792" s="350">
        <v>122409416.49583364</v>
      </c>
      <c r="D792" s="350">
        <v>123413418.58781406</v>
      </c>
      <c r="E792" s="350">
        <v>124375351.52589792</v>
      </c>
      <c r="F792" s="350">
        <v>125339570.28088941</v>
      </c>
      <c r="G792" s="350">
        <v>126309070.0098175</v>
      </c>
      <c r="H792" s="348">
        <v>621846826.90025246</v>
      </c>
      <c r="I792" s="369"/>
      <c r="J792" s="350">
        <v>152853908.55179623</v>
      </c>
      <c r="K792" s="350">
        <v>184902405.83555067</v>
      </c>
      <c r="L792" s="350">
        <v>217378424.43884209</v>
      </c>
      <c r="M792" s="350">
        <v>250339061.98247328</v>
      </c>
      <c r="N792" s="350">
        <v>283792759.1303032</v>
      </c>
      <c r="O792" s="348">
        <v>1089266559.9389653</v>
      </c>
      <c r="P792" s="369"/>
      <c r="Q792" s="350">
        <f t="shared" si="333"/>
        <v>30444492.055962592</v>
      </c>
      <c r="R792" s="350">
        <f t="shared" si="334"/>
        <v>61488987.247736603</v>
      </c>
      <c r="S792" s="350">
        <f t="shared" si="335"/>
        <v>93003072.912944168</v>
      </c>
      <c r="T792" s="350">
        <f t="shared" si="336"/>
        <v>124999491.70158388</v>
      </c>
      <c r="U792" s="350">
        <f t="shared" si="337"/>
        <v>157483689.12048572</v>
      </c>
      <c r="V792" s="350">
        <f t="shared" si="338"/>
        <v>467419733.03871286</v>
      </c>
      <c r="W792" s="365"/>
      <c r="X792" s="377">
        <f t="shared" si="316"/>
        <v>0</v>
      </c>
      <c r="Y792" s="377">
        <f t="shared" si="317"/>
        <v>0</v>
      </c>
      <c r="Z792" s="377">
        <f t="shared" si="318"/>
        <v>0</v>
      </c>
      <c r="AA792" s="377">
        <f t="shared" si="319"/>
        <v>0</v>
      </c>
      <c r="AB792" s="377">
        <f t="shared" si="320"/>
        <v>0</v>
      </c>
      <c r="AC792" s="377">
        <f t="shared" si="321"/>
        <v>0</v>
      </c>
      <c r="AD792" s="376"/>
      <c r="AE792" s="332">
        <v>777</v>
      </c>
      <c r="AF792" s="350">
        <v>138543298.81814182</v>
      </c>
      <c r="AG792" s="350">
        <v>139679631.02055871</v>
      </c>
      <c r="AH792" s="350">
        <v>140768349.24419722</v>
      </c>
      <c r="AI792" s="350">
        <v>141859654.56141022</v>
      </c>
      <c r="AJ792" s="350">
        <v>142956936.898783</v>
      </c>
      <c r="AK792" s="348">
        <v>703807870.54309094</v>
      </c>
      <c r="AL792" s="369"/>
      <c r="AM792" s="350">
        <v>172585421.94241694</v>
      </c>
      <c r="AN792" s="350">
        <v>208443989.03274962</v>
      </c>
      <c r="AO792" s="350">
        <v>244780167.72066405</v>
      </c>
      <c r="AP792" s="350">
        <v>281658408.04127854</v>
      </c>
      <c r="AQ792" s="350">
        <v>319088190.32976961</v>
      </c>
      <c r="AR792" s="348">
        <v>1226556177.0668788</v>
      </c>
      <c r="AS792" s="369"/>
      <c r="AT792" s="350">
        <f t="shared" si="339"/>
        <v>34042123.124275118</v>
      </c>
      <c r="AU792" s="350">
        <f t="shared" si="322"/>
        <v>68764358.012190908</v>
      </c>
      <c r="AV792" s="350">
        <f t="shared" si="323"/>
        <v>104011818.47646683</v>
      </c>
      <c r="AW792" s="350">
        <f t="shared" si="324"/>
        <v>139798753.47986832</v>
      </c>
      <c r="AX792" s="350">
        <f t="shared" si="325"/>
        <v>176131253.43098661</v>
      </c>
      <c r="AY792" s="350">
        <f t="shared" si="326"/>
        <v>522748306.52378786</v>
      </c>
      <c r="AZ792" s="365"/>
      <c r="BA792" s="377">
        <f t="shared" si="327"/>
        <v>0</v>
      </c>
      <c r="BB792" s="377">
        <f t="shared" si="328"/>
        <v>0</v>
      </c>
      <c r="BC792" s="377">
        <f t="shared" si="329"/>
        <v>0</v>
      </c>
      <c r="BD792" s="377">
        <f t="shared" si="330"/>
        <v>0</v>
      </c>
      <c r="BE792" s="377">
        <f t="shared" si="331"/>
        <v>0</v>
      </c>
      <c r="BF792" s="377">
        <f t="shared" si="332"/>
        <v>0</v>
      </c>
      <c r="BG792" s="328"/>
    </row>
    <row r="793" spans="2:59">
      <c r="B793" s="332">
        <v>778</v>
      </c>
      <c r="C793" s="350">
        <v>139763343.38410723</v>
      </c>
      <c r="D793" s="350">
        <v>140909682.39263111</v>
      </c>
      <c r="E793" s="350">
        <v>142007988.12258673</v>
      </c>
      <c r="F793" s="350">
        <v>143108903.72866562</v>
      </c>
      <c r="G793" s="350">
        <v>144215848.98993629</v>
      </c>
      <c r="H793" s="348">
        <v>710005766.61792707</v>
      </c>
      <c r="I793" s="369"/>
      <c r="J793" s="350">
        <v>173573399.20646086</v>
      </c>
      <c r="K793" s="350">
        <v>209200492.34165621</v>
      </c>
      <c r="L793" s="350">
        <v>245301122.80961627</v>
      </c>
      <c r="M793" s="350">
        <v>281940085.32628065</v>
      </c>
      <c r="N793" s="350">
        <v>319126847.8314237</v>
      </c>
      <c r="O793" s="348">
        <v>1229141947.5154376</v>
      </c>
      <c r="P793" s="369"/>
      <c r="Q793" s="350">
        <f t="shared" si="333"/>
        <v>33810055.822353631</v>
      </c>
      <c r="R793" s="350">
        <f t="shared" si="334"/>
        <v>68290809.949025095</v>
      </c>
      <c r="S793" s="350">
        <f t="shared" si="335"/>
        <v>103293134.68702954</v>
      </c>
      <c r="T793" s="350">
        <f t="shared" si="336"/>
        <v>138831181.59761503</v>
      </c>
      <c r="U793" s="350">
        <f t="shared" si="337"/>
        <v>174910998.84148741</v>
      </c>
      <c r="V793" s="350">
        <f t="shared" si="338"/>
        <v>519136180.89751053</v>
      </c>
      <c r="W793" s="365"/>
      <c r="X793" s="377">
        <f t="shared" si="316"/>
        <v>0</v>
      </c>
      <c r="Y793" s="377">
        <f t="shared" si="317"/>
        <v>0</v>
      </c>
      <c r="Z793" s="377">
        <f t="shared" si="318"/>
        <v>0</v>
      </c>
      <c r="AA793" s="377">
        <f t="shared" si="319"/>
        <v>0</v>
      </c>
      <c r="AB793" s="377">
        <f t="shared" si="320"/>
        <v>0</v>
      </c>
      <c r="AC793" s="377">
        <f t="shared" si="321"/>
        <v>0</v>
      </c>
      <c r="AD793" s="376"/>
      <c r="AE793" s="332">
        <v>778</v>
      </c>
      <c r="AF793" s="350">
        <v>118150698.28464079</v>
      </c>
      <c r="AG793" s="350">
        <v>119119770.36783922</v>
      </c>
      <c r="AH793" s="350">
        <v>120048236.91552085</v>
      </c>
      <c r="AI793" s="350">
        <v>120978909.7547731</v>
      </c>
      <c r="AJ793" s="350">
        <v>121914679.838797</v>
      </c>
      <c r="AK793" s="348">
        <v>600212295.16157091</v>
      </c>
      <c r="AL793" s="369"/>
      <c r="AM793" s="350">
        <v>150434377.87178308</v>
      </c>
      <c r="AN793" s="350">
        <v>184330807.01085883</v>
      </c>
      <c r="AO793" s="350">
        <v>218684705.3848058</v>
      </c>
      <c r="AP793" s="350">
        <v>253552397.68187138</v>
      </c>
      <c r="AQ793" s="350">
        <v>288942550.46529108</v>
      </c>
      <c r="AR793" s="348">
        <v>1095944838.4146101</v>
      </c>
      <c r="AS793" s="369"/>
      <c r="AT793" s="350">
        <f t="shared" si="339"/>
        <v>32283679.587142289</v>
      </c>
      <c r="AU793" s="350">
        <f t="shared" si="322"/>
        <v>65211036.643019617</v>
      </c>
      <c r="AV793" s="350">
        <f t="shared" si="323"/>
        <v>98636468.469284952</v>
      </c>
      <c r="AW793" s="350">
        <f t="shared" si="324"/>
        <v>132573487.92709829</v>
      </c>
      <c r="AX793" s="350">
        <f t="shared" si="325"/>
        <v>167027870.62649408</v>
      </c>
      <c r="AY793" s="350">
        <f t="shared" si="326"/>
        <v>495732543.25303924</v>
      </c>
      <c r="AZ793" s="365"/>
      <c r="BA793" s="377">
        <f t="shared" si="327"/>
        <v>0</v>
      </c>
      <c r="BB793" s="377">
        <f t="shared" si="328"/>
        <v>0</v>
      </c>
      <c r="BC793" s="377">
        <f t="shared" si="329"/>
        <v>0</v>
      </c>
      <c r="BD793" s="377">
        <f t="shared" si="330"/>
        <v>0</v>
      </c>
      <c r="BE793" s="377">
        <f t="shared" si="331"/>
        <v>0</v>
      </c>
      <c r="BF793" s="377">
        <f t="shared" si="332"/>
        <v>0</v>
      </c>
      <c r="BG793" s="328"/>
    </row>
    <row r="794" spans="2:59">
      <c r="B794" s="332">
        <v>779</v>
      </c>
      <c r="C794" s="350">
        <v>132884715.9524968</v>
      </c>
      <c r="D794" s="350">
        <v>133974636.45557402</v>
      </c>
      <c r="E794" s="350">
        <v>135018887.69785476</v>
      </c>
      <c r="F794" s="350">
        <v>136065620.36794689</v>
      </c>
      <c r="G794" s="350">
        <v>137118085.93622297</v>
      </c>
      <c r="H794" s="348">
        <v>675061946.41009545</v>
      </c>
      <c r="I794" s="369"/>
      <c r="J794" s="350">
        <v>162145124.60173002</v>
      </c>
      <c r="K794" s="350">
        <v>193071072.07278144</v>
      </c>
      <c r="L794" s="350">
        <v>224402660.53584543</v>
      </c>
      <c r="M794" s="350">
        <v>256200287.66894898</v>
      </c>
      <c r="N794" s="350">
        <v>288472438.49607569</v>
      </c>
      <c r="O794" s="348">
        <v>1124291583.3753815</v>
      </c>
      <c r="P794" s="369"/>
      <c r="Q794" s="350">
        <f t="shared" si="333"/>
        <v>29260408.649233222</v>
      </c>
      <c r="R794" s="350">
        <f t="shared" si="334"/>
        <v>59096435.617207423</v>
      </c>
      <c r="S794" s="350">
        <f t="shared" si="335"/>
        <v>89383772.837990671</v>
      </c>
      <c r="T794" s="350">
        <f t="shared" si="336"/>
        <v>120134667.30100209</v>
      </c>
      <c r="U794" s="350">
        <f t="shared" si="337"/>
        <v>151354352.55985272</v>
      </c>
      <c r="V794" s="350">
        <f t="shared" si="338"/>
        <v>449229636.96528602</v>
      </c>
      <c r="W794" s="365"/>
      <c r="X794" s="377">
        <f t="shared" si="316"/>
        <v>0</v>
      </c>
      <c r="Y794" s="377">
        <f t="shared" si="317"/>
        <v>0</v>
      </c>
      <c r="Z794" s="377">
        <f t="shared" si="318"/>
        <v>0</v>
      </c>
      <c r="AA794" s="377">
        <f t="shared" si="319"/>
        <v>0</v>
      </c>
      <c r="AB794" s="377">
        <f t="shared" si="320"/>
        <v>0</v>
      </c>
      <c r="AC794" s="377">
        <f t="shared" si="321"/>
        <v>0</v>
      </c>
      <c r="AD794" s="376"/>
      <c r="AE794" s="332">
        <v>779</v>
      </c>
      <c r="AF794" s="350">
        <v>135893715.97620454</v>
      </c>
      <c r="AG794" s="350">
        <v>137008316.29889902</v>
      </c>
      <c r="AH794" s="350">
        <v>138076213.24031264</v>
      </c>
      <c r="AI794" s="350">
        <v>139146647.79821452</v>
      </c>
      <c r="AJ794" s="350">
        <v>140222945.068257</v>
      </c>
      <c r="AK794" s="348">
        <v>690347838.38188767</v>
      </c>
      <c r="AL794" s="369"/>
      <c r="AM794" s="350">
        <v>169157955.97820821</v>
      </c>
      <c r="AN794" s="350">
        <v>204197279.36238652</v>
      </c>
      <c r="AO794" s="350">
        <v>239703059.4963569</v>
      </c>
      <c r="AP794" s="350">
        <v>275738460.51609349</v>
      </c>
      <c r="AQ794" s="350">
        <v>312312758.13235581</v>
      </c>
      <c r="AR794" s="348">
        <v>1201109513.4854012</v>
      </c>
      <c r="AS794" s="369"/>
      <c r="AT794" s="350">
        <f t="shared" si="339"/>
        <v>33264240.00200367</v>
      </c>
      <c r="AU794" s="350">
        <f t="shared" si="322"/>
        <v>67188963.0634875</v>
      </c>
      <c r="AV794" s="350">
        <f t="shared" si="323"/>
        <v>101626846.25604427</v>
      </c>
      <c r="AW794" s="350">
        <f t="shared" si="324"/>
        <v>136591812.71787897</v>
      </c>
      <c r="AX794" s="350">
        <f t="shared" si="325"/>
        <v>172089813.06409881</v>
      </c>
      <c r="AY794" s="350">
        <f t="shared" si="326"/>
        <v>510761675.10351348</v>
      </c>
      <c r="AZ794" s="365"/>
      <c r="BA794" s="377">
        <f t="shared" si="327"/>
        <v>0</v>
      </c>
      <c r="BB794" s="377">
        <f t="shared" si="328"/>
        <v>0</v>
      </c>
      <c r="BC794" s="377">
        <f t="shared" si="329"/>
        <v>0</v>
      </c>
      <c r="BD794" s="377">
        <f t="shared" si="330"/>
        <v>0</v>
      </c>
      <c r="BE794" s="377">
        <f t="shared" si="331"/>
        <v>0</v>
      </c>
      <c r="BF794" s="377">
        <f t="shared" si="332"/>
        <v>0</v>
      </c>
      <c r="BG794" s="328"/>
    </row>
    <row r="795" spans="2:59">
      <c r="B795" s="332">
        <v>780</v>
      </c>
      <c r="C795" s="350">
        <v>126928394.67505205</v>
      </c>
      <c r="D795" s="350">
        <v>127969461.42819518</v>
      </c>
      <c r="E795" s="350">
        <v>128966905.96400997</v>
      </c>
      <c r="F795" s="350">
        <v>129966720.70204374</v>
      </c>
      <c r="G795" s="350">
        <v>130972011.37128671</v>
      </c>
      <c r="H795" s="348">
        <v>644803494.14058769</v>
      </c>
      <c r="I795" s="369"/>
      <c r="J795" s="350">
        <v>155735819.59114003</v>
      </c>
      <c r="K795" s="350">
        <v>186175297.58967349</v>
      </c>
      <c r="L795" s="350">
        <v>217015855.32176262</v>
      </c>
      <c r="M795" s="350">
        <v>248315543.94840154</v>
      </c>
      <c r="N795" s="350">
        <v>280082625.43698043</v>
      </c>
      <c r="O795" s="348">
        <v>1087325141.887958</v>
      </c>
      <c r="P795" s="369"/>
      <c r="Q795" s="350">
        <f t="shared" si="333"/>
        <v>28807424.916087985</v>
      </c>
      <c r="R795" s="350">
        <f t="shared" si="334"/>
        <v>58205836.161478311</v>
      </c>
      <c r="S795" s="350">
        <f t="shared" si="335"/>
        <v>88048949.357752651</v>
      </c>
      <c r="T795" s="350">
        <f t="shared" si="336"/>
        <v>118348823.2463578</v>
      </c>
      <c r="U795" s="350">
        <f t="shared" si="337"/>
        <v>149110614.06569374</v>
      </c>
      <c r="V795" s="350">
        <f t="shared" si="338"/>
        <v>442521647.74737036</v>
      </c>
      <c r="W795" s="365"/>
      <c r="X795" s="377">
        <f t="shared" si="316"/>
        <v>0</v>
      </c>
      <c r="Y795" s="377">
        <f t="shared" si="317"/>
        <v>0</v>
      </c>
      <c r="Z795" s="377">
        <f t="shared" si="318"/>
        <v>0</v>
      </c>
      <c r="AA795" s="377">
        <f t="shared" si="319"/>
        <v>0</v>
      </c>
      <c r="AB795" s="377">
        <f t="shared" si="320"/>
        <v>0</v>
      </c>
      <c r="AC795" s="377">
        <f t="shared" si="321"/>
        <v>0</v>
      </c>
      <c r="AD795" s="376"/>
      <c r="AE795" s="332">
        <v>780</v>
      </c>
      <c r="AF795" s="350">
        <v>116686129.21719915</v>
      </c>
      <c r="AG795" s="350">
        <v>117643188.90421394</v>
      </c>
      <c r="AH795" s="350">
        <v>118560146.39265487</v>
      </c>
      <c r="AI795" s="350">
        <v>119479282.82398009</v>
      </c>
      <c r="AJ795" s="350">
        <v>120403453.31579506</v>
      </c>
      <c r="AK795" s="348">
        <v>592772200.65384316</v>
      </c>
      <c r="AL795" s="369"/>
      <c r="AM795" s="350">
        <v>148533756.30878595</v>
      </c>
      <c r="AN795" s="350">
        <v>181974638.83017445</v>
      </c>
      <c r="AO795" s="350">
        <v>215866785.37554267</v>
      </c>
      <c r="AP795" s="350">
        <v>250265807.49798211</v>
      </c>
      <c r="AQ795" s="350">
        <v>285180258.09959167</v>
      </c>
      <c r="AR795" s="348">
        <v>1081821246.1120768</v>
      </c>
      <c r="AS795" s="369"/>
      <c r="AT795" s="350">
        <f t="shared" si="339"/>
        <v>31847627.091586798</v>
      </c>
      <c r="AU795" s="350">
        <f t="shared" si="322"/>
        <v>64331449.925960511</v>
      </c>
      <c r="AV795" s="350">
        <f t="shared" si="323"/>
        <v>97306638.982887805</v>
      </c>
      <c r="AW795" s="350">
        <f t="shared" si="324"/>
        <v>130786524.67400202</v>
      </c>
      <c r="AX795" s="350">
        <f t="shared" si="325"/>
        <v>164776804.78379661</v>
      </c>
      <c r="AY795" s="350">
        <f t="shared" si="326"/>
        <v>489049045.45823359</v>
      </c>
      <c r="AZ795" s="365"/>
      <c r="BA795" s="377">
        <f t="shared" si="327"/>
        <v>0</v>
      </c>
      <c r="BB795" s="377">
        <f t="shared" si="328"/>
        <v>0</v>
      </c>
      <c r="BC795" s="377">
        <f t="shared" si="329"/>
        <v>0</v>
      </c>
      <c r="BD795" s="377">
        <f t="shared" si="330"/>
        <v>0</v>
      </c>
      <c r="BE795" s="377">
        <f t="shared" si="331"/>
        <v>0</v>
      </c>
      <c r="BF795" s="377">
        <f t="shared" si="332"/>
        <v>0</v>
      </c>
      <c r="BG795" s="328"/>
    </row>
    <row r="796" spans="2:59">
      <c r="B796" s="332">
        <v>781</v>
      </c>
      <c r="C796" s="350">
        <v>117929834.80731322</v>
      </c>
      <c r="D796" s="350">
        <v>118897095.36816621</v>
      </c>
      <c r="E796" s="350">
        <v>119823826.29893418</v>
      </c>
      <c r="F796" s="350">
        <v>120752759.39697021</v>
      </c>
      <c r="G796" s="350">
        <v>121686780.21130937</v>
      </c>
      <c r="H796" s="348">
        <v>599090296.0826931</v>
      </c>
      <c r="I796" s="369"/>
      <c r="J796" s="350">
        <v>154227111.4940556</v>
      </c>
      <c r="K796" s="350">
        <v>192201451.91684437</v>
      </c>
      <c r="L796" s="350">
        <v>230695042.87061322</v>
      </c>
      <c r="M796" s="350">
        <v>269765808.19822347</v>
      </c>
      <c r="N796" s="350">
        <v>309423124.97726411</v>
      </c>
      <c r="O796" s="348">
        <v>1156312539.4570007</v>
      </c>
      <c r="P796" s="369"/>
      <c r="Q796" s="350">
        <f t="shared" si="333"/>
        <v>36297276.68674238</v>
      </c>
      <c r="R796" s="350">
        <f t="shared" si="334"/>
        <v>73304356.54867816</v>
      </c>
      <c r="S796" s="350">
        <f t="shared" si="335"/>
        <v>110871216.57167904</v>
      </c>
      <c r="T796" s="350">
        <f t="shared" si="336"/>
        <v>149013048.80125326</v>
      </c>
      <c r="U796" s="350">
        <f t="shared" si="337"/>
        <v>187736344.76595473</v>
      </c>
      <c r="V796" s="350">
        <f t="shared" si="338"/>
        <v>557222243.37430763</v>
      </c>
      <c r="W796" s="365"/>
      <c r="X796" s="377">
        <f t="shared" si="316"/>
        <v>0</v>
      </c>
      <c r="Y796" s="377">
        <f t="shared" si="317"/>
        <v>0</v>
      </c>
      <c r="Z796" s="377">
        <f t="shared" si="318"/>
        <v>0</v>
      </c>
      <c r="AA796" s="377">
        <f t="shared" si="319"/>
        <v>0</v>
      </c>
      <c r="AB796" s="377">
        <f t="shared" si="320"/>
        <v>0</v>
      </c>
      <c r="AC796" s="377">
        <f t="shared" si="321"/>
        <v>0</v>
      </c>
      <c r="AD796" s="376"/>
      <c r="AE796" s="332">
        <v>781</v>
      </c>
      <c r="AF796" s="350">
        <v>151016628.56560513</v>
      </c>
      <c r="AG796" s="350">
        <v>152255267.02450871</v>
      </c>
      <c r="AH796" s="350">
        <v>153442004.72307935</v>
      </c>
      <c r="AI796" s="350">
        <v>154631562.43642318</v>
      </c>
      <c r="AJ796" s="350">
        <v>155827635.29298294</v>
      </c>
      <c r="AK796" s="348">
        <v>767173098.04259932</v>
      </c>
      <c r="AL796" s="369"/>
      <c r="AM796" s="350">
        <v>189864867.42965209</v>
      </c>
      <c r="AN796" s="350">
        <v>230729468.98973179</v>
      </c>
      <c r="AO796" s="350">
        <v>272141572.30351257</v>
      </c>
      <c r="AP796" s="350">
        <v>314172158.88638675</v>
      </c>
      <c r="AQ796" s="350">
        <v>356831874.37121099</v>
      </c>
      <c r="AR796" s="348">
        <v>1363739941.9804943</v>
      </c>
      <c r="AS796" s="369"/>
      <c r="AT796" s="350">
        <f t="shared" si="339"/>
        <v>38848238.864046961</v>
      </c>
      <c r="AU796" s="350">
        <f t="shared" si="322"/>
        <v>78474201.965223074</v>
      </c>
      <c r="AV796" s="350">
        <f t="shared" si="323"/>
        <v>118699567.58043322</v>
      </c>
      <c r="AW796" s="350">
        <f t="shared" si="324"/>
        <v>159540596.44996357</v>
      </c>
      <c r="AX796" s="350">
        <f t="shared" si="325"/>
        <v>201004239.07822806</v>
      </c>
      <c r="AY796" s="350">
        <f t="shared" si="326"/>
        <v>596566843.93789494</v>
      </c>
      <c r="AZ796" s="365"/>
      <c r="BA796" s="377">
        <f t="shared" si="327"/>
        <v>0</v>
      </c>
      <c r="BB796" s="377">
        <f t="shared" si="328"/>
        <v>0</v>
      </c>
      <c r="BC796" s="377">
        <f t="shared" si="329"/>
        <v>0</v>
      </c>
      <c r="BD796" s="377">
        <f t="shared" si="330"/>
        <v>0</v>
      </c>
      <c r="BE796" s="377">
        <f t="shared" si="331"/>
        <v>0</v>
      </c>
      <c r="BF796" s="377">
        <f t="shared" si="332"/>
        <v>0</v>
      </c>
      <c r="BG796" s="328"/>
    </row>
    <row r="797" spans="2:59">
      <c r="B797" s="332">
        <v>782</v>
      </c>
      <c r="C797" s="350">
        <v>123267290.57516938</v>
      </c>
      <c r="D797" s="350">
        <v>124278328.95075415</v>
      </c>
      <c r="E797" s="350">
        <v>125247003.34188363</v>
      </c>
      <c r="F797" s="350">
        <v>126217979.56946501</v>
      </c>
      <c r="G797" s="350">
        <v>127194273.78129461</v>
      </c>
      <c r="H797" s="348">
        <v>626204876.21856678</v>
      </c>
      <c r="I797" s="369"/>
      <c r="J797" s="350">
        <v>151867502.8061893</v>
      </c>
      <c r="K797" s="350">
        <v>182048141.17045629</v>
      </c>
      <c r="L797" s="350">
        <v>212627648.31854802</v>
      </c>
      <c r="M797" s="350">
        <v>243662661.11000746</v>
      </c>
      <c r="N797" s="350">
        <v>275161312.19407916</v>
      </c>
      <c r="O797" s="348">
        <v>1065367265.5992804</v>
      </c>
      <c r="P797" s="369"/>
      <c r="Q797" s="350">
        <f t="shared" si="333"/>
        <v>28600212.231019914</v>
      </c>
      <c r="R797" s="350">
        <f t="shared" si="334"/>
        <v>57769812.219702139</v>
      </c>
      <c r="S797" s="350">
        <f t="shared" si="335"/>
        <v>87380644.976664394</v>
      </c>
      <c r="T797" s="350">
        <f t="shared" si="336"/>
        <v>117444681.54054245</v>
      </c>
      <c r="U797" s="350">
        <f t="shared" si="337"/>
        <v>147967038.41278455</v>
      </c>
      <c r="V797" s="350">
        <f t="shared" si="338"/>
        <v>439162389.38071358</v>
      </c>
      <c r="W797" s="365"/>
      <c r="X797" s="377">
        <f t="shared" si="316"/>
        <v>0</v>
      </c>
      <c r="Y797" s="377">
        <f t="shared" si="317"/>
        <v>0</v>
      </c>
      <c r="Z797" s="377">
        <f t="shared" si="318"/>
        <v>0</v>
      </c>
      <c r="AA797" s="377">
        <f t="shared" si="319"/>
        <v>0</v>
      </c>
      <c r="AB797" s="377">
        <f t="shared" si="320"/>
        <v>0</v>
      </c>
      <c r="AC797" s="377">
        <f t="shared" si="321"/>
        <v>0</v>
      </c>
      <c r="AD797" s="376"/>
      <c r="AE797" s="332">
        <v>782</v>
      </c>
      <c r="AF797" s="350">
        <v>141122400.86402279</v>
      </c>
      <c r="AG797" s="350">
        <v>142279886.86263955</v>
      </c>
      <c r="AH797" s="350">
        <v>143388872.50752416</v>
      </c>
      <c r="AI797" s="350">
        <v>144500493.40694371</v>
      </c>
      <c r="AJ797" s="350">
        <v>145618202.5938673</v>
      </c>
      <c r="AK797" s="348">
        <v>716909856.23499751</v>
      </c>
      <c r="AL797" s="369"/>
      <c r="AM797" s="350">
        <v>175131264.25627953</v>
      </c>
      <c r="AN797" s="350">
        <v>210991655.78791064</v>
      </c>
      <c r="AO797" s="350">
        <v>247328486.9040435</v>
      </c>
      <c r="AP797" s="350">
        <v>284207129.06519359</v>
      </c>
      <c r="AQ797" s="350">
        <v>321637121.99027771</v>
      </c>
      <c r="AR797" s="348">
        <v>1239295658.003705</v>
      </c>
      <c r="AS797" s="369"/>
      <c r="AT797" s="350">
        <f t="shared" si="339"/>
        <v>34008863.392256737</v>
      </c>
      <c r="AU797" s="350">
        <f t="shared" si="322"/>
        <v>68711768.925271094</v>
      </c>
      <c r="AV797" s="350">
        <f t="shared" si="323"/>
        <v>103939614.39651933</v>
      </c>
      <c r="AW797" s="350">
        <f t="shared" si="324"/>
        <v>139706635.65824988</v>
      </c>
      <c r="AX797" s="350">
        <f t="shared" si="325"/>
        <v>176018919.39641041</v>
      </c>
      <c r="AY797" s="350">
        <f t="shared" si="326"/>
        <v>522385801.76870751</v>
      </c>
      <c r="AZ797" s="365"/>
      <c r="BA797" s="377">
        <f t="shared" si="327"/>
        <v>0</v>
      </c>
      <c r="BB797" s="377">
        <f t="shared" si="328"/>
        <v>0</v>
      </c>
      <c r="BC797" s="377">
        <f t="shared" si="329"/>
        <v>0</v>
      </c>
      <c r="BD797" s="377">
        <f t="shared" si="330"/>
        <v>0</v>
      </c>
      <c r="BE797" s="377">
        <f t="shared" si="331"/>
        <v>0</v>
      </c>
      <c r="BF797" s="377">
        <f t="shared" si="332"/>
        <v>0</v>
      </c>
      <c r="BG797" s="328"/>
    </row>
    <row r="798" spans="2:59">
      <c r="B798" s="332">
        <v>783</v>
      </c>
      <c r="C798" s="350">
        <v>147392315.49464816</v>
      </c>
      <c r="D798" s="350">
        <v>148601227.33603001</v>
      </c>
      <c r="E798" s="350">
        <v>149759484.00576571</v>
      </c>
      <c r="F798" s="350">
        <v>150920493.01152635</v>
      </c>
      <c r="G798" s="350">
        <v>152087860.80077642</v>
      </c>
      <c r="H798" s="348">
        <v>748761380.64874673</v>
      </c>
      <c r="I798" s="369"/>
      <c r="J798" s="350">
        <v>179387026.15667534</v>
      </c>
      <c r="K798" s="350">
        <v>213239473.23026264</v>
      </c>
      <c r="L798" s="350">
        <v>247535051.72274074</v>
      </c>
      <c r="M798" s="350">
        <v>282340561.65641487</v>
      </c>
      <c r="N798" s="350">
        <v>317665335.0568217</v>
      </c>
      <c r="O798" s="348">
        <v>1240167447.8229153</v>
      </c>
      <c r="P798" s="369"/>
      <c r="Q798" s="350">
        <f t="shared" si="333"/>
        <v>31994710.66202718</v>
      </c>
      <c r="R798" s="350">
        <f t="shared" si="334"/>
        <v>64638245.894232631</v>
      </c>
      <c r="S798" s="350">
        <f t="shared" si="335"/>
        <v>97775567.716975033</v>
      </c>
      <c r="T798" s="350">
        <f t="shared" si="336"/>
        <v>131420068.64488852</v>
      </c>
      <c r="U798" s="350">
        <f t="shared" si="337"/>
        <v>165577474.25604528</v>
      </c>
      <c r="V798" s="350">
        <f t="shared" si="338"/>
        <v>491406067.17416859</v>
      </c>
      <c r="W798" s="365"/>
      <c r="X798" s="377">
        <f t="shared" si="316"/>
        <v>0</v>
      </c>
      <c r="Y798" s="377">
        <f t="shared" si="317"/>
        <v>0</v>
      </c>
      <c r="Z798" s="377">
        <f t="shared" si="318"/>
        <v>0</v>
      </c>
      <c r="AA798" s="377">
        <f t="shared" si="319"/>
        <v>0</v>
      </c>
      <c r="AB798" s="377">
        <f t="shared" si="320"/>
        <v>0</v>
      </c>
      <c r="AC798" s="377">
        <f t="shared" si="321"/>
        <v>0</v>
      </c>
      <c r="AD798" s="376"/>
      <c r="AE798" s="332">
        <v>783</v>
      </c>
      <c r="AF798" s="350">
        <v>111808541.81252421</v>
      </c>
      <c r="AG798" s="350">
        <v>112725595.52533947</v>
      </c>
      <c r="AH798" s="350">
        <v>113604223.34832445</v>
      </c>
      <c r="AI798" s="350">
        <v>114484939.03237931</v>
      </c>
      <c r="AJ798" s="350">
        <v>115370478.34857051</v>
      </c>
      <c r="AK798" s="348">
        <v>567993778.06713796</v>
      </c>
      <c r="AL798" s="369"/>
      <c r="AM798" s="350">
        <v>142963226.2378321</v>
      </c>
      <c r="AN798" s="350">
        <v>175642801.43969598</v>
      </c>
      <c r="AO798" s="350">
        <v>208764399.50578493</v>
      </c>
      <c r="AP798" s="350">
        <v>242381573.74810487</v>
      </c>
      <c r="AQ798" s="350">
        <v>276502631.53366673</v>
      </c>
      <c r="AR798" s="348">
        <v>1046254632.4650847</v>
      </c>
      <c r="AS798" s="369"/>
      <c r="AT798" s="350">
        <f t="shared" si="339"/>
        <v>31154684.425307885</v>
      </c>
      <c r="AU798" s="350">
        <f t="shared" si="322"/>
        <v>62917205.914356515</v>
      </c>
      <c r="AV798" s="350">
        <f t="shared" si="323"/>
        <v>95160176.157460481</v>
      </c>
      <c r="AW798" s="350">
        <f t="shared" si="324"/>
        <v>127896634.71572556</v>
      </c>
      <c r="AX798" s="350">
        <f t="shared" si="325"/>
        <v>161132153.1850962</v>
      </c>
      <c r="AY798" s="350">
        <f t="shared" si="326"/>
        <v>478260854.39794672</v>
      </c>
      <c r="AZ798" s="365"/>
      <c r="BA798" s="377">
        <f t="shared" si="327"/>
        <v>0</v>
      </c>
      <c r="BB798" s="377">
        <f t="shared" si="328"/>
        <v>0</v>
      </c>
      <c r="BC798" s="377">
        <f t="shared" si="329"/>
        <v>0</v>
      </c>
      <c r="BD798" s="377">
        <f t="shared" si="330"/>
        <v>0</v>
      </c>
      <c r="BE798" s="377">
        <f t="shared" si="331"/>
        <v>0</v>
      </c>
      <c r="BF798" s="377">
        <f t="shared" si="332"/>
        <v>0</v>
      </c>
      <c r="BG798" s="328"/>
    </row>
    <row r="799" spans="2:59">
      <c r="B799" s="332">
        <v>784</v>
      </c>
      <c r="C799" s="350">
        <v>124599351.72495273</v>
      </c>
      <c r="D799" s="350">
        <v>125621315.66671786</v>
      </c>
      <c r="E799" s="350">
        <v>126600457.8268491</v>
      </c>
      <c r="F799" s="350">
        <v>127581926.69772691</v>
      </c>
      <c r="G799" s="350">
        <v>128568771.02049243</v>
      </c>
      <c r="H799" s="348">
        <v>632971822.93673897</v>
      </c>
      <c r="I799" s="369"/>
      <c r="J799" s="350">
        <v>154437475.82495514</v>
      </c>
      <c r="K799" s="350">
        <v>185906901.85517985</v>
      </c>
      <c r="L799" s="350">
        <v>217794075.47723365</v>
      </c>
      <c r="M799" s="350">
        <v>250156635.21874979</v>
      </c>
      <c r="N799" s="350">
        <v>283002970.11766326</v>
      </c>
      <c r="O799" s="348">
        <v>1091298058.4937816</v>
      </c>
      <c r="P799" s="369"/>
      <c r="Q799" s="350">
        <f t="shared" si="333"/>
        <v>29838124.100002408</v>
      </c>
      <c r="R799" s="350">
        <f t="shared" si="334"/>
        <v>60285586.188461989</v>
      </c>
      <c r="S799" s="350">
        <f t="shared" si="335"/>
        <v>91193617.650384545</v>
      </c>
      <c r="T799" s="350">
        <f t="shared" si="336"/>
        <v>122574708.52102289</v>
      </c>
      <c r="U799" s="350">
        <f t="shared" si="337"/>
        <v>154434199.09717083</v>
      </c>
      <c r="V799" s="350">
        <f t="shared" si="338"/>
        <v>458326235.5570426</v>
      </c>
      <c r="W799" s="365"/>
      <c r="X799" s="377">
        <f t="shared" si="316"/>
        <v>0</v>
      </c>
      <c r="Y799" s="377">
        <f t="shared" si="317"/>
        <v>0</v>
      </c>
      <c r="Z799" s="377">
        <f t="shared" si="318"/>
        <v>0</v>
      </c>
      <c r="AA799" s="377">
        <f t="shared" si="319"/>
        <v>0</v>
      </c>
      <c r="AB799" s="377">
        <f t="shared" si="320"/>
        <v>0</v>
      </c>
      <c r="AC799" s="377">
        <f t="shared" si="321"/>
        <v>0</v>
      </c>
      <c r="AD799" s="376"/>
      <c r="AE799" s="332">
        <v>784</v>
      </c>
      <c r="AF799" s="350">
        <v>119761627.28179377</v>
      </c>
      <c r="AG799" s="350">
        <v>120743912.20538861</v>
      </c>
      <c r="AH799" s="350">
        <v>121685037.95615801</v>
      </c>
      <c r="AI799" s="350">
        <v>122628400.08024208</v>
      </c>
      <c r="AJ799" s="350">
        <v>123576928.94762407</v>
      </c>
      <c r="AK799" s="348">
        <v>608395906.47120655</v>
      </c>
      <c r="AL799" s="369"/>
      <c r="AM799" s="350">
        <v>149612801.45757896</v>
      </c>
      <c r="AN799" s="350">
        <v>181060644.47020197</v>
      </c>
      <c r="AO799" s="350">
        <v>212928173.62464845</v>
      </c>
      <c r="AP799" s="350">
        <v>245271280.23055226</v>
      </c>
      <c r="AQ799" s="350">
        <v>278098238.0198766</v>
      </c>
      <c r="AR799" s="348">
        <v>1066971137.8028582</v>
      </c>
      <c r="AS799" s="369"/>
      <c r="AT799" s="350">
        <f t="shared" si="339"/>
        <v>29851174.175785184</v>
      </c>
      <c r="AU799" s="350">
        <f t="shared" si="322"/>
        <v>60316732.264813364</v>
      </c>
      <c r="AV799" s="350">
        <f t="shared" si="323"/>
        <v>91243135.66849044</v>
      </c>
      <c r="AW799" s="350">
        <f t="shared" si="324"/>
        <v>122642880.15031017</v>
      </c>
      <c r="AX799" s="350">
        <f t="shared" si="325"/>
        <v>154521309.07225251</v>
      </c>
      <c r="AY799" s="350">
        <f t="shared" si="326"/>
        <v>458575231.33165169</v>
      </c>
      <c r="AZ799" s="365"/>
      <c r="BA799" s="377">
        <f t="shared" si="327"/>
        <v>0</v>
      </c>
      <c r="BB799" s="377">
        <f t="shared" si="328"/>
        <v>0</v>
      </c>
      <c r="BC799" s="377">
        <f t="shared" si="329"/>
        <v>0</v>
      </c>
      <c r="BD799" s="377">
        <f t="shared" si="330"/>
        <v>0</v>
      </c>
      <c r="BE799" s="377">
        <f t="shared" si="331"/>
        <v>0</v>
      </c>
      <c r="BF799" s="377">
        <f t="shared" si="332"/>
        <v>0</v>
      </c>
      <c r="BG799" s="328"/>
    </row>
    <row r="800" spans="2:59">
      <c r="B800" s="332">
        <v>785</v>
      </c>
      <c r="C800" s="350">
        <v>132984757.2142576</v>
      </c>
      <c r="D800" s="350">
        <v>134075498.25581107</v>
      </c>
      <c r="E800" s="350">
        <v>135120535.65480754</v>
      </c>
      <c r="F800" s="350">
        <v>136168056.34973988</v>
      </c>
      <c r="G800" s="350">
        <v>137221314.25882545</v>
      </c>
      <c r="H800" s="348">
        <v>675570161.73344147</v>
      </c>
      <c r="I800" s="369"/>
      <c r="J800" s="350">
        <v>160250568.65214777</v>
      </c>
      <c r="K800" s="350">
        <v>189162854.77086118</v>
      </c>
      <c r="L800" s="350">
        <v>218450284.6870178</v>
      </c>
      <c r="M800" s="350">
        <v>248172458.56215069</v>
      </c>
      <c r="N800" s="350">
        <v>278337510.06608093</v>
      </c>
      <c r="O800" s="348">
        <v>1094373676.7382584</v>
      </c>
      <c r="P800" s="369"/>
      <c r="Q800" s="350">
        <f t="shared" si="333"/>
        <v>27265811.437890172</v>
      </c>
      <c r="R800" s="350">
        <f t="shared" si="334"/>
        <v>55087356.515050113</v>
      </c>
      <c r="S800" s="350">
        <f t="shared" si="335"/>
        <v>83329749.032210261</v>
      </c>
      <c r="T800" s="350">
        <f t="shared" si="336"/>
        <v>112004402.21241081</v>
      </c>
      <c r="U800" s="350">
        <f t="shared" si="337"/>
        <v>141116195.80725548</v>
      </c>
      <c r="V800" s="350">
        <f t="shared" si="338"/>
        <v>418803515.00481689</v>
      </c>
      <c r="W800" s="365"/>
      <c r="X800" s="377">
        <f t="shared" si="316"/>
        <v>0</v>
      </c>
      <c r="Y800" s="377">
        <f t="shared" si="317"/>
        <v>0</v>
      </c>
      <c r="Z800" s="377">
        <f t="shared" si="318"/>
        <v>0</v>
      </c>
      <c r="AA800" s="377">
        <f t="shared" si="319"/>
        <v>0</v>
      </c>
      <c r="AB800" s="377">
        <f t="shared" si="320"/>
        <v>0</v>
      </c>
      <c r="AC800" s="377">
        <f t="shared" si="321"/>
        <v>0</v>
      </c>
      <c r="AD800" s="376"/>
      <c r="AE800" s="332">
        <v>785</v>
      </c>
      <c r="AF800" s="350">
        <v>125981610.12041961</v>
      </c>
      <c r="AG800" s="350">
        <v>127014911.34619795</v>
      </c>
      <c r="AH800" s="350">
        <v>128004915.7415853</v>
      </c>
      <c r="AI800" s="350">
        <v>128997272.6593741</v>
      </c>
      <c r="AJ800" s="350">
        <v>129995064.66229425</v>
      </c>
      <c r="AK800" s="348">
        <v>639993774.52987123</v>
      </c>
      <c r="AL800" s="369"/>
      <c r="AM800" s="350">
        <v>153989471.06597045</v>
      </c>
      <c r="AN800" s="350">
        <v>183612277.20616236</v>
      </c>
      <c r="AO800" s="350">
        <v>213624255.61830053</v>
      </c>
      <c r="AP800" s="350">
        <v>244082780.09276995</v>
      </c>
      <c r="AQ800" s="350">
        <v>274995947.39458448</v>
      </c>
      <c r="AR800" s="348">
        <v>1070304731.3777878</v>
      </c>
      <c r="AS800" s="369"/>
      <c r="AT800" s="350">
        <f t="shared" si="339"/>
        <v>28007860.945550844</v>
      </c>
      <c r="AU800" s="350">
        <f t="shared" si="322"/>
        <v>56597365.859964415</v>
      </c>
      <c r="AV800" s="350">
        <f t="shared" si="323"/>
        <v>85619339.876715228</v>
      </c>
      <c r="AW800" s="350">
        <f t="shared" si="324"/>
        <v>115085507.43339585</v>
      </c>
      <c r="AX800" s="350">
        <f t="shared" si="325"/>
        <v>145000882.73229021</v>
      </c>
      <c r="AY800" s="350">
        <f t="shared" si="326"/>
        <v>430310956.8479166</v>
      </c>
      <c r="AZ800" s="365"/>
      <c r="BA800" s="377">
        <f t="shared" si="327"/>
        <v>0</v>
      </c>
      <c r="BB800" s="377">
        <f t="shared" si="328"/>
        <v>0</v>
      </c>
      <c r="BC800" s="377">
        <f t="shared" si="329"/>
        <v>0</v>
      </c>
      <c r="BD800" s="377">
        <f t="shared" si="330"/>
        <v>0</v>
      </c>
      <c r="BE800" s="377">
        <f t="shared" si="331"/>
        <v>0</v>
      </c>
      <c r="BF800" s="377">
        <f t="shared" si="332"/>
        <v>0</v>
      </c>
      <c r="BG800" s="328"/>
    </row>
    <row r="801" spans="2:59">
      <c r="B801" s="332">
        <v>786</v>
      </c>
      <c r="C801" s="350">
        <v>147156423.23174208</v>
      </c>
      <c r="D801" s="350">
        <v>148363400.28467205</v>
      </c>
      <c r="E801" s="350">
        <v>149519803.23641759</v>
      </c>
      <c r="F801" s="350">
        <v>150678954.11924481</v>
      </c>
      <c r="G801" s="350">
        <v>151844453.60872287</v>
      </c>
      <c r="H801" s="348">
        <v>747563034.48079944</v>
      </c>
      <c r="I801" s="369"/>
      <c r="J801" s="350">
        <v>183614603.70995057</v>
      </c>
      <c r="K801" s="350">
        <v>222019253.95884597</v>
      </c>
      <c r="L801" s="350">
        <v>260936005.5153189</v>
      </c>
      <c r="M801" s="350">
        <v>300433441.27748883</v>
      </c>
      <c r="N801" s="350">
        <v>340521686.27764302</v>
      </c>
      <c r="O801" s="348">
        <v>1307524990.7392473</v>
      </c>
      <c r="P801" s="369"/>
      <c r="Q801" s="350">
        <f t="shared" si="333"/>
        <v>36458180.478208482</v>
      </c>
      <c r="R801" s="350">
        <f t="shared" si="334"/>
        <v>73655853.674173921</v>
      </c>
      <c r="S801" s="350">
        <f t="shared" si="335"/>
        <v>111416202.27890131</v>
      </c>
      <c r="T801" s="350">
        <f t="shared" si="336"/>
        <v>149754487.15824401</v>
      </c>
      <c r="U801" s="350">
        <f t="shared" si="337"/>
        <v>188677232.66892016</v>
      </c>
      <c r="V801" s="350">
        <f t="shared" si="338"/>
        <v>559961956.25844789</v>
      </c>
      <c r="W801" s="365"/>
      <c r="X801" s="377">
        <f t="shared" si="316"/>
        <v>0</v>
      </c>
      <c r="Y801" s="377">
        <f t="shared" si="317"/>
        <v>0</v>
      </c>
      <c r="Z801" s="377">
        <f t="shared" si="318"/>
        <v>0</v>
      </c>
      <c r="AA801" s="377">
        <f t="shared" si="319"/>
        <v>0</v>
      </c>
      <c r="AB801" s="377">
        <f t="shared" si="320"/>
        <v>0</v>
      </c>
      <c r="AC801" s="377">
        <f t="shared" si="321"/>
        <v>0</v>
      </c>
      <c r="AD801" s="376"/>
      <c r="AE801" s="332">
        <v>786</v>
      </c>
      <c r="AF801" s="350">
        <v>139208764.02597809</v>
      </c>
      <c r="AG801" s="350">
        <v>140350554.37434429</v>
      </c>
      <c r="AH801" s="350">
        <v>141444502.03964582</v>
      </c>
      <c r="AI801" s="350">
        <v>142541049.22511172</v>
      </c>
      <c r="AJ801" s="350">
        <v>143643602.14016619</v>
      </c>
      <c r="AK801" s="348">
        <v>707188471.80524611</v>
      </c>
      <c r="AL801" s="369"/>
      <c r="AM801" s="350">
        <v>175393976.13726145</v>
      </c>
      <c r="AN801" s="350">
        <v>213425344.56164446</v>
      </c>
      <c r="AO801" s="350">
        <v>251966871.59572905</v>
      </c>
      <c r="AP801" s="350">
        <v>291084144.4038288</v>
      </c>
      <c r="AQ801" s="350">
        <v>330787040.18647277</v>
      </c>
      <c r="AR801" s="348">
        <v>1262657376.8849368</v>
      </c>
      <c r="AS801" s="369"/>
      <c r="AT801" s="350">
        <f t="shared" si="339"/>
        <v>36185212.111283362</v>
      </c>
      <c r="AU801" s="350">
        <f t="shared" si="322"/>
        <v>73074790.187300175</v>
      </c>
      <c r="AV801" s="350">
        <f t="shared" si="323"/>
        <v>110522369.55608323</v>
      </c>
      <c r="AW801" s="350">
        <f t="shared" si="324"/>
        <v>148543095.17871708</v>
      </c>
      <c r="AX801" s="350">
        <f t="shared" si="325"/>
        <v>187143438.04630658</v>
      </c>
      <c r="AY801" s="350">
        <f t="shared" si="326"/>
        <v>555468905.07969069</v>
      </c>
      <c r="AZ801" s="365"/>
      <c r="BA801" s="377">
        <f t="shared" si="327"/>
        <v>0</v>
      </c>
      <c r="BB801" s="377">
        <f t="shared" si="328"/>
        <v>0</v>
      </c>
      <c r="BC801" s="377">
        <f t="shared" si="329"/>
        <v>0</v>
      </c>
      <c r="BD801" s="377">
        <f t="shared" si="330"/>
        <v>0</v>
      </c>
      <c r="BE801" s="377">
        <f t="shared" si="331"/>
        <v>0</v>
      </c>
      <c r="BF801" s="377">
        <f t="shared" si="332"/>
        <v>0</v>
      </c>
      <c r="BG801" s="328"/>
    </row>
    <row r="802" spans="2:59">
      <c r="B802" s="332">
        <v>787</v>
      </c>
      <c r="C802" s="350">
        <v>132589604.55830356</v>
      </c>
      <c r="D802" s="350">
        <v>133677104.55758604</v>
      </c>
      <c r="E802" s="350">
        <v>134719036.71871594</v>
      </c>
      <c r="F802" s="350">
        <v>135763444.79688346</v>
      </c>
      <c r="G802" s="350">
        <v>136813573.04157066</v>
      </c>
      <c r="H802" s="348">
        <v>673562763.6730597</v>
      </c>
      <c r="I802" s="369"/>
      <c r="J802" s="350">
        <v>169097122.60782358</v>
      </c>
      <c r="K802" s="350">
        <v>207410900.04349118</v>
      </c>
      <c r="L802" s="350">
        <v>246242207.69087303</v>
      </c>
      <c r="M802" s="350">
        <v>285654369.61535442</v>
      </c>
      <c r="N802" s="350">
        <v>325657159.93478572</v>
      </c>
      <c r="O802" s="348">
        <v>1234061759.8923278</v>
      </c>
      <c r="P802" s="369"/>
      <c r="Q802" s="350">
        <f t="shared" si="333"/>
        <v>36507518.049520016</v>
      </c>
      <c r="R802" s="350">
        <f t="shared" si="334"/>
        <v>73733795.485905141</v>
      </c>
      <c r="S802" s="350">
        <f t="shared" si="335"/>
        <v>111523170.97215709</v>
      </c>
      <c r="T802" s="350">
        <f t="shared" si="336"/>
        <v>149890924.81847095</v>
      </c>
      <c r="U802" s="350">
        <f t="shared" si="337"/>
        <v>188843586.89321506</v>
      </c>
      <c r="V802" s="350">
        <f t="shared" si="338"/>
        <v>560498996.21926808</v>
      </c>
      <c r="W802" s="365"/>
      <c r="X802" s="377">
        <f t="shared" si="316"/>
        <v>0</v>
      </c>
      <c r="Y802" s="377">
        <f t="shared" si="317"/>
        <v>0</v>
      </c>
      <c r="Z802" s="377">
        <f t="shared" si="318"/>
        <v>0</v>
      </c>
      <c r="AA802" s="377">
        <f t="shared" si="319"/>
        <v>0</v>
      </c>
      <c r="AB802" s="377">
        <f t="shared" si="320"/>
        <v>0</v>
      </c>
      <c r="AC802" s="377">
        <f t="shared" si="321"/>
        <v>0</v>
      </c>
      <c r="AD802" s="376"/>
      <c r="AE802" s="332">
        <v>787</v>
      </c>
      <c r="AF802" s="350">
        <v>120294851.75534773</v>
      </c>
      <c r="AG802" s="350">
        <v>121281510.18632674</v>
      </c>
      <c r="AH802" s="350">
        <v>122226826.18813393</v>
      </c>
      <c r="AI802" s="350">
        <v>123174388.52044332</v>
      </c>
      <c r="AJ802" s="350">
        <v>124127140.60036376</v>
      </c>
      <c r="AK802" s="348">
        <v>611104717.25061548</v>
      </c>
      <c r="AL802" s="369"/>
      <c r="AM802" s="350">
        <v>151634481.8758769</v>
      </c>
      <c r="AN802" s="350">
        <v>184582234.17296627</v>
      </c>
      <c r="AO802" s="350">
        <v>217972101.08966213</v>
      </c>
      <c r="AP802" s="350">
        <v>251860788.91105527</v>
      </c>
      <c r="AQ802" s="350">
        <v>286256847.25446647</v>
      </c>
      <c r="AR802" s="348">
        <v>1092306453.3040271</v>
      </c>
      <c r="AS802" s="369"/>
      <c r="AT802" s="350">
        <f t="shared" si="339"/>
        <v>31339630.120529175</v>
      </c>
      <c r="AU802" s="350">
        <f t="shared" si="322"/>
        <v>63300723.986639529</v>
      </c>
      <c r="AV802" s="350">
        <f t="shared" si="323"/>
        <v>95745274.901528209</v>
      </c>
      <c r="AW802" s="350">
        <f t="shared" si="324"/>
        <v>128686400.39061195</v>
      </c>
      <c r="AX802" s="350">
        <f t="shared" si="325"/>
        <v>162129706.65410271</v>
      </c>
      <c r="AY802" s="350">
        <f t="shared" si="326"/>
        <v>481201736.0534116</v>
      </c>
      <c r="AZ802" s="365"/>
      <c r="BA802" s="377">
        <f t="shared" si="327"/>
        <v>0</v>
      </c>
      <c r="BB802" s="377">
        <f t="shared" si="328"/>
        <v>0</v>
      </c>
      <c r="BC802" s="377">
        <f t="shared" si="329"/>
        <v>0</v>
      </c>
      <c r="BD802" s="377">
        <f t="shared" si="330"/>
        <v>0</v>
      </c>
      <c r="BE802" s="377">
        <f t="shared" si="331"/>
        <v>0</v>
      </c>
      <c r="BF802" s="377">
        <f t="shared" si="332"/>
        <v>0</v>
      </c>
      <c r="BG802" s="328"/>
    </row>
    <row r="803" spans="2:59">
      <c r="B803" s="332">
        <v>788</v>
      </c>
      <c r="C803" s="350">
        <v>130202819.69590971</v>
      </c>
      <c r="D803" s="350">
        <v>131270743.28462225</v>
      </c>
      <c r="E803" s="350">
        <v>132293919.31537446</v>
      </c>
      <c r="F803" s="350">
        <v>133319526.69344606</v>
      </c>
      <c r="G803" s="350">
        <v>134350751.2676205</v>
      </c>
      <c r="H803" s="348">
        <v>661437760.25697303</v>
      </c>
      <c r="I803" s="369"/>
      <c r="J803" s="350">
        <v>162380508.22121638</v>
      </c>
      <c r="K803" s="350">
        <v>196272176.93291703</v>
      </c>
      <c r="L803" s="350">
        <v>230615607.65087518</v>
      </c>
      <c r="M803" s="350">
        <v>265471448.0268603</v>
      </c>
      <c r="N803" s="350">
        <v>300848641.24342203</v>
      </c>
      <c r="O803" s="348">
        <v>1155588382.0752909</v>
      </c>
      <c r="P803" s="369"/>
      <c r="Q803" s="350">
        <f t="shared" si="333"/>
        <v>32177688.525306672</v>
      </c>
      <c r="R803" s="350">
        <f t="shared" si="334"/>
        <v>65001433.648294777</v>
      </c>
      <c r="S803" s="350">
        <f t="shared" si="335"/>
        <v>98321688.335500717</v>
      </c>
      <c r="T803" s="350">
        <f t="shared" si="336"/>
        <v>132151921.33341424</v>
      </c>
      <c r="U803" s="350">
        <f t="shared" si="337"/>
        <v>166497889.97580153</v>
      </c>
      <c r="V803" s="350">
        <f t="shared" si="338"/>
        <v>494150621.81831789</v>
      </c>
      <c r="W803" s="365"/>
      <c r="X803" s="377">
        <f t="shared" si="316"/>
        <v>0</v>
      </c>
      <c r="Y803" s="377">
        <f t="shared" si="317"/>
        <v>0</v>
      </c>
      <c r="Z803" s="377">
        <f t="shared" si="318"/>
        <v>0</v>
      </c>
      <c r="AA803" s="377">
        <f t="shared" si="319"/>
        <v>0</v>
      </c>
      <c r="AB803" s="377">
        <f t="shared" si="320"/>
        <v>0</v>
      </c>
      <c r="AC803" s="377">
        <f t="shared" si="321"/>
        <v>0</v>
      </c>
      <c r="AD803" s="376"/>
      <c r="AE803" s="332">
        <v>788</v>
      </c>
      <c r="AF803" s="350">
        <v>134250613.52280161</v>
      </c>
      <c r="AG803" s="350">
        <v>135351737.11839631</v>
      </c>
      <c r="AH803" s="350">
        <v>136406722.02725708</v>
      </c>
      <c r="AI803" s="350">
        <v>137464213.87006971</v>
      </c>
      <c r="AJ803" s="350">
        <v>138527497.53847289</v>
      </c>
      <c r="AK803" s="348">
        <v>682000784.07699764</v>
      </c>
      <c r="AL803" s="369"/>
      <c r="AM803" s="350">
        <v>170021076.31371894</v>
      </c>
      <c r="AN803" s="350">
        <v>207591327.43111417</v>
      </c>
      <c r="AO803" s="350">
        <v>245667082.40795678</v>
      </c>
      <c r="AP803" s="350">
        <v>284311958.36861455</v>
      </c>
      <c r="AQ803" s="350">
        <v>323535637.38841122</v>
      </c>
      <c r="AR803" s="348">
        <v>1231127081.9098155</v>
      </c>
      <c r="AS803" s="369"/>
      <c r="AT803" s="350">
        <f t="shared" si="339"/>
        <v>35770462.790917337</v>
      </c>
      <c r="AU803" s="350">
        <f t="shared" si="322"/>
        <v>72239590.312717855</v>
      </c>
      <c r="AV803" s="350">
        <f t="shared" si="323"/>
        <v>109260360.38069969</v>
      </c>
      <c r="AW803" s="350">
        <f t="shared" si="324"/>
        <v>146847744.49854484</v>
      </c>
      <c r="AX803" s="350">
        <f t="shared" si="325"/>
        <v>185008139.84993833</v>
      </c>
      <c r="AY803" s="350">
        <f t="shared" si="326"/>
        <v>549126297.83281791</v>
      </c>
      <c r="AZ803" s="365"/>
      <c r="BA803" s="377">
        <f t="shared" si="327"/>
        <v>0</v>
      </c>
      <c r="BB803" s="377">
        <f t="shared" si="328"/>
        <v>0</v>
      </c>
      <c r="BC803" s="377">
        <f t="shared" si="329"/>
        <v>0</v>
      </c>
      <c r="BD803" s="377">
        <f t="shared" si="330"/>
        <v>0</v>
      </c>
      <c r="BE803" s="377">
        <f t="shared" si="331"/>
        <v>0</v>
      </c>
      <c r="BF803" s="377">
        <f t="shared" si="332"/>
        <v>0</v>
      </c>
      <c r="BG803" s="328"/>
    </row>
    <row r="804" spans="2:59">
      <c r="B804" s="332">
        <v>789</v>
      </c>
      <c r="C804" s="350">
        <v>133546683.97329605</v>
      </c>
      <c r="D804" s="350">
        <v>134642033.93839285</v>
      </c>
      <c r="E804" s="350">
        <v>135691487.1403054</v>
      </c>
      <c r="F804" s="350">
        <v>136743434.13131449</v>
      </c>
      <c r="G804" s="350">
        <v>137801142.57906088</v>
      </c>
      <c r="H804" s="348">
        <v>678424781.76236975</v>
      </c>
      <c r="I804" s="369"/>
      <c r="J804" s="350">
        <v>161923024.81118345</v>
      </c>
      <c r="K804" s="350">
        <v>191962726.82991815</v>
      </c>
      <c r="L804" s="350">
        <v>222394359.07418299</v>
      </c>
      <c r="M804" s="350">
        <v>253278189.6013993</v>
      </c>
      <c r="N804" s="350">
        <v>284622563.00086212</v>
      </c>
      <c r="O804" s="348">
        <v>1114180863.3175459</v>
      </c>
      <c r="P804" s="369"/>
      <c r="Q804" s="350">
        <f t="shared" si="333"/>
        <v>28376340.837887406</v>
      </c>
      <c r="R804" s="350">
        <f t="shared" si="334"/>
        <v>57320692.891525298</v>
      </c>
      <c r="S804" s="350">
        <f t="shared" si="335"/>
        <v>86702871.933877587</v>
      </c>
      <c r="T804" s="350">
        <f t="shared" si="336"/>
        <v>116534755.47008482</v>
      </c>
      <c r="U804" s="350">
        <f t="shared" si="337"/>
        <v>146821420.42180124</v>
      </c>
      <c r="V804" s="350">
        <f t="shared" si="338"/>
        <v>435756081.55517614</v>
      </c>
      <c r="W804" s="365"/>
      <c r="X804" s="377">
        <f t="shared" si="316"/>
        <v>0</v>
      </c>
      <c r="Y804" s="377">
        <f t="shared" si="317"/>
        <v>0</v>
      </c>
      <c r="Z804" s="377">
        <f t="shared" si="318"/>
        <v>0</v>
      </c>
      <c r="AA804" s="377">
        <f t="shared" si="319"/>
        <v>0</v>
      </c>
      <c r="AB804" s="377">
        <f t="shared" si="320"/>
        <v>0</v>
      </c>
      <c r="AC804" s="377">
        <f t="shared" si="321"/>
        <v>0</v>
      </c>
      <c r="AD804" s="376"/>
      <c r="AE804" s="332">
        <v>789</v>
      </c>
      <c r="AF804" s="350">
        <v>118288934.96095881</v>
      </c>
      <c r="AG804" s="350">
        <v>119259140.86144178</v>
      </c>
      <c r="AH804" s="350">
        <v>120188693.71780789</v>
      </c>
      <c r="AI804" s="350">
        <v>121120455.44711253</v>
      </c>
      <c r="AJ804" s="350">
        <v>122057320.38498059</v>
      </c>
      <c r="AK804" s="348">
        <v>600914545.37230158</v>
      </c>
      <c r="AL804" s="369"/>
      <c r="AM804" s="350">
        <v>152952572.86705375</v>
      </c>
      <c r="AN804" s="350">
        <v>189268311.72255778</v>
      </c>
      <c r="AO804" s="350">
        <v>226078046.50702339</v>
      </c>
      <c r="AP804" s="350">
        <v>263439147.65596569</v>
      </c>
      <c r="AQ804" s="350">
        <v>301360709.48442984</v>
      </c>
      <c r="AR804" s="348">
        <v>1133098788.2370305</v>
      </c>
      <c r="AS804" s="369"/>
      <c r="AT804" s="350">
        <f t="shared" si="339"/>
        <v>34663637.906094939</v>
      </c>
      <c r="AU804" s="350">
        <f t="shared" si="322"/>
        <v>70009170.861116007</v>
      </c>
      <c r="AV804" s="350">
        <f t="shared" si="323"/>
        <v>105889352.78921551</v>
      </c>
      <c r="AW804" s="350">
        <f t="shared" si="324"/>
        <v>142318692.20885316</v>
      </c>
      <c r="AX804" s="350">
        <f t="shared" si="325"/>
        <v>179303389.09944925</v>
      </c>
      <c r="AY804" s="350">
        <f t="shared" si="326"/>
        <v>532184242.86472893</v>
      </c>
      <c r="AZ804" s="365"/>
      <c r="BA804" s="377">
        <f t="shared" si="327"/>
        <v>0</v>
      </c>
      <c r="BB804" s="377">
        <f t="shared" si="328"/>
        <v>0</v>
      </c>
      <c r="BC804" s="377">
        <f t="shared" si="329"/>
        <v>0</v>
      </c>
      <c r="BD804" s="377">
        <f t="shared" si="330"/>
        <v>0</v>
      </c>
      <c r="BE804" s="377">
        <f t="shared" si="331"/>
        <v>0</v>
      </c>
      <c r="BF804" s="377">
        <f t="shared" si="332"/>
        <v>0</v>
      </c>
      <c r="BG804" s="328"/>
    </row>
    <row r="805" spans="2:59">
      <c r="B805" s="332">
        <v>790</v>
      </c>
      <c r="C805" s="350">
        <v>112390029.15707964</v>
      </c>
      <c r="D805" s="350">
        <v>113311852.22936986</v>
      </c>
      <c r="E805" s="350">
        <v>114195049.56870268</v>
      </c>
      <c r="F805" s="350">
        <v>115080345.6275315</v>
      </c>
      <c r="G805" s="350">
        <v>115970490.40496139</v>
      </c>
      <c r="H805" s="348">
        <v>570947766.98764503</v>
      </c>
      <c r="I805" s="369"/>
      <c r="J805" s="350">
        <v>146624262.27338824</v>
      </c>
      <c r="K805" s="350">
        <v>182458402.74666542</v>
      </c>
      <c r="L805" s="350">
        <v>218782015.63314375</v>
      </c>
      <c r="M805" s="350">
        <v>255650154.43332767</v>
      </c>
      <c r="N805" s="350">
        <v>293071693.02959979</v>
      </c>
      <c r="O805" s="348">
        <v>1096586528.1161249</v>
      </c>
      <c r="P805" s="369"/>
      <c r="Q805" s="350">
        <f t="shared" si="333"/>
        <v>34234233.1163086</v>
      </c>
      <c r="R805" s="350">
        <f t="shared" si="334"/>
        <v>69146550.517295554</v>
      </c>
      <c r="S805" s="350">
        <f t="shared" si="335"/>
        <v>104586966.06444107</v>
      </c>
      <c r="T805" s="350">
        <f t="shared" si="336"/>
        <v>140569808.80579618</v>
      </c>
      <c r="U805" s="350">
        <f t="shared" si="337"/>
        <v>177101202.62463838</v>
      </c>
      <c r="V805" s="350">
        <f t="shared" si="338"/>
        <v>525638761.12847984</v>
      </c>
      <c r="W805" s="365"/>
      <c r="X805" s="377">
        <f t="shared" si="316"/>
        <v>0</v>
      </c>
      <c r="Y805" s="377">
        <f t="shared" si="317"/>
        <v>0</v>
      </c>
      <c r="Z805" s="377">
        <f t="shared" si="318"/>
        <v>0</v>
      </c>
      <c r="AA805" s="377">
        <f t="shared" si="319"/>
        <v>0</v>
      </c>
      <c r="AB805" s="377">
        <f t="shared" si="320"/>
        <v>0</v>
      </c>
      <c r="AC805" s="377">
        <f t="shared" si="321"/>
        <v>0</v>
      </c>
      <c r="AD805" s="376"/>
      <c r="AE805" s="332">
        <v>790</v>
      </c>
      <c r="AF805" s="350">
        <v>107872613.90527959</v>
      </c>
      <c r="AG805" s="350">
        <v>108757385.13553849</v>
      </c>
      <c r="AH805" s="350">
        <v>109605083.15913153</v>
      </c>
      <c r="AI805" s="350">
        <v>110454795.54609454</v>
      </c>
      <c r="AJ805" s="350">
        <v>111309161.76181367</v>
      </c>
      <c r="AK805" s="348">
        <v>547999039.5078578</v>
      </c>
      <c r="AL805" s="369"/>
      <c r="AM805" s="350">
        <v>139708106.6081399</v>
      </c>
      <c r="AN805" s="350">
        <v>173039215.91977239</v>
      </c>
      <c r="AO805" s="350">
        <v>206824039.62713641</v>
      </c>
      <c r="AP805" s="350">
        <v>241114989.23770803</v>
      </c>
      <c r="AQ805" s="350">
        <v>275920395.99790031</v>
      </c>
      <c r="AR805" s="348">
        <v>1036606747.3906569</v>
      </c>
      <c r="AS805" s="369"/>
      <c r="AT805" s="350">
        <f t="shared" si="339"/>
        <v>31835492.702860311</v>
      </c>
      <c r="AU805" s="350">
        <f t="shared" si="322"/>
        <v>64281830.784233898</v>
      </c>
      <c r="AV805" s="350">
        <f t="shared" si="323"/>
        <v>97218956.468004882</v>
      </c>
      <c r="AW805" s="350">
        <f t="shared" si="324"/>
        <v>130660193.6916135</v>
      </c>
      <c r="AX805" s="350">
        <f t="shared" si="325"/>
        <v>164611234.23608664</v>
      </c>
      <c r="AY805" s="350">
        <f t="shared" si="326"/>
        <v>488607707.88279915</v>
      </c>
      <c r="AZ805" s="365"/>
      <c r="BA805" s="377">
        <f t="shared" si="327"/>
        <v>0</v>
      </c>
      <c r="BB805" s="377">
        <f t="shared" si="328"/>
        <v>0</v>
      </c>
      <c r="BC805" s="377">
        <f t="shared" si="329"/>
        <v>0</v>
      </c>
      <c r="BD805" s="377">
        <f t="shared" si="330"/>
        <v>0</v>
      </c>
      <c r="BE805" s="377">
        <f t="shared" si="331"/>
        <v>0</v>
      </c>
      <c r="BF805" s="377">
        <f t="shared" si="332"/>
        <v>0</v>
      </c>
      <c r="BG805" s="328"/>
    </row>
    <row r="806" spans="2:59">
      <c r="B806" s="332">
        <v>791</v>
      </c>
      <c r="C806" s="350">
        <v>126946425.48168296</v>
      </c>
      <c r="D806" s="350">
        <v>127987640.12351063</v>
      </c>
      <c r="E806" s="350">
        <v>128985226.35125804</v>
      </c>
      <c r="F806" s="350">
        <v>129985183.11792341</v>
      </c>
      <c r="G806" s="350">
        <v>130990616.59368113</v>
      </c>
      <c r="H806" s="348">
        <v>644895091.66805613</v>
      </c>
      <c r="I806" s="369"/>
      <c r="J806" s="350">
        <v>164885819.95751581</v>
      </c>
      <c r="K806" s="350">
        <v>204617669.24203384</v>
      </c>
      <c r="L806" s="350">
        <v>244891140.53949943</v>
      </c>
      <c r="M806" s="350">
        <v>285768112.6668303</v>
      </c>
      <c r="N806" s="350">
        <v>327258478.42806858</v>
      </c>
      <c r="O806" s="348">
        <v>1227421220.8339479</v>
      </c>
      <c r="P806" s="369"/>
      <c r="Q806" s="350">
        <f t="shared" si="333"/>
        <v>37939394.47583285</v>
      </c>
      <c r="R806" s="350">
        <f t="shared" si="334"/>
        <v>76630029.11852321</v>
      </c>
      <c r="S806" s="350">
        <f t="shared" si="335"/>
        <v>115905914.18824139</v>
      </c>
      <c r="T806" s="350">
        <f t="shared" si="336"/>
        <v>155782929.54890689</v>
      </c>
      <c r="U806" s="350">
        <f t="shared" si="337"/>
        <v>196267861.83438745</v>
      </c>
      <c r="V806" s="350">
        <f t="shared" si="338"/>
        <v>582526129.16589177</v>
      </c>
      <c r="W806" s="365"/>
      <c r="X806" s="377">
        <f t="shared" si="316"/>
        <v>0</v>
      </c>
      <c r="Y806" s="377">
        <f t="shared" si="317"/>
        <v>0</v>
      </c>
      <c r="Z806" s="377">
        <f t="shared" si="318"/>
        <v>0</v>
      </c>
      <c r="AA806" s="377">
        <f t="shared" si="319"/>
        <v>0</v>
      </c>
      <c r="AB806" s="377">
        <f t="shared" si="320"/>
        <v>0</v>
      </c>
      <c r="AC806" s="377">
        <f t="shared" si="321"/>
        <v>0</v>
      </c>
      <c r="AD806" s="376"/>
      <c r="AE806" s="332">
        <v>791</v>
      </c>
      <c r="AF806" s="350">
        <v>161727619.54446429</v>
      </c>
      <c r="AG806" s="350">
        <v>163054109.55644125</v>
      </c>
      <c r="AH806" s="350">
        <v>164325017.6997132</v>
      </c>
      <c r="AI806" s="350">
        <v>165598945.86985695</v>
      </c>
      <c r="AJ806" s="350">
        <v>166879851.27564222</v>
      </c>
      <c r="AK806" s="348">
        <v>821585543.94611788</v>
      </c>
      <c r="AL806" s="369"/>
      <c r="AM806" s="350">
        <v>205427530.30878961</v>
      </c>
      <c r="AN806" s="350">
        <v>251311173.51016253</v>
      </c>
      <c r="AO806" s="350">
        <v>297813220.91061568</v>
      </c>
      <c r="AP806" s="350">
        <v>345010564.93593085</v>
      </c>
      <c r="AQ806" s="350">
        <v>392914978.64460081</v>
      </c>
      <c r="AR806" s="348">
        <v>1492477468.3100996</v>
      </c>
      <c r="AS806" s="369"/>
      <c r="AT806" s="350">
        <f t="shared" si="339"/>
        <v>43699910.764325321</v>
      </c>
      <c r="AU806" s="350">
        <f t="shared" si="322"/>
        <v>88257063.953721285</v>
      </c>
      <c r="AV806" s="350">
        <f t="shared" si="323"/>
        <v>133488203.21090248</v>
      </c>
      <c r="AW806" s="350">
        <f t="shared" si="324"/>
        <v>179411619.06607389</v>
      </c>
      <c r="AX806" s="350">
        <f t="shared" si="325"/>
        <v>226035127.36895859</v>
      </c>
      <c r="AY806" s="350">
        <f t="shared" si="326"/>
        <v>670891924.36398172</v>
      </c>
      <c r="AZ806" s="365"/>
      <c r="BA806" s="377">
        <f t="shared" si="327"/>
        <v>0</v>
      </c>
      <c r="BB806" s="377">
        <f t="shared" si="328"/>
        <v>0</v>
      </c>
      <c r="BC806" s="377">
        <f t="shared" si="329"/>
        <v>0</v>
      </c>
      <c r="BD806" s="377">
        <f t="shared" si="330"/>
        <v>0</v>
      </c>
      <c r="BE806" s="377">
        <f t="shared" si="331"/>
        <v>0</v>
      </c>
      <c r="BF806" s="377">
        <f t="shared" si="332"/>
        <v>0</v>
      </c>
      <c r="BG806" s="328"/>
    </row>
    <row r="807" spans="2:59">
      <c r="B807" s="332">
        <v>792</v>
      </c>
      <c r="C807" s="350">
        <v>143921243.18333271</v>
      </c>
      <c r="D807" s="350">
        <v>145101685.28797585</v>
      </c>
      <c r="E807" s="350">
        <v>146232665.14451936</v>
      </c>
      <c r="F807" s="350">
        <v>147366332.51988655</v>
      </c>
      <c r="G807" s="350">
        <v>148506208.93011335</v>
      </c>
      <c r="H807" s="348">
        <v>731128135.06582785</v>
      </c>
      <c r="I807" s="369"/>
      <c r="J807" s="350">
        <v>180075773.12874466</v>
      </c>
      <c r="K807" s="350">
        <v>218114090.61517411</v>
      </c>
      <c r="L807" s="350">
        <v>256660467.40734175</v>
      </c>
      <c r="M807" s="350">
        <v>295782185.36801982</v>
      </c>
      <c r="N807" s="350">
        <v>335489231.45285571</v>
      </c>
      <c r="O807" s="348">
        <v>1286121747.972136</v>
      </c>
      <c r="P807" s="369"/>
      <c r="Q807" s="350">
        <f t="shared" si="333"/>
        <v>36154529.94541195</v>
      </c>
      <c r="R807" s="350">
        <f t="shared" si="334"/>
        <v>73012405.327198267</v>
      </c>
      <c r="S807" s="350">
        <f t="shared" si="335"/>
        <v>110427802.26282239</v>
      </c>
      <c r="T807" s="350">
        <f t="shared" si="336"/>
        <v>148415852.84813327</v>
      </c>
      <c r="U807" s="350">
        <f t="shared" si="337"/>
        <v>186983022.52274236</v>
      </c>
      <c r="V807" s="350">
        <f t="shared" si="338"/>
        <v>554993612.90630817</v>
      </c>
      <c r="W807" s="365"/>
      <c r="X807" s="377">
        <f t="shared" si="316"/>
        <v>0</v>
      </c>
      <c r="Y807" s="377">
        <f t="shared" si="317"/>
        <v>0</v>
      </c>
      <c r="Z807" s="377">
        <f t="shared" si="318"/>
        <v>0</v>
      </c>
      <c r="AA807" s="377">
        <f t="shared" si="319"/>
        <v>0</v>
      </c>
      <c r="AB807" s="377">
        <f t="shared" si="320"/>
        <v>0</v>
      </c>
      <c r="AC807" s="377">
        <f t="shared" si="321"/>
        <v>0</v>
      </c>
      <c r="AD807" s="376"/>
      <c r="AE807" s="332">
        <v>792</v>
      </c>
      <c r="AF807" s="350">
        <v>101827957.57761112</v>
      </c>
      <c r="AG807" s="350">
        <v>102663150.53381227</v>
      </c>
      <c r="AH807" s="350">
        <v>103463347.68543458</v>
      </c>
      <c r="AI807" s="350">
        <v>104265446.32530639</v>
      </c>
      <c r="AJ807" s="350">
        <v>105071938.01601836</v>
      </c>
      <c r="AK807" s="348">
        <v>517291840.13818276</v>
      </c>
      <c r="AL807" s="369"/>
      <c r="AM807" s="350">
        <v>130940814.75668056</v>
      </c>
      <c r="AN807" s="350">
        <v>161447985.11541289</v>
      </c>
      <c r="AO807" s="350">
        <v>192368982.16382775</v>
      </c>
      <c r="AP807" s="350">
        <v>223752887.67084765</v>
      </c>
      <c r="AQ807" s="350">
        <v>255607398.28619879</v>
      </c>
      <c r="AR807" s="348">
        <v>964118067.99296761</v>
      </c>
      <c r="AS807" s="369"/>
      <c r="AT807" s="350">
        <f t="shared" si="339"/>
        <v>29112857.179069445</v>
      </c>
      <c r="AU807" s="350">
        <f t="shared" si="322"/>
        <v>58784834.581600621</v>
      </c>
      <c r="AV807" s="350">
        <f t="shared" si="323"/>
        <v>88905634.478393167</v>
      </c>
      <c r="AW807" s="350">
        <f t="shared" si="324"/>
        <v>119487441.34554127</v>
      </c>
      <c r="AX807" s="350">
        <f t="shared" si="325"/>
        <v>150535460.27018043</v>
      </c>
      <c r="AY807" s="350">
        <f t="shared" si="326"/>
        <v>446826227.85478485</v>
      </c>
      <c r="AZ807" s="365"/>
      <c r="BA807" s="377">
        <f t="shared" si="327"/>
        <v>0</v>
      </c>
      <c r="BB807" s="377">
        <f t="shared" si="328"/>
        <v>0</v>
      </c>
      <c r="BC807" s="377">
        <f t="shared" si="329"/>
        <v>0</v>
      </c>
      <c r="BD807" s="377">
        <f t="shared" si="330"/>
        <v>0</v>
      </c>
      <c r="BE807" s="377">
        <f t="shared" si="331"/>
        <v>0</v>
      </c>
      <c r="BF807" s="377">
        <f t="shared" si="332"/>
        <v>0</v>
      </c>
      <c r="BG807" s="328"/>
    </row>
    <row r="808" spans="2:59">
      <c r="B808" s="332">
        <v>793</v>
      </c>
      <c r="C808" s="350">
        <v>147679896.84029198</v>
      </c>
      <c r="D808" s="350">
        <v>148891167.42400688</v>
      </c>
      <c r="E808" s="350">
        <v>150051684.00132707</v>
      </c>
      <c r="F808" s="350">
        <v>151214958.2848334</v>
      </c>
      <c r="G808" s="350">
        <v>152384603.7586329</v>
      </c>
      <c r="H808" s="348">
        <v>750222310.30909228</v>
      </c>
      <c r="I808" s="369"/>
      <c r="J808" s="350">
        <v>181764240.20657453</v>
      </c>
      <c r="K808" s="350">
        <v>217742020.37242046</v>
      </c>
      <c r="L808" s="350">
        <v>254194942.38882172</v>
      </c>
      <c r="M808" s="350">
        <v>291190784.67047727</v>
      </c>
      <c r="N808" s="350">
        <v>328739258.84846735</v>
      </c>
      <c r="O808" s="348">
        <v>1273631246.4867613</v>
      </c>
      <c r="P808" s="369"/>
      <c r="Q808" s="350">
        <f t="shared" si="333"/>
        <v>34084343.366282552</v>
      </c>
      <c r="R808" s="350">
        <f t="shared" si="334"/>
        <v>68850852.948413581</v>
      </c>
      <c r="S808" s="350">
        <f t="shared" si="335"/>
        <v>104143258.38749465</v>
      </c>
      <c r="T808" s="350">
        <f t="shared" si="336"/>
        <v>139975826.38564387</v>
      </c>
      <c r="U808" s="350">
        <f t="shared" si="337"/>
        <v>176354655.08983445</v>
      </c>
      <c r="V808" s="350">
        <f t="shared" si="338"/>
        <v>523408936.17766905</v>
      </c>
      <c r="W808" s="365"/>
      <c r="X808" s="377">
        <f t="shared" si="316"/>
        <v>0</v>
      </c>
      <c r="Y808" s="377">
        <f t="shared" si="317"/>
        <v>0</v>
      </c>
      <c r="Z808" s="377">
        <f t="shared" si="318"/>
        <v>0</v>
      </c>
      <c r="AA808" s="377">
        <f t="shared" si="319"/>
        <v>0</v>
      </c>
      <c r="AB808" s="377">
        <f t="shared" si="320"/>
        <v>0</v>
      </c>
      <c r="AC808" s="377">
        <f t="shared" si="321"/>
        <v>0</v>
      </c>
      <c r="AD808" s="376"/>
      <c r="AE808" s="332">
        <v>793</v>
      </c>
      <c r="AF808" s="350">
        <v>126057260.26643609</v>
      </c>
      <c r="AG808" s="350">
        <v>127091181.97474784</v>
      </c>
      <c r="AH808" s="350">
        <v>128081780.85354429</v>
      </c>
      <c r="AI808" s="350">
        <v>129074733.66739812</v>
      </c>
      <c r="AJ808" s="350">
        <v>130073124.83007374</v>
      </c>
      <c r="AK808" s="348">
        <v>640378081.59220004</v>
      </c>
      <c r="AL808" s="369"/>
      <c r="AM808" s="350">
        <v>161038317.15337533</v>
      </c>
      <c r="AN808" s="350">
        <v>197729375.45787439</v>
      </c>
      <c r="AO808" s="350">
        <v>234916467.75551</v>
      </c>
      <c r="AP808" s="350">
        <v>272659911.51542634</v>
      </c>
      <c r="AQ808" s="350">
        <v>310969046.06395173</v>
      </c>
      <c r="AR808" s="348">
        <v>1177313117.9461377</v>
      </c>
      <c r="AS808" s="369"/>
      <c r="AT808" s="350">
        <f t="shared" si="339"/>
        <v>34981056.886939242</v>
      </c>
      <c r="AU808" s="350">
        <f t="shared" si="322"/>
        <v>70638193.483126551</v>
      </c>
      <c r="AV808" s="350">
        <f t="shared" si="323"/>
        <v>106834686.90196571</v>
      </c>
      <c r="AW808" s="350">
        <f t="shared" si="324"/>
        <v>143585177.84802821</v>
      </c>
      <c r="AX808" s="350">
        <f t="shared" si="325"/>
        <v>180895921.23387799</v>
      </c>
      <c r="AY808" s="350">
        <f t="shared" si="326"/>
        <v>536935036.35393763</v>
      </c>
      <c r="AZ808" s="365"/>
      <c r="BA808" s="377">
        <f t="shared" si="327"/>
        <v>0</v>
      </c>
      <c r="BB808" s="377">
        <f t="shared" si="328"/>
        <v>0</v>
      </c>
      <c r="BC808" s="377">
        <f t="shared" si="329"/>
        <v>0</v>
      </c>
      <c r="BD808" s="377">
        <f t="shared" si="330"/>
        <v>0</v>
      </c>
      <c r="BE808" s="377">
        <f t="shared" si="331"/>
        <v>0</v>
      </c>
      <c r="BF808" s="377">
        <f t="shared" si="332"/>
        <v>0</v>
      </c>
      <c r="BG808" s="328"/>
    </row>
    <row r="809" spans="2:59">
      <c r="B809" s="332">
        <v>794</v>
      </c>
      <c r="C809" s="350">
        <v>149084244.50898483</v>
      </c>
      <c r="D809" s="350">
        <v>150307033.55294231</v>
      </c>
      <c r="E809" s="350">
        <v>151478585.95019948</v>
      </c>
      <c r="F809" s="350">
        <v>152652922.2777825</v>
      </c>
      <c r="G809" s="350">
        <v>153833690.38187546</v>
      </c>
      <c r="H809" s="348">
        <v>757356476.67178464</v>
      </c>
      <c r="I809" s="369"/>
      <c r="J809" s="350">
        <v>183605538.63008165</v>
      </c>
      <c r="K809" s="350">
        <v>220028453.78653157</v>
      </c>
      <c r="L809" s="350">
        <v>256932581.67269978</v>
      </c>
      <c r="M809" s="350">
        <v>294386391.79125583</v>
      </c>
      <c r="N809" s="350">
        <v>332399706.46789563</v>
      </c>
      <c r="O809" s="348">
        <v>1287352672.3484645</v>
      </c>
      <c r="P809" s="369"/>
      <c r="Q809" s="350">
        <f t="shared" si="333"/>
        <v>34521294.12109682</v>
      </c>
      <c r="R809" s="350">
        <f t="shared" si="334"/>
        <v>69721420.233589262</v>
      </c>
      <c r="S809" s="350">
        <f t="shared" si="335"/>
        <v>105453995.72250029</v>
      </c>
      <c r="T809" s="350">
        <f t="shared" si="336"/>
        <v>141733469.51347333</v>
      </c>
      <c r="U809" s="350">
        <f t="shared" si="337"/>
        <v>178566016.08602017</v>
      </c>
      <c r="V809" s="350">
        <f t="shared" si="338"/>
        <v>529996195.67667985</v>
      </c>
      <c r="W809" s="365"/>
      <c r="X809" s="377">
        <f t="shared" si="316"/>
        <v>0</v>
      </c>
      <c r="Y809" s="377">
        <f t="shared" si="317"/>
        <v>0</v>
      </c>
      <c r="Z809" s="377">
        <f t="shared" si="318"/>
        <v>0</v>
      </c>
      <c r="AA809" s="377">
        <f t="shared" si="319"/>
        <v>0</v>
      </c>
      <c r="AB809" s="377">
        <f t="shared" si="320"/>
        <v>0</v>
      </c>
      <c r="AC809" s="377">
        <f t="shared" si="321"/>
        <v>0</v>
      </c>
      <c r="AD809" s="376"/>
      <c r="AE809" s="332">
        <v>794</v>
      </c>
      <c r="AF809" s="350">
        <v>140089882.7828415</v>
      </c>
      <c r="AG809" s="350">
        <v>141238900.0676682</v>
      </c>
      <c r="AH809" s="350">
        <v>142339771.85023826</v>
      </c>
      <c r="AI809" s="350">
        <v>143443259.60657743</v>
      </c>
      <c r="AJ809" s="350">
        <v>144552791.10563621</v>
      </c>
      <c r="AK809" s="348">
        <v>711664605.4129616</v>
      </c>
      <c r="AL809" s="369"/>
      <c r="AM809" s="350">
        <v>175519578.35193095</v>
      </c>
      <c r="AN809" s="350">
        <v>212802013.91661456</v>
      </c>
      <c r="AO809" s="350">
        <v>250582873.90801328</v>
      </c>
      <c r="AP809" s="350">
        <v>288927749.33071959</v>
      </c>
      <c r="AQ809" s="350">
        <v>327846405.98263502</v>
      </c>
      <c r="AR809" s="348">
        <v>1255678621.4899135</v>
      </c>
      <c r="AS809" s="369"/>
      <c r="AT809" s="350">
        <f t="shared" si="339"/>
        <v>35429695.569089442</v>
      </c>
      <c r="AU809" s="350">
        <f t="shared" si="322"/>
        <v>71563113.848946363</v>
      </c>
      <c r="AV809" s="350">
        <f t="shared" si="323"/>
        <v>108243102.05777502</v>
      </c>
      <c r="AW809" s="350">
        <f t="shared" si="324"/>
        <v>145484489.72414216</v>
      </c>
      <c r="AX809" s="350">
        <f t="shared" si="325"/>
        <v>183293614.87699881</v>
      </c>
      <c r="AY809" s="350">
        <f t="shared" si="326"/>
        <v>544014016.07695186</v>
      </c>
      <c r="AZ809" s="365"/>
      <c r="BA809" s="377">
        <f t="shared" si="327"/>
        <v>0</v>
      </c>
      <c r="BB809" s="377">
        <f t="shared" si="328"/>
        <v>0</v>
      </c>
      <c r="BC809" s="377">
        <f t="shared" si="329"/>
        <v>0</v>
      </c>
      <c r="BD809" s="377">
        <f t="shared" si="330"/>
        <v>0</v>
      </c>
      <c r="BE809" s="377">
        <f t="shared" si="331"/>
        <v>0</v>
      </c>
      <c r="BF809" s="377">
        <f t="shared" si="332"/>
        <v>0</v>
      </c>
      <c r="BG809" s="328"/>
    </row>
    <row r="810" spans="2:59">
      <c r="B810" s="332">
        <v>795</v>
      </c>
      <c r="C810" s="350">
        <v>116191929.67145842</v>
      </c>
      <c r="D810" s="350">
        <v>117144935.93356535</v>
      </c>
      <c r="E810" s="350">
        <v>118058009.84152168</v>
      </c>
      <c r="F810" s="350">
        <v>118973253.46390824</v>
      </c>
      <c r="G810" s="350">
        <v>119893509.82608065</v>
      </c>
      <c r="H810" s="348">
        <v>590261638.73653436</v>
      </c>
      <c r="I810" s="369"/>
      <c r="J810" s="350">
        <v>145310097.81610629</v>
      </c>
      <c r="K810" s="350">
        <v>175960077.65556961</v>
      </c>
      <c r="L810" s="350">
        <v>207019334.79095942</v>
      </c>
      <c r="M810" s="350">
        <v>238542159.07786462</v>
      </c>
      <c r="N810" s="350">
        <v>270536602.56754524</v>
      </c>
      <c r="O810" s="348">
        <v>1037368271.9080451</v>
      </c>
      <c r="P810" s="369"/>
      <c r="Q810" s="350">
        <f t="shared" si="333"/>
        <v>29118168.144647866</v>
      </c>
      <c r="R810" s="350">
        <f t="shared" si="334"/>
        <v>58815141.722004265</v>
      </c>
      <c r="S810" s="350">
        <f t="shared" si="335"/>
        <v>88961324.949437737</v>
      </c>
      <c r="T810" s="350">
        <f t="shared" si="336"/>
        <v>119568905.61395638</v>
      </c>
      <c r="U810" s="350">
        <f t="shared" si="337"/>
        <v>150643092.74146459</v>
      </c>
      <c r="V810" s="350">
        <f t="shared" si="338"/>
        <v>447106633.1715107</v>
      </c>
      <c r="W810" s="365"/>
      <c r="X810" s="377">
        <f t="shared" si="316"/>
        <v>0</v>
      </c>
      <c r="Y810" s="377">
        <f t="shared" si="317"/>
        <v>0</v>
      </c>
      <c r="Z810" s="377">
        <f t="shared" si="318"/>
        <v>0</v>
      </c>
      <c r="AA810" s="377">
        <f t="shared" si="319"/>
        <v>0</v>
      </c>
      <c r="AB810" s="377">
        <f t="shared" si="320"/>
        <v>0</v>
      </c>
      <c r="AC810" s="377">
        <f t="shared" si="321"/>
        <v>0</v>
      </c>
      <c r="AD810" s="376"/>
      <c r="AE810" s="332">
        <v>795</v>
      </c>
      <c r="AF810" s="350">
        <v>110862407.22002912</v>
      </c>
      <c r="AG810" s="350">
        <v>111771700.73646934</v>
      </c>
      <c r="AH810" s="350">
        <v>112642893.52664036</v>
      </c>
      <c r="AI810" s="350">
        <v>113516156.51020089</v>
      </c>
      <c r="AJ810" s="350">
        <v>114394202.30786052</v>
      </c>
      <c r="AK810" s="348">
        <v>563187360.30120015</v>
      </c>
      <c r="AL810" s="369"/>
      <c r="AM810" s="350">
        <v>142524212.59140766</v>
      </c>
      <c r="AN810" s="350">
        <v>175729137.05805406</v>
      </c>
      <c r="AO810" s="350">
        <v>209384480.9586629</v>
      </c>
      <c r="AP810" s="350">
        <v>243543667.91997847</v>
      </c>
      <c r="AQ810" s="350">
        <v>278215075.30709785</v>
      </c>
      <c r="AR810" s="348">
        <v>1049396573.835201</v>
      </c>
      <c r="AS810" s="369"/>
      <c r="AT810" s="350">
        <f t="shared" si="339"/>
        <v>31661805.371378541</v>
      </c>
      <c r="AU810" s="350">
        <f t="shared" si="322"/>
        <v>63957436.321584716</v>
      </c>
      <c r="AV810" s="350">
        <f t="shared" si="323"/>
        <v>96741587.432022542</v>
      </c>
      <c r="AW810" s="350">
        <f t="shared" si="324"/>
        <v>130027511.40977758</v>
      </c>
      <c r="AX810" s="350">
        <f t="shared" si="325"/>
        <v>163820872.99923733</v>
      </c>
      <c r="AY810" s="350">
        <f t="shared" si="326"/>
        <v>486209213.53400087</v>
      </c>
      <c r="AZ810" s="365"/>
      <c r="BA810" s="377">
        <f t="shared" si="327"/>
        <v>0</v>
      </c>
      <c r="BB810" s="377">
        <f t="shared" si="328"/>
        <v>0</v>
      </c>
      <c r="BC810" s="377">
        <f t="shared" si="329"/>
        <v>0</v>
      </c>
      <c r="BD810" s="377">
        <f t="shared" si="330"/>
        <v>0</v>
      </c>
      <c r="BE810" s="377">
        <f t="shared" si="331"/>
        <v>0</v>
      </c>
      <c r="BF810" s="377">
        <f t="shared" si="332"/>
        <v>0</v>
      </c>
      <c r="BG810" s="328"/>
    </row>
    <row r="811" spans="2:59">
      <c r="B811" s="332">
        <v>796</v>
      </c>
      <c r="C811" s="350">
        <v>117120752.19997059</v>
      </c>
      <c r="D811" s="350">
        <v>118081376.66489555</v>
      </c>
      <c r="E811" s="350">
        <v>119001749.56184624</v>
      </c>
      <c r="F811" s="350">
        <v>119924309.51763007</v>
      </c>
      <c r="G811" s="350">
        <v>120851922.28436182</v>
      </c>
      <c r="H811" s="348">
        <v>594980110.22870433</v>
      </c>
      <c r="I811" s="369"/>
      <c r="J811" s="350">
        <v>151919460.64708143</v>
      </c>
      <c r="K811" s="350">
        <v>188340102.07228678</v>
      </c>
      <c r="L811" s="350">
        <v>225256861.87922645</v>
      </c>
      <c r="M811" s="350">
        <v>262726742.45562023</v>
      </c>
      <c r="N811" s="350">
        <v>300758830.14392745</v>
      </c>
      <c r="O811" s="348">
        <v>1129001997.1981425</v>
      </c>
      <c r="P811" s="369"/>
      <c r="Q811" s="350">
        <f t="shared" si="333"/>
        <v>34798708.447110847</v>
      </c>
      <c r="R811" s="350">
        <f t="shared" si="334"/>
        <v>70258725.407391235</v>
      </c>
      <c r="S811" s="350">
        <f t="shared" si="335"/>
        <v>106255112.3173802</v>
      </c>
      <c r="T811" s="350">
        <f t="shared" si="336"/>
        <v>142802432.93799016</v>
      </c>
      <c r="U811" s="350">
        <f t="shared" si="337"/>
        <v>179906907.85956562</v>
      </c>
      <c r="V811" s="350">
        <f t="shared" si="338"/>
        <v>534021886.9694382</v>
      </c>
      <c r="W811" s="365"/>
      <c r="X811" s="377">
        <f t="shared" si="316"/>
        <v>0</v>
      </c>
      <c r="Y811" s="377">
        <f t="shared" si="317"/>
        <v>0</v>
      </c>
      <c r="Z811" s="377">
        <f t="shared" si="318"/>
        <v>0</v>
      </c>
      <c r="AA811" s="377">
        <f t="shared" si="319"/>
        <v>0</v>
      </c>
      <c r="AB811" s="377">
        <f t="shared" si="320"/>
        <v>0</v>
      </c>
      <c r="AC811" s="377">
        <f t="shared" si="321"/>
        <v>0</v>
      </c>
      <c r="AD811" s="376"/>
      <c r="AE811" s="332">
        <v>796</v>
      </c>
      <c r="AF811" s="350">
        <v>105726495.91857255</v>
      </c>
      <c r="AG811" s="350">
        <v>106593664.68808965</v>
      </c>
      <c r="AH811" s="350">
        <v>107424497.81975262</v>
      </c>
      <c r="AI811" s="350">
        <v>108257305.23916948</v>
      </c>
      <c r="AJ811" s="350">
        <v>109094673.89975008</v>
      </c>
      <c r="AK811" s="348">
        <v>537096637.56533444</v>
      </c>
      <c r="AL811" s="369"/>
      <c r="AM811" s="350">
        <v>132847966.96900058</v>
      </c>
      <c r="AN811" s="350">
        <v>161386352.45887479</v>
      </c>
      <c r="AO811" s="350">
        <v>190306974.37525025</v>
      </c>
      <c r="AP811" s="350">
        <v>219659495.27793828</v>
      </c>
      <c r="AQ811" s="350">
        <v>249451355.57445955</v>
      </c>
      <c r="AR811" s="348">
        <v>953652144.65552342</v>
      </c>
      <c r="AS811" s="369"/>
      <c r="AT811" s="350">
        <f t="shared" si="339"/>
        <v>27121471.050428033</v>
      </c>
      <c r="AU811" s="350">
        <f t="shared" si="322"/>
        <v>54792687.770785138</v>
      </c>
      <c r="AV811" s="350">
        <f t="shared" si="323"/>
        <v>82882476.555497631</v>
      </c>
      <c r="AW811" s="350">
        <f t="shared" si="324"/>
        <v>111402190.0387688</v>
      </c>
      <c r="AX811" s="350">
        <f t="shared" si="325"/>
        <v>140356681.67470947</v>
      </c>
      <c r="AY811" s="350">
        <f t="shared" si="326"/>
        <v>416555507.09018898</v>
      </c>
      <c r="AZ811" s="365"/>
      <c r="BA811" s="377">
        <f t="shared" si="327"/>
        <v>0</v>
      </c>
      <c r="BB811" s="377">
        <f t="shared" si="328"/>
        <v>0</v>
      </c>
      <c r="BC811" s="377">
        <f t="shared" si="329"/>
        <v>0</v>
      </c>
      <c r="BD811" s="377">
        <f t="shared" si="330"/>
        <v>0</v>
      </c>
      <c r="BE811" s="377">
        <f t="shared" si="331"/>
        <v>0</v>
      </c>
      <c r="BF811" s="377">
        <f t="shared" si="332"/>
        <v>0</v>
      </c>
      <c r="BG811" s="328"/>
    </row>
    <row r="812" spans="2:59">
      <c r="B812" s="332">
        <v>797</v>
      </c>
      <c r="C812" s="350">
        <v>116844212.80056021</v>
      </c>
      <c r="D812" s="350">
        <v>117802569.08920047</v>
      </c>
      <c r="E812" s="350">
        <v>118720768.84976521</v>
      </c>
      <c r="F812" s="350">
        <v>119641150.50519401</v>
      </c>
      <c r="G812" s="350">
        <v>120566573.04113767</v>
      </c>
      <c r="H812" s="348">
        <v>593575274.28585756</v>
      </c>
      <c r="I812" s="369"/>
      <c r="J812" s="350">
        <v>147720272.2474986</v>
      </c>
      <c r="K812" s="350">
        <v>180160603.38476944</v>
      </c>
      <c r="L812" s="350">
        <v>213036984.74677959</v>
      </c>
      <c r="M812" s="350">
        <v>246404677.89644206</v>
      </c>
      <c r="N812" s="350">
        <v>280272064.12346911</v>
      </c>
      <c r="O812" s="348">
        <v>1067594602.3989588</v>
      </c>
      <c r="P812" s="369"/>
      <c r="Q812" s="350">
        <f t="shared" si="333"/>
        <v>30876059.446938396</v>
      </c>
      <c r="R812" s="350">
        <f t="shared" si="334"/>
        <v>62358034.295568973</v>
      </c>
      <c r="S812" s="350">
        <f t="shared" si="335"/>
        <v>94316215.89701438</v>
      </c>
      <c r="T812" s="350">
        <f t="shared" si="336"/>
        <v>126763527.39124805</v>
      </c>
      <c r="U812" s="350">
        <f t="shared" si="337"/>
        <v>159705491.08233145</v>
      </c>
      <c r="V812" s="350">
        <f t="shared" si="338"/>
        <v>474019328.11310124</v>
      </c>
      <c r="W812" s="365"/>
      <c r="X812" s="377">
        <f t="shared" si="316"/>
        <v>0</v>
      </c>
      <c r="Y812" s="377">
        <f t="shared" si="317"/>
        <v>0</v>
      </c>
      <c r="Z812" s="377">
        <f t="shared" si="318"/>
        <v>0</v>
      </c>
      <c r="AA812" s="377">
        <f t="shared" si="319"/>
        <v>0</v>
      </c>
      <c r="AB812" s="377">
        <f t="shared" si="320"/>
        <v>0</v>
      </c>
      <c r="AC812" s="377">
        <f t="shared" si="321"/>
        <v>0</v>
      </c>
      <c r="AD812" s="376"/>
      <c r="AE812" s="332">
        <v>797</v>
      </c>
      <c r="AF812" s="350">
        <v>123821440.71082427</v>
      </c>
      <c r="AG812" s="350">
        <v>124837024.22608367</v>
      </c>
      <c r="AH812" s="350">
        <v>125810053.30889773</v>
      </c>
      <c r="AI812" s="350">
        <v>126785394.57610741</v>
      </c>
      <c r="AJ812" s="350">
        <v>127766077.73465109</v>
      </c>
      <c r="AK812" s="348">
        <v>629019990.55656421</v>
      </c>
      <c r="AL812" s="369"/>
      <c r="AM812" s="350">
        <v>155291706.37920794</v>
      </c>
      <c r="AN812" s="350">
        <v>188406578.07765394</v>
      </c>
      <c r="AO812" s="350">
        <v>221964445.07539168</v>
      </c>
      <c r="AP812" s="350">
        <v>256023346.4695963</v>
      </c>
      <c r="AQ812" s="350">
        <v>290591942.2945689</v>
      </c>
      <c r="AR812" s="348">
        <v>1112278018.2964187</v>
      </c>
      <c r="AS812" s="369"/>
      <c r="AT812" s="350">
        <f t="shared" si="339"/>
        <v>31470265.668383673</v>
      </c>
      <c r="AU812" s="350">
        <f t="shared" si="322"/>
        <v>63569553.851570278</v>
      </c>
      <c r="AV812" s="350">
        <f t="shared" si="323"/>
        <v>96154391.766493946</v>
      </c>
      <c r="AW812" s="350">
        <f t="shared" si="324"/>
        <v>129237951.89348888</v>
      </c>
      <c r="AX812" s="350">
        <f t="shared" si="325"/>
        <v>162825864.55991781</v>
      </c>
      <c r="AY812" s="350">
        <f t="shared" si="326"/>
        <v>483258027.73985445</v>
      </c>
      <c r="AZ812" s="365"/>
      <c r="BA812" s="377">
        <f t="shared" si="327"/>
        <v>0</v>
      </c>
      <c r="BB812" s="377">
        <f t="shared" si="328"/>
        <v>0</v>
      </c>
      <c r="BC812" s="377">
        <f t="shared" si="329"/>
        <v>0</v>
      </c>
      <c r="BD812" s="377">
        <f t="shared" si="330"/>
        <v>0</v>
      </c>
      <c r="BE812" s="377">
        <f t="shared" si="331"/>
        <v>0</v>
      </c>
      <c r="BF812" s="377">
        <f t="shared" si="332"/>
        <v>0</v>
      </c>
      <c r="BG812" s="328"/>
    </row>
    <row r="813" spans="2:59">
      <c r="B813" s="332">
        <v>798</v>
      </c>
      <c r="C813" s="350">
        <v>113459987.91848004</v>
      </c>
      <c r="D813" s="350">
        <v>114390586.79303718</v>
      </c>
      <c r="E813" s="350">
        <v>115282192.21570584</v>
      </c>
      <c r="F813" s="350">
        <v>116175916.33778618</v>
      </c>
      <c r="G813" s="350">
        <v>117074535.3385139</v>
      </c>
      <c r="H813" s="348">
        <v>576383218.60352314</v>
      </c>
      <c r="I813" s="369"/>
      <c r="J813" s="350">
        <v>142812353.87463585</v>
      </c>
      <c r="K813" s="350">
        <v>173665021.83030879</v>
      </c>
      <c r="L813" s="350">
        <v>204931304.51824838</v>
      </c>
      <c r="M813" s="350">
        <v>236664599.13885283</v>
      </c>
      <c r="N813" s="350">
        <v>268872930.69353092</v>
      </c>
      <c r="O813" s="348">
        <v>1026946210.0555767</v>
      </c>
      <c r="P813" s="369"/>
      <c r="Q813" s="350">
        <f t="shared" si="333"/>
        <v>29352365.956155807</v>
      </c>
      <c r="R813" s="350">
        <f t="shared" si="334"/>
        <v>59274435.037271619</v>
      </c>
      <c r="S813" s="350">
        <f t="shared" si="335"/>
        <v>89649112.302542537</v>
      </c>
      <c r="T813" s="350">
        <f t="shared" si="336"/>
        <v>120488682.80106665</v>
      </c>
      <c r="U813" s="350">
        <f t="shared" si="337"/>
        <v>151798395.35501701</v>
      </c>
      <c r="V813" s="350">
        <f t="shared" si="338"/>
        <v>450562991.45205355</v>
      </c>
      <c r="W813" s="365"/>
      <c r="X813" s="377">
        <f t="shared" si="316"/>
        <v>0</v>
      </c>
      <c r="Y813" s="377">
        <f t="shared" si="317"/>
        <v>0</v>
      </c>
      <c r="Z813" s="377">
        <f t="shared" si="318"/>
        <v>0</v>
      </c>
      <c r="AA813" s="377">
        <f t="shared" si="319"/>
        <v>0</v>
      </c>
      <c r="AB813" s="377">
        <f t="shared" si="320"/>
        <v>0</v>
      </c>
      <c r="AC813" s="377">
        <f t="shared" si="321"/>
        <v>0</v>
      </c>
      <c r="AD813" s="376"/>
      <c r="AE813" s="332">
        <v>798</v>
      </c>
      <c r="AF813" s="350">
        <v>131995183.96425101</v>
      </c>
      <c r="AG813" s="350">
        <v>133077808.52554001</v>
      </c>
      <c r="AH813" s="350">
        <v>134115069.53664839</v>
      </c>
      <c r="AI813" s="350">
        <v>135154795.36485878</v>
      </c>
      <c r="AJ813" s="350">
        <v>136200215.71515927</v>
      </c>
      <c r="AK813" s="348">
        <v>670543073.10645747</v>
      </c>
      <c r="AL813" s="369"/>
      <c r="AM813" s="350">
        <v>167390056.18433553</v>
      </c>
      <c r="AN813" s="350">
        <v>204563792.7684823</v>
      </c>
      <c r="AO813" s="350">
        <v>242238092.64849061</v>
      </c>
      <c r="AP813" s="350">
        <v>280475598.7671209</v>
      </c>
      <c r="AQ813" s="350">
        <v>319285871.59212583</v>
      </c>
      <c r="AR813" s="348">
        <v>1213953411.9605551</v>
      </c>
      <c r="AS813" s="369"/>
      <c r="AT813" s="350">
        <f t="shared" si="339"/>
        <v>35394872.220084518</v>
      </c>
      <c r="AU813" s="350">
        <f t="shared" si="322"/>
        <v>71485984.242942289</v>
      </c>
      <c r="AV813" s="350">
        <f t="shared" si="323"/>
        <v>108123023.11184222</v>
      </c>
      <c r="AW813" s="350">
        <f t="shared" si="324"/>
        <v>145320803.40226212</v>
      </c>
      <c r="AX813" s="350">
        <f t="shared" si="325"/>
        <v>183085655.87696657</v>
      </c>
      <c r="AY813" s="350">
        <f t="shared" si="326"/>
        <v>543410338.8540976</v>
      </c>
      <c r="AZ813" s="365"/>
      <c r="BA813" s="377">
        <f t="shared" si="327"/>
        <v>0</v>
      </c>
      <c r="BB813" s="377">
        <f t="shared" si="328"/>
        <v>0</v>
      </c>
      <c r="BC813" s="377">
        <f t="shared" si="329"/>
        <v>0</v>
      </c>
      <c r="BD813" s="377">
        <f t="shared" si="330"/>
        <v>0</v>
      </c>
      <c r="BE813" s="377">
        <f t="shared" si="331"/>
        <v>0</v>
      </c>
      <c r="BF813" s="377">
        <f t="shared" si="332"/>
        <v>0</v>
      </c>
      <c r="BG813" s="328"/>
    </row>
    <row r="814" spans="2:59">
      <c r="B814" s="332">
        <v>799</v>
      </c>
      <c r="C814" s="350">
        <v>135894445.93251145</v>
      </c>
      <c r="D814" s="350">
        <v>137009052.2423079</v>
      </c>
      <c r="E814" s="350">
        <v>138076954.91995522</v>
      </c>
      <c r="F814" s="350">
        <v>139147395.22772157</v>
      </c>
      <c r="G814" s="350">
        <v>140223698.27912027</v>
      </c>
      <c r="H814" s="348">
        <v>690351546.60161638</v>
      </c>
      <c r="I814" s="369"/>
      <c r="J814" s="350">
        <v>172383859.62767786</v>
      </c>
      <c r="K814" s="350">
        <v>210706316.7008433</v>
      </c>
      <c r="L814" s="350">
        <v>249544889.47902656</v>
      </c>
      <c r="M814" s="350">
        <v>288964091.95896548</v>
      </c>
      <c r="N814" s="350">
        <v>328973775.88953859</v>
      </c>
      <c r="O814" s="348">
        <v>1250572933.6560516</v>
      </c>
      <c r="P814" s="369"/>
      <c r="Q814" s="350">
        <f t="shared" si="333"/>
        <v>36489413.695166409</v>
      </c>
      <c r="R814" s="350">
        <f t="shared" si="334"/>
        <v>73697264.458535403</v>
      </c>
      <c r="S814" s="350">
        <f t="shared" si="335"/>
        <v>111467934.55907133</v>
      </c>
      <c r="T814" s="350">
        <f t="shared" si="336"/>
        <v>149816696.73124391</v>
      </c>
      <c r="U814" s="350">
        <f t="shared" si="337"/>
        <v>188750077.61041832</v>
      </c>
      <c r="V814" s="350">
        <f t="shared" si="338"/>
        <v>560221387.05443525</v>
      </c>
      <c r="W814" s="365"/>
      <c r="X814" s="377">
        <f t="shared" si="316"/>
        <v>0</v>
      </c>
      <c r="Y814" s="377">
        <f t="shared" si="317"/>
        <v>0</v>
      </c>
      <c r="Z814" s="377">
        <f t="shared" si="318"/>
        <v>0</v>
      </c>
      <c r="AA814" s="377">
        <f t="shared" si="319"/>
        <v>0</v>
      </c>
      <c r="AB814" s="377">
        <f t="shared" si="320"/>
        <v>0</v>
      </c>
      <c r="AC814" s="377">
        <f t="shared" si="321"/>
        <v>0</v>
      </c>
      <c r="AD814" s="376"/>
      <c r="AE814" s="332">
        <v>799</v>
      </c>
      <c r="AF814" s="350">
        <v>109929199.05318068</v>
      </c>
      <c r="AG814" s="350">
        <v>110830838.39579512</v>
      </c>
      <c r="AH814" s="350">
        <v>111694697.73320188</v>
      </c>
      <c r="AI814" s="350">
        <v>112560609.83769977</v>
      </c>
      <c r="AJ814" s="350">
        <v>113431264.49592997</v>
      </c>
      <c r="AK814" s="348">
        <v>558446609.51580739</v>
      </c>
      <c r="AL814" s="369"/>
      <c r="AM814" s="350">
        <v>141647499.88848421</v>
      </c>
      <c r="AN814" s="350">
        <v>174899570.33646816</v>
      </c>
      <c r="AO814" s="350">
        <v>208603208.56799942</v>
      </c>
      <c r="AP814" s="350">
        <v>242811523.55277261</v>
      </c>
      <c r="AQ814" s="350">
        <v>277532879.49824542</v>
      </c>
      <c r="AR814" s="348">
        <v>1045494681.8439698</v>
      </c>
      <c r="AS814" s="369"/>
      <c r="AT814" s="350">
        <f t="shared" si="339"/>
        <v>31718300.83530353</v>
      </c>
      <c r="AU814" s="350">
        <f t="shared" si="322"/>
        <v>64068731.940673038</v>
      </c>
      <c r="AV814" s="350">
        <f t="shared" si="323"/>
        <v>96908510.834797546</v>
      </c>
      <c r="AW814" s="350">
        <f t="shared" si="324"/>
        <v>130250913.71507284</v>
      </c>
      <c r="AX814" s="350">
        <f t="shared" si="325"/>
        <v>164101615.00231546</v>
      </c>
      <c r="AY814" s="350">
        <f t="shared" si="326"/>
        <v>487048072.32816243</v>
      </c>
      <c r="AZ814" s="365"/>
      <c r="BA814" s="377">
        <f t="shared" si="327"/>
        <v>0</v>
      </c>
      <c r="BB814" s="377">
        <f t="shared" si="328"/>
        <v>0</v>
      </c>
      <c r="BC814" s="377">
        <f t="shared" si="329"/>
        <v>0</v>
      </c>
      <c r="BD814" s="377">
        <f t="shared" si="330"/>
        <v>0</v>
      </c>
      <c r="BE814" s="377">
        <f t="shared" si="331"/>
        <v>0</v>
      </c>
      <c r="BF814" s="377">
        <f t="shared" si="332"/>
        <v>0</v>
      </c>
      <c r="BG814" s="328"/>
    </row>
    <row r="815" spans="2:59">
      <c r="B815" s="332">
        <v>800</v>
      </c>
      <c r="C815" s="350">
        <v>120522939.58243203</v>
      </c>
      <c r="D815" s="350">
        <v>121511468.78987667</v>
      </c>
      <c r="E815" s="350">
        <v>122458577.17988344</v>
      </c>
      <c r="F815" s="350">
        <v>123407936.15959916</v>
      </c>
      <c r="G815" s="350">
        <v>124362494.72706661</v>
      </c>
      <c r="H815" s="348">
        <v>612263416.43885791</v>
      </c>
      <c r="I815" s="369"/>
      <c r="J815" s="350">
        <v>152003782.69326219</v>
      </c>
      <c r="K815" s="350">
        <v>185081777.5645231</v>
      </c>
      <c r="L815" s="350">
        <v>218603743.24125579</v>
      </c>
      <c r="M815" s="350">
        <v>252626526.89306262</v>
      </c>
      <c r="N815" s="350">
        <v>287158706.59158957</v>
      </c>
      <c r="O815" s="348">
        <v>1095474536.9836931</v>
      </c>
      <c r="P815" s="369"/>
      <c r="Q815" s="350">
        <f t="shared" si="333"/>
        <v>31480843.110830158</v>
      </c>
      <c r="R815" s="350">
        <f t="shared" si="334"/>
        <v>63570308.774646431</v>
      </c>
      <c r="S815" s="350">
        <f t="shared" si="335"/>
        <v>96145166.061372355</v>
      </c>
      <c r="T815" s="350">
        <f t="shared" si="336"/>
        <v>129218590.73346347</v>
      </c>
      <c r="U815" s="350">
        <f t="shared" si="337"/>
        <v>162796211.86452296</v>
      </c>
      <c r="V815" s="350">
        <f t="shared" si="338"/>
        <v>483211120.54483521</v>
      </c>
      <c r="W815" s="365"/>
      <c r="X815" s="377">
        <f t="shared" si="316"/>
        <v>0</v>
      </c>
      <c r="Y815" s="377">
        <f t="shared" si="317"/>
        <v>0</v>
      </c>
      <c r="Z815" s="377">
        <f t="shared" si="318"/>
        <v>0</v>
      </c>
      <c r="AA815" s="377">
        <f t="shared" si="319"/>
        <v>0</v>
      </c>
      <c r="AB815" s="377">
        <f t="shared" si="320"/>
        <v>0</v>
      </c>
      <c r="AC815" s="377">
        <f t="shared" si="321"/>
        <v>0</v>
      </c>
      <c r="AD815" s="376"/>
      <c r="AE815" s="332">
        <v>800</v>
      </c>
      <c r="AF815" s="350">
        <v>122714158.59695442</v>
      </c>
      <c r="AG815" s="350">
        <v>123720660.18379226</v>
      </c>
      <c r="AH815" s="350">
        <v>124684987.88424888</v>
      </c>
      <c r="AI815" s="350">
        <v>125651607.09222636</v>
      </c>
      <c r="AJ815" s="350">
        <v>126623520.42129147</v>
      </c>
      <c r="AK815" s="348">
        <v>623394934.17851341</v>
      </c>
      <c r="AL815" s="369"/>
      <c r="AM815" s="350">
        <v>155165534.22931126</v>
      </c>
      <c r="AN815" s="350">
        <v>189256052.13960049</v>
      </c>
      <c r="AO815" s="350">
        <v>223804833.98776877</v>
      </c>
      <c r="AP815" s="350">
        <v>258869927.42175454</v>
      </c>
      <c r="AQ815" s="350">
        <v>294460138.47124869</v>
      </c>
      <c r="AR815" s="348">
        <v>1121556486.2496836</v>
      </c>
      <c r="AS815" s="369"/>
      <c r="AT815" s="350">
        <f t="shared" si="339"/>
        <v>32451375.632356837</v>
      </c>
      <c r="AU815" s="350">
        <f t="shared" si="322"/>
        <v>65535391.955808222</v>
      </c>
      <c r="AV815" s="350">
        <f t="shared" si="323"/>
        <v>99119846.103519887</v>
      </c>
      <c r="AW815" s="350">
        <f t="shared" si="324"/>
        <v>133218320.32952818</v>
      </c>
      <c r="AX815" s="350">
        <f t="shared" si="325"/>
        <v>167836618.04995722</v>
      </c>
      <c r="AY815" s="350">
        <f t="shared" si="326"/>
        <v>498161552.07117021</v>
      </c>
      <c r="AZ815" s="365"/>
      <c r="BA815" s="377">
        <f t="shared" si="327"/>
        <v>0</v>
      </c>
      <c r="BB815" s="377">
        <f t="shared" si="328"/>
        <v>0</v>
      </c>
      <c r="BC815" s="377">
        <f t="shared" si="329"/>
        <v>0</v>
      </c>
      <c r="BD815" s="377">
        <f t="shared" si="330"/>
        <v>0</v>
      </c>
      <c r="BE815" s="377">
        <f t="shared" si="331"/>
        <v>0</v>
      </c>
      <c r="BF815" s="377">
        <f t="shared" si="332"/>
        <v>0</v>
      </c>
      <c r="BG815" s="328"/>
    </row>
    <row r="816" spans="2:59">
      <c r="B816" s="332">
        <v>801</v>
      </c>
      <c r="C816" s="350">
        <v>111538558.02237235</v>
      </c>
      <c r="D816" s="350">
        <v>112453397.32801312</v>
      </c>
      <c r="E816" s="350">
        <v>113329903.53071816</v>
      </c>
      <c r="F816" s="350">
        <v>114208492.55294046</v>
      </c>
      <c r="G816" s="350">
        <v>115091893.55968732</v>
      </c>
      <c r="H816" s="348">
        <v>566622244.9937315</v>
      </c>
      <c r="I816" s="369"/>
      <c r="J816" s="350">
        <v>140401442.57217824</v>
      </c>
      <c r="K816" s="350">
        <v>170740349.50188243</v>
      </c>
      <c r="L816" s="350">
        <v>201485999.08027452</v>
      </c>
      <c r="M816" s="350">
        <v>232690887.46733385</v>
      </c>
      <c r="N816" s="350">
        <v>264362905.2702826</v>
      </c>
      <c r="O816" s="348">
        <v>1009681583.8919517</v>
      </c>
      <c r="P816" s="369"/>
      <c r="Q816" s="350">
        <f t="shared" si="333"/>
        <v>28862884.549805894</v>
      </c>
      <c r="R816" s="350">
        <f t="shared" si="334"/>
        <v>58286952.173869312</v>
      </c>
      <c r="S816" s="350">
        <f t="shared" si="335"/>
        <v>88156095.54955636</v>
      </c>
      <c r="T816" s="350">
        <f t="shared" si="336"/>
        <v>118482394.9143934</v>
      </c>
      <c r="U816" s="350">
        <f t="shared" si="337"/>
        <v>149271011.71059528</v>
      </c>
      <c r="V816" s="350">
        <f t="shared" si="338"/>
        <v>443059338.89822018</v>
      </c>
      <c r="W816" s="365"/>
      <c r="X816" s="377">
        <f t="shared" si="316"/>
        <v>0</v>
      </c>
      <c r="Y816" s="377">
        <f t="shared" si="317"/>
        <v>0</v>
      </c>
      <c r="Z816" s="377">
        <f t="shared" si="318"/>
        <v>0</v>
      </c>
      <c r="AA816" s="377">
        <f t="shared" si="319"/>
        <v>0</v>
      </c>
      <c r="AB816" s="377">
        <f t="shared" si="320"/>
        <v>0</v>
      </c>
      <c r="AC816" s="377">
        <f t="shared" si="321"/>
        <v>0</v>
      </c>
      <c r="AD816" s="376"/>
      <c r="AE816" s="332">
        <v>801</v>
      </c>
      <c r="AF816" s="350">
        <v>167209749.24688008</v>
      </c>
      <c r="AG816" s="350">
        <v>168581203.68926847</v>
      </c>
      <c r="AH816" s="350">
        <v>169895192.18765169</v>
      </c>
      <c r="AI816" s="350">
        <v>171212303.08366475</v>
      </c>
      <c r="AJ816" s="350">
        <v>172536627.72477192</v>
      </c>
      <c r="AK816" s="348">
        <v>849435075.93223691</v>
      </c>
      <c r="AL816" s="369"/>
      <c r="AM816" s="350">
        <v>205147643.56351304</v>
      </c>
      <c r="AN816" s="350">
        <v>245215450.78590584</v>
      </c>
      <c r="AO816" s="350">
        <v>285811132.33754128</v>
      </c>
      <c r="AP816" s="350">
        <v>327011156.19880337</v>
      </c>
      <c r="AQ816" s="350">
        <v>368826401.18902409</v>
      </c>
      <c r="AR816" s="348">
        <v>1432011784.0747876</v>
      </c>
      <c r="AS816" s="369"/>
      <c r="AT816" s="350">
        <f t="shared" si="339"/>
        <v>37937894.316632956</v>
      </c>
      <c r="AU816" s="350">
        <f t="shared" si="322"/>
        <v>76634247.096637368</v>
      </c>
      <c r="AV816" s="350">
        <f t="shared" si="323"/>
        <v>115915940.14988959</v>
      </c>
      <c r="AW816" s="350">
        <f t="shared" si="324"/>
        <v>155798853.11513862</v>
      </c>
      <c r="AX816" s="350">
        <f t="shared" si="325"/>
        <v>196289773.46425217</v>
      </c>
      <c r="AY816" s="350">
        <f t="shared" si="326"/>
        <v>582576708.14255071</v>
      </c>
      <c r="AZ816" s="365"/>
      <c r="BA816" s="377">
        <f t="shared" si="327"/>
        <v>0</v>
      </c>
      <c r="BB816" s="377">
        <f t="shared" si="328"/>
        <v>0</v>
      </c>
      <c r="BC816" s="377">
        <f t="shared" si="329"/>
        <v>0</v>
      </c>
      <c r="BD816" s="377">
        <f t="shared" si="330"/>
        <v>0</v>
      </c>
      <c r="BE816" s="377">
        <f t="shared" si="331"/>
        <v>0</v>
      </c>
      <c r="BF816" s="377">
        <f t="shared" si="332"/>
        <v>0</v>
      </c>
      <c r="BG816" s="328"/>
    </row>
    <row r="817" spans="2:59">
      <c r="B817" s="332">
        <v>802</v>
      </c>
      <c r="C817" s="350">
        <v>114536794.96852408</v>
      </c>
      <c r="D817" s="350">
        <v>115476225.81501485</v>
      </c>
      <c r="E817" s="350">
        <v>116376293.1370949</v>
      </c>
      <c r="F817" s="350">
        <v>117278499.26638418</v>
      </c>
      <c r="G817" s="350">
        <v>118185646.72981523</v>
      </c>
      <c r="H817" s="348">
        <v>581853459.91683328</v>
      </c>
      <c r="I817" s="369"/>
      <c r="J817" s="350">
        <v>148851745.37272412</v>
      </c>
      <c r="K817" s="350">
        <v>184772042.01231238</v>
      </c>
      <c r="L817" s="350">
        <v>221182103.7991125</v>
      </c>
      <c r="M817" s="350">
        <v>258137795.13274735</v>
      </c>
      <c r="N817" s="350">
        <v>295648054.76075858</v>
      </c>
      <c r="O817" s="348">
        <v>1108591741.0776551</v>
      </c>
      <c r="P817" s="369"/>
      <c r="Q817" s="350">
        <f t="shared" si="333"/>
        <v>34314950.404200032</v>
      </c>
      <c r="R817" s="350">
        <f t="shared" si="334"/>
        <v>69295816.197297528</v>
      </c>
      <c r="S817" s="350">
        <f t="shared" si="335"/>
        <v>104805810.6620176</v>
      </c>
      <c r="T817" s="350">
        <f t="shared" si="336"/>
        <v>140859295.86636317</v>
      </c>
      <c r="U817" s="350">
        <f t="shared" si="337"/>
        <v>177462408.03094333</v>
      </c>
      <c r="V817" s="350">
        <f t="shared" si="338"/>
        <v>526738281.1608218</v>
      </c>
      <c r="W817" s="365"/>
      <c r="X817" s="377">
        <f t="shared" si="316"/>
        <v>0</v>
      </c>
      <c r="Y817" s="377">
        <f t="shared" si="317"/>
        <v>0</v>
      </c>
      <c r="Z817" s="377">
        <f t="shared" si="318"/>
        <v>0</v>
      </c>
      <c r="AA817" s="377">
        <f t="shared" si="319"/>
        <v>0</v>
      </c>
      <c r="AB817" s="377">
        <f t="shared" si="320"/>
        <v>0</v>
      </c>
      <c r="AC817" s="377">
        <f t="shared" si="321"/>
        <v>0</v>
      </c>
      <c r="AD817" s="376"/>
      <c r="AE817" s="332">
        <v>802</v>
      </c>
      <c r="AF817" s="350">
        <v>130253237.43131892</v>
      </c>
      <c r="AG817" s="350">
        <v>131321574.54632111</v>
      </c>
      <c r="AH817" s="350">
        <v>132345146.77600746</v>
      </c>
      <c r="AI817" s="350">
        <v>133371151.29449084</v>
      </c>
      <c r="AJ817" s="350">
        <v>134402775.18419349</v>
      </c>
      <c r="AK817" s="348">
        <v>661693885.23233187</v>
      </c>
      <c r="AL817" s="369"/>
      <c r="AM817" s="350">
        <v>169509150.99102882</v>
      </c>
      <c r="AN817" s="350">
        <v>210605183.60619557</v>
      </c>
      <c r="AO817" s="350">
        <v>252261924.13920662</v>
      </c>
      <c r="AP817" s="350">
        <v>294543000.36153001</v>
      </c>
      <c r="AQ817" s="350">
        <v>337458620.64599693</v>
      </c>
      <c r="AR817" s="348">
        <v>1264377879.743958</v>
      </c>
      <c r="AS817" s="369"/>
      <c r="AT817" s="350">
        <f t="shared" si="339"/>
        <v>39255913.559709892</v>
      </c>
      <c r="AU817" s="350">
        <f t="shared" si="322"/>
        <v>79283609.05987446</v>
      </c>
      <c r="AV817" s="350">
        <f t="shared" si="323"/>
        <v>119916777.36319916</v>
      </c>
      <c r="AW817" s="350">
        <f t="shared" si="324"/>
        <v>161171849.06703916</v>
      </c>
      <c r="AX817" s="350">
        <f t="shared" si="325"/>
        <v>203055845.46180344</v>
      </c>
      <c r="AY817" s="350">
        <f t="shared" si="326"/>
        <v>602683994.51162612</v>
      </c>
      <c r="AZ817" s="365"/>
      <c r="BA817" s="377">
        <f t="shared" si="327"/>
        <v>0</v>
      </c>
      <c r="BB817" s="377">
        <f t="shared" si="328"/>
        <v>0</v>
      </c>
      <c r="BC817" s="377">
        <f t="shared" si="329"/>
        <v>0</v>
      </c>
      <c r="BD817" s="377">
        <f t="shared" si="330"/>
        <v>0</v>
      </c>
      <c r="BE817" s="377">
        <f t="shared" si="331"/>
        <v>0</v>
      </c>
      <c r="BF817" s="377">
        <f t="shared" si="332"/>
        <v>0</v>
      </c>
      <c r="BG817" s="328"/>
    </row>
    <row r="818" spans="2:59">
      <c r="B818" s="332">
        <v>803</v>
      </c>
      <c r="C818" s="350">
        <v>136378351.8456313</v>
      </c>
      <c r="D818" s="350">
        <v>137496927.15195593</v>
      </c>
      <c r="E818" s="350">
        <v>138568632.5193806</v>
      </c>
      <c r="F818" s="350">
        <v>139642884.55315989</v>
      </c>
      <c r="G818" s="350">
        <v>140723020.20718855</v>
      </c>
      <c r="H818" s="348">
        <v>692809816.27731633</v>
      </c>
      <c r="I818" s="369"/>
      <c r="J818" s="350">
        <v>173689047.0887059</v>
      </c>
      <c r="K818" s="350">
        <v>212834160.32971543</v>
      </c>
      <c r="L818" s="350">
        <v>252507598.04840642</v>
      </c>
      <c r="M818" s="350">
        <v>292774392.29128063</v>
      </c>
      <c r="N818" s="350">
        <v>333644550.68088543</v>
      </c>
      <c r="O818" s="348">
        <v>1265449748.4389939</v>
      </c>
      <c r="P818" s="369"/>
      <c r="Q818" s="350">
        <f t="shared" si="333"/>
        <v>37310695.243074596</v>
      </c>
      <c r="R818" s="350">
        <f t="shared" si="334"/>
        <v>75337233.177759498</v>
      </c>
      <c r="S818" s="350">
        <f t="shared" si="335"/>
        <v>113938965.52902582</v>
      </c>
      <c r="T818" s="350">
        <f t="shared" si="336"/>
        <v>153131507.73812073</v>
      </c>
      <c r="U818" s="350">
        <f t="shared" si="337"/>
        <v>192921530.47369689</v>
      </c>
      <c r="V818" s="350">
        <f t="shared" si="338"/>
        <v>572639932.1616776</v>
      </c>
      <c r="W818" s="365"/>
      <c r="X818" s="377">
        <f t="shared" si="316"/>
        <v>0</v>
      </c>
      <c r="Y818" s="377">
        <f t="shared" si="317"/>
        <v>0</v>
      </c>
      <c r="Z818" s="377">
        <f t="shared" si="318"/>
        <v>0</v>
      </c>
      <c r="AA818" s="377">
        <f t="shared" si="319"/>
        <v>0</v>
      </c>
      <c r="AB818" s="377">
        <f t="shared" si="320"/>
        <v>0</v>
      </c>
      <c r="AC818" s="377">
        <f t="shared" si="321"/>
        <v>0</v>
      </c>
      <c r="AD818" s="376"/>
      <c r="AE818" s="332">
        <v>803</v>
      </c>
      <c r="AF818" s="350">
        <v>150594029.88157198</v>
      </c>
      <c r="AG818" s="350">
        <v>151829202.18586934</v>
      </c>
      <c r="AH818" s="350">
        <v>153012618.96677369</v>
      </c>
      <c r="AI818" s="350">
        <v>154198847.87103856</v>
      </c>
      <c r="AJ818" s="350">
        <v>155391573.68681219</v>
      </c>
      <c r="AK818" s="348">
        <v>765026272.59206581</v>
      </c>
      <c r="AL818" s="369"/>
      <c r="AM818" s="350">
        <v>188794348.72946548</v>
      </c>
      <c r="AN818" s="350">
        <v>228980510.37576723</v>
      </c>
      <c r="AO818" s="350">
        <v>269704102.50546938</v>
      </c>
      <c r="AP818" s="350">
        <v>311035681.52267897</v>
      </c>
      <c r="AQ818" s="350">
        <v>352985764.648211</v>
      </c>
      <c r="AR818" s="348">
        <v>1351500407.7815919</v>
      </c>
      <c r="AS818" s="369"/>
      <c r="AT818" s="350">
        <f t="shared" si="339"/>
        <v>38200318.847893506</v>
      </c>
      <c r="AU818" s="350">
        <f t="shared" si="322"/>
        <v>77151308.189897895</v>
      </c>
      <c r="AV818" s="350">
        <f t="shared" si="323"/>
        <v>116691483.53869569</v>
      </c>
      <c r="AW818" s="350">
        <f t="shared" si="324"/>
        <v>156836833.65164042</v>
      </c>
      <c r="AX818" s="350">
        <f t="shared" si="325"/>
        <v>197594190.96139881</v>
      </c>
      <c r="AY818" s="350">
        <f t="shared" si="326"/>
        <v>586474135.18952608</v>
      </c>
      <c r="AZ818" s="365"/>
      <c r="BA818" s="377">
        <f t="shared" si="327"/>
        <v>0</v>
      </c>
      <c r="BB818" s="377">
        <f t="shared" si="328"/>
        <v>0</v>
      </c>
      <c r="BC818" s="377">
        <f t="shared" si="329"/>
        <v>0</v>
      </c>
      <c r="BD818" s="377">
        <f t="shared" si="330"/>
        <v>0</v>
      </c>
      <c r="BE818" s="377">
        <f t="shared" si="331"/>
        <v>0</v>
      </c>
      <c r="BF818" s="377">
        <f t="shared" si="332"/>
        <v>0</v>
      </c>
      <c r="BG818" s="328"/>
    </row>
    <row r="819" spans="2:59">
      <c r="B819" s="332">
        <v>804</v>
      </c>
      <c r="C819" s="350">
        <v>111758084.94240452</v>
      </c>
      <c r="D819" s="350">
        <v>112674724.8079472</v>
      </c>
      <c r="E819" s="350">
        <v>113552956.12446471</v>
      </c>
      <c r="F819" s="350">
        <v>114433274.35984382</v>
      </c>
      <c r="G819" s="350">
        <v>115318414.05055434</v>
      </c>
      <c r="H819" s="348">
        <v>567737454.28521466</v>
      </c>
      <c r="I819" s="369"/>
      <c r="J819" s="350">
        <v>145167064.6998086</v>
      </c>
      <c r="K819" s="350">
        <v>180142972.5734733</v>
      </c>
      <c r="L819" s="350">
        <v>215595661.17224631</v>
      </c>
      <c r="M819" s="350">
        <v>251579608.95858273</v>
      </c>
      <c r="N819" s="350">
        <v>288103524.98161113</v>
      </c>
      <c r="O819" s="348">
        <v>1080588832.3857222</v>
      </c>
      <c r="P819" s="369"/>
      <c r="Q819" s="350">
        <f t="shared" si="333"/>
        <v>33408979.757404074</v>
      </c>
      <c r="R819" s="350">
        <f t="shared" si="334"/>
        <v>67468247.765526101</v>
      </c>
      <c r="S819" s="350">
        <f t="shared" si="335"/>
        <v>102042705.0477816</v>
      </c>
      <c r="T819" s="350">
        <f t="shared" si="336"/>
        <v>137146334.59873891</v>
      </c>
      <c r="U819" s="350">
        <f t="shared" si="337"/>
        <v>172785110.9310568</v>
      </c>
      <c r="V819" s="350">
        <f t="shared" si="338"/>
        <v>512851378.1005075</v>
      </c>
      <c r="W819" s="365"/>
      <c r="X819" s="377">
        <f t="shared" si="316"/>
        <v>0</v>
      </c>
      <c r="Y819" s="377">
        <f t="shared" si="317"/>
        <v>0</v>
      </c>
      <c r="Z819" s="377">
        <f t="shared" si="318"/>
        <v>0</v>
      </c>
      <c r="AA819" s="377">
        <f t="shared" si="319"/>
        <v>0</v>
      </c>
      <c r="AB819" s="377">
        <f t="shared" si="320"/>
        <v>0</v>
      </c>
      <c r="AC819" s="377">
        <f t="shared" si="321"/>
        <v>0</v>
      </c>
      <c r="AD819" s="376"/>
      <c r="AE819" s="332">
        <v>804</v>
      </c>
      <c r="AF819" s="350">
        <v>133159047.2627545</v>
      </c>
      <c r="AG819" s="350">
        <v>134251217.83136818</v>
      </c>
      <c r="AH819" s="350">
        <v>135297624.8581534</v>
      </c>
      <c r="AI819" s="350">
        <v>136346518.4354862</v>
      </c>
      <c r="AJ819" s="350">
        <v>137401156.74617496</v>
      </c>
      <c r="AK819" s="348">
        <v>676455565.13393724</v>
      </c>
      <c r="AL819" s="369"/>
      <c r="AM819" s="350">
        <v>167009639.02146286</v>
      </c>
      <c r="AN819" s="350">
        <v>202623793.73422945</v>
      </c>
      <c r="AO819" s="350">
        <v>238714379.12847301</v>
      </c>
      <c r="AP819" s="350">
        <v>275343813.81845397</v>
      </c>
      <c r="AQ819" s="350">
        <v>312521411.38221949</v>
      </c>
      <c r="AR819" s="348">
        <v>1196213037.0848389</v>
      </c>
      <c r="AS819" s="369"/>
      <c r="AT819" s="350">
        <f t="shared" si="339"/>
        <v>33850591.758708358</v>
      </c>
      <c r="AU819" s="350">
        <f t="shared" si="322"/>
        <v>68372575.902861267</v>
      </c>
      <c r="AV819" s="350">
        <f t="shared" si="323"/>
        <v>103416754.27031961</v>
      </c>
      <c r="AW819" s="350">
        <f t="shared" si="324"/>
        <v>138997295.38296777</v>
      </c>
      <c r="AX819" s="350">
        <f t="shared" si="325"/>
        <v>175120254.63604453</v>
      </c>
      <c r="AY819" s="350">
        <f t="shared" si="326"/>
        <v>519757471.95090163</v>
      </c>
      <c r="AZ819" s="365"/>
      <c r="BA819" s="377">
        <f t="shared" si="327"/>
        <v>0</v>
      </c>
      <c r="BB819" s="377">
        <f t="shared" si="328"/>
        <v>0</v>
      </c>
      <c r="BC819" s="377">
        <f t="shared" si="329"/>
        <v>0</v>
      </c>
      <c r="BD819" s="377">
        <f t="shared" si="330"/>
        <v>0</v>
      </c>
      <c r="BE819" s="377">
        <f t="shared" si="331"/>
        <v>0</v>
      </c>
      <c r="BF819" s="377">
        <f t="shared" si="332"/>
        <v>0</v>
      </c>
      <c r="BG819" s="328"/>
    </row>
    <row r="820" spans="2:59">
      <c r="B820" s="332">
        <v>805</v>
      </c>
      <c r="C820" s="350">
        <v>126269932.83425596</v>
      </c>
      <c r="D820" s="350">
        <v>127305598.88306953</v>
      </c>
      <c r="E820" s="350">
        <v>128297869.01195334</v>
      </c>
      <c r="F820" s="350">
        <v>129292497.0472438</v>
      </c>
      <c r="G820" s="350">
        <v>130292572.6064533</v>
      </c>
      <c r="H820" s="348">
        <v>641458470.38297594</v>
      </c>
      <c r="I820" s="369"/>
      <c r="J820" s="350">
        <v>154672898.37295404</v>
      </c>
      <c r="K820" s="350">
        <v>184678064.37663779</v>
      </c>
      <c r="L820" s="350">
        <v>215078040.91997972</v>
      </c>
      <c r="M820" s="350">
        <v>245930470.36710525</v>
      </c>
      <c r="N820" s="350">
        <v>277243523.71393776</v>
      </c>
      <c r="O820" s="348">
        <v>1077602997.7506146</v>
      </c>
      <c r="P820" s="369"/>
      <c r="Q820" s="350">
        <f t="shared" si="333"/>
        <v>28402965.538698077</v>
      </c>
      <c r="R820" s="350">
        <f t="shared" si="334"/>
        <v>57372465.493568256</v>
      </c>
      <c r="S820" s="350">
        <f t="shared" si="335"/>
        <v>86780171.908026382</v>
      </c>
      <c r="T820" s="350">
        <f t="shared" si="336"/>
        <v>116637973.31986144</v>
      </c>
      <c r="U820" s="350">
        <f t="shared" si="337"/>
        <v>146950951.10748446</v>
      </c>
      <c r="V820" s="350">
        <f t="shared" si="338"/>
        <v>436144527.36763871</v>
      </c>
      <c r="W820" s="365"/>
      <c r="X820" s="377">
        <f t="shared" si="316"/>
        <v>0</v>
      </c>
      <c r="Y820" s="377">
        <f t="shared" si="317"/>
        <v>0</v>
      </c>
      <c r="Z820" s="377">
        <f t="shared" si="318"/>
        <v>0</v>
      </c>
      <c r="AA820" s="377">
        <f t="shared" si="319"/>
        <v>0</v>
      </c>
      <c r="AB820" s="377">
        <f t="shared" si="320"/>
        <v>0</v>
      </c>
      <c r="AC820" s="377">
        <f t="shared" si="321"/>
        <v>0</v>
      </c>
      <c r="AD820" s="376"/>
      <c r="AE820" s="332">
        <v>805</v>
      </c>
      <c r="AF820" s="350">
        <v>136685350.21012026</v>
      </c>
      <c r="AG820" s="350">
        <v>137806443.51717561</v>
      </c>
      <c r="AH820" s="350">
        <v>138880561.37742308</v>
      </c>
      <c r="AI820" s="350">
        <v>139957231.63677084</v>
      </c>
      <c r="AJ820" s="350">
        <v>141039798.76085857</v>
      </c>
      <c r="AK820" s="348">
        <v>694369385.5023483</v>
      </c>
      <c r="AL820" s="369"/>
      <c r="AM820" s="350">
        <v>173258746.32661545</v>
      </c>
      <c r="AN820" s="350">
        <v>211674204.32440707</v>
      </c>
      <c r="AO820" s="350">
        <v>250606815.2593548</v>
      </c>
      <c r="AP820" s="350">
        <v>290121414.91167182</v>
      </c>
      <c r="AQ820" s="350">
        <v>330227889.5377959</v>
      </c>
      <c r="AR820" s="348">
        <v>1255889070.3598452</v>
      </c>
      <c r="AS820" s="369"/>
      <c r="AT820" s="350">
        <f t="shared" si="339"/>
        <v>36573396.116495192</v>
      </c>
      <c r="AU820" s="350">
        <f t="shared" si="322"/>
        <v>73867760.807231456</v>
      </c>
      <c r="AV820" s="350">
        <f t="shared" si="323"/>
        <v>111726253.88193172</v>
      </c>
      <c r="AW820" s="350">
        <f t="shared" si="324"/>
        <v>150164183.27490097</v>
      </c>
      <c r="AX820" s="350">
        <f t="shared" si="325"/>
        <v>189188090.77693734</v>
      </c>
      <c r="AY820" s="350">
        <f t="shared" si="326"/>
        <v>561519684.85749686</v>
      </c>
      <c r="AZ820" s="365"/>
      <c r="BA820" s="377">
        <f t="shared" si="327"/>
        <v>0</v>
      </c>
      <c r="BB820" s="377">
        <f t="shared" si="328"/>
        <v>0</v>
      </c>
      <c r="BC820" s="377">
        <f t="shared" si="329"/>
        <v>0</v>
      </c>
      <c r="BD820" s="377">
        <f t="shared" si="330"/>
        <v>0</v>
      </c>
      <c r="BE820" s="377">
        <f t="shared" si="331"/>
        <v>0</v>
      </c>
      <c r="BF820" s="377">
        <f t="shared" si="332"/>
        <v>0</v>
      </c>
      <c r="BG820" s="328"/>
    </row>
    <row r="821" spans="2:59">
      <c r="B821" s="332">
        <v>806</v>
      </c>
      <c r="C821" s="350">
        <v>149958987.56060183</v>
      </c>
      <c r="D821" s="350">
        <v>151188951.24748233</v>
      </c>
      <c r="E821" s="350">
        <v>152367377.65964621</v>
      </c>
      <c r="F821" s="350">
        <v>153548604.33668366</v>
      </c>
      <c r="G821" s="350">
        <v>154736300.52830207</v>
      </c>
      <c r="H821" s="348">
        <v>761800221.33271611</v>
      </c>
      <c r="I821" s="369"/>
      <c r="J821" s="350">
        <v>186262265.72095388</v>
      </c>
      <c r="K821" s="350">
        <v>224508068.02356967</v>
      </c>
      <c r="L821" s="350">
        <v>263262246.92100328</v>
      </c>
      <c r="M821" s="350">
        <v>302594334.65692657</v>
      </c>
      <c r="N821" s="350">
        <v>342514493.48588818</v>
      </c>
      <c r="O821" s="348">
        <v>1319141408.8083417</v>
      </c>
      <c r="P821" s="369"/>
      <c r="Q821" s="350">
        <f t="shared" si="333"/>
        <v>36303278.160352051</v>
      </c>
      <c r="R821" s="350">
        <f t="shared" si="334"/>
        <v>73319116.776087344</v>
      </c>
      <c r="S821" s="350">
        <f t="shared" si="335"/>
        <v>110894869.26135707</v>
      </c>
      <c r="T821" s="350">
        <f t="shared" si="336"/>
        <v>149045730.32024291</v>
      </c>
      <c r="U821" s="350">
        <f t="shared" si="337"/>
        <v>187778192.95758611</v>
      </c>
      <c r="V821" s="350">
        <f t="shared" si="338"/>
        <v>557341187.47562563</v>
      </c>
      <c r="W821" s="365"/>
      <c r="X821" s="377">
        <f t="shared" si="316"/>
        <v>0</v>
      </c>
      <c r="Y821" s="377">
        <f t="shared" si="317"/>
        <v>0</v>
      </c>
      <c r="Z821" s="377">
        <f t="shared" si="318"/>
        <v>0</v>
      </c>
      <c r="AA821" s="377">
        <f t="shared" si="319"/>
        <v>0</v>
      </c>
      <c r="AB821" s="377">
        <f t="shared" si="320"/>
        <v>0</v>
      </c>
      <c r="AC821" s="377">
        <f t="shared" si="321"/>
        <v>0</v>
      </c>
      <c r="AD821" s="376"/>
      <c r="AE821" s="332">
        <v>806</v>
      </c>
      <c r="AF821" s="350">
        <v>113275395.99026117</v>
      </c>
      <c r="AG821" s="350">
        <v>114204480.84173581</v>
      </c>
      <c r="AH821" s="350">
        <v>115094635.68110012</v>
      </c>
      <c r="AI821" s="350">
        <v>115986905.77289176</v>
      </c>
      <c r="AJ821" s="350">
        <v>116884062.77968556</v>
      </c>
      <c r="AK821" s="348">
        <v>575445481.06567442</v>
      </c>
      <c r="AL821" s="369"/>
      <c r="AM821" s="350">
        <v>145638019.2293922</v>
      </c>
      <c r="AN821" s="350">
        <v>179574868.73687366</v>
      </c>
      <c r="AO821" s="350">
        <v>213972079.23513275</v>
      </c>
      <c r="AP821" s="350">
        <v>248884241.88690689</v>
      </c>
      <c r="AQ821" s="350">
        <v>284319918.07117361</v>
      </c>
      <c r="AR821" s="348">
        <v>1072389127.1594791</v>
      </c>
      <c r="AS821" s="369"/>
      <c r="AT821" s="350">
        <f t="shared" si="339"/>
        <v>32362623.239131033</v>
      </c>
      <c r="AU821" s="350">
        <f t="shared" si="322"/>
        <v>65370387.895137846</v>
      </c>
      <c r="AV821" s="350">
        <f t="shared" si="323"/>
        <v>98877443.554032639</v>
      </c>
      <c r="AW821" s="350">
        <f t="shared" si="324"/>
        <v>132897336.11401513</v>
      </c>
      <c r="AX821" s="350">
        <f t="shared" si="325"/>
        <v>167435855.29148805</v>
      </c>
      <c r="AY821" s="350">
        <f t="shared" si="326"/>
        <v>496943646.09380472</v>
      </c>
      <c r="AZ821" s="365"/>
      <c r="BA821" s="377">
        <f t="shared" si="327"/>
        <v>0</v>
      </c>
      <c r="BB821" s="377">
        <f t="shared" si="328"/>
        <v>0</v>
      </c>
      <c r="BC821" s="377">
        <f t="shared" si="329"/>
        <v>0</v>
      </c>
      <c r="BD821" s="377">
        <f t="shared" si="330"/>
        <v>0</v>
      </c>
      <c r="BE821" s="377">
        <f t="shared" si="331"/>
        <v>0</v>
      </c>
      <c r="BF821" s="377">
        <f t="shared" si="332"/>
        <v>0</v>
      </c>
      <c r="BG821" s="328"/>
    </row>
    <row r="822" spans="2:59">
      <c r="B822" s="332">
        <v>807</v>
      </c>
      <c r="C822" s="350">
        <v>131873800.36038218</v>
      </c>
      <c r="D822" s="350">
        <v>132955429.33329487</v>
      </c>
      <c r="E822" s="350">
        <v>133991736.47263387</v>
      </c>
      <c r="F822" s="350">
        <v>135030506.16241348</v>
      </c>
      <c r="G822" s="350">
        <v>136074965.13756475</v>
      </c>
      <c r="H822" s="348">
        <v>669926437.46628916</v>
      </c>
      <c r="I822" s="369"/>
      <c r="J822" s="350">
        <v>158749538.16388166</v>
      </c>
      <c r="K822" s="350">
        <v>187260380.21554649</v>
      </c>
      <c r="L822" s="350">
        <v>216140815.82586583</v>
      </c>
      <c r="M822" s="350">
        <v>245449879.63686815</v>
      </c>
      <c r="N822" s="350">
        <v>275195609.1926229</v>
      </c>
      <c r="O822" s="348">
        <v>1082796223.034785</v>
      </c>
      <c r="P822" s="369"/>
      <c r="Q822" s="350">
        <f t="shared" si="333"/>
        <v>26875737.803499475</v>
      </c>
      <c r="R822" s="350">
        <f t="shared" si="334"/>
        <v>54304950.88225162</v>
      </c>
      <c r="S822" s="350">
        <f t="shared" si="335"/>
        <v>82149079.353231966</v>
      </c>
      <c r="T822" s="350">
        <f t="shared" si="336"/>
        <v>110419373.47445467</v>
      </c>
      <c r="U822" s="350">
        <f t="shared" si="337"/>
        <v>139120644.05505815</v>
      </c>
      <c r="V822" s="350">
        <f t="shared" si="338"/>
        <v>412869785.56849587</v>
      </c>
      <c r="W822" s="365"/>
      <c r="X822" s="377">
        <f t="shared" si="316"/>
        <v>0</v>
      </c>
      <c r="Y822" s="377">
        <f t="shared" si="317"/>
        <v>0</v>
      </c>
      <c r="Z822" s="377">
        <f t="shared" si="318"/>
        <v>0</v>
      </c>
      <c r="AA822" s="377">
        <f t="shared" si="319"/>
        <v>0</v>
      </c>
      <c r="AB822" s="377">
        <f t="shared" si="320"/>
        <v>0</v>
      </c>
      <c r="AC822" s="377">
        <f t="shared" si="321"/>
        <v>0</v>
      </c>
      <c r="AD822" s="376"/>
      <c r="AE822" s="332">
        <v>807</v>
      </c>
      <c r="AF822" s="350">
        <v>130072976.40910342</v>
      </c>
      <c r="AG822" s="350">
        <v>131139835.0231162</v>
      </c>
      <c r="AH822" s="350">
        <v>132161990.7031638</v>
      </c>
      <c r="AI822" s="350">
        <v>133186575.30589724</v>
      </c>
      <c r="AJ822" s="350">
        <v>134216771.50304841</v>
      </c>
      <c r="AK822" s="348">
        <v>660778148.94432902</v>
      </c>
      <c r="AL822" s="369"/>
      <c r="AM822" s="350">
        <v>166787392.69312689</v>
      </c>
      <c r="AN822" s="350">
        <v>205307620.4547095</v>
      </c>
      <c r="AO822" s="350">
        <v>244349685.8574377</v>
      </c>
      <c r="AP822" s="350">
        <v>283976088.56162512</v>
      </c>
      <c r="AQ822" s="350">
        <v>324196580.5745483</v>
      </c>
      <c r="AR822" s="348">
        <v>1224617368.1414475</v>
      </c>
      <c r="AS822" s="369"/>
      <c r="AT822" s="350">
        <f t="shared" si="339"/>
        <v>36714416.284023464</v>
      </c>
      <c r="AU822" s="350">
        <f t="shared" si="322"/>
        <v>74167785.431593299</v>
      </c>
      <c r="AV822" s="350">
        <f t="shared" si="323"/>
        <v>112187695.1542739</v>
      </c>
      <c r="AW822" s="350">
        <f t="shared" si="324"/>
        <v>150789513.25572789</v>
      </c>
      <c r="AX822" s="350">
        <f t="shared" si="325"/>
        <v>189979809.07149988</v>
      </c>
      <c r="AY822" s="350">
        <f t="shared" si="326"/>
        <v>563839219.19711852</v>
      </c>
      <c r="AZ822" s="365"/>
      <c r="BA822" s="377">
        <f t="shared" si="327"/>
        <v>0</v>
      </c>
      <c r="BB822" s="377">
        <f t="shared" si="328"/>
        <v>0</v>
      </c>
      <c r="BC822" s="377">
        <f t="shared" si="329"/>
        <v>0</v>
      </c>
      <c r="BD822" s="377">
        <f t="shared" si="330"/>
        <v>0</v>
      </c>
      <c r="BE822" s="377">
        <f t="shared" si="331"/>
        <v>0</v>
      </c>
      <c r="BF822" s="377">
        <f t="shared" si="332"/>
        <v>0</v>
      </c>
      <c r="BG822" s="328"/>
    </row>
    <row r="823" spans="2:59">
      <c r="B823" s="332">
        <v>808</v>
      </c>
      <c r="C823" s="350">
        <v>113197811.02623735</v>
      </c>
      <c r="D823" s="350">
        <v>114126259.52580036</v>
      </c>
      <c r="E823" s="350">
        <v>115015804.6773275</v>
      </c>
      <c r="F823" s="350">
        <v>115907463.63249615</v>
      </c>
      <c r="G823" s="350">
        <v>116804006.15550473</v>
      </c>
      <c r="H823" s="348">
        <v>575051345.01736605</v>
      </c>
      <c r="I823" s="369"/>
      <c r="J823" s="350">
        <v>137962124.80635363</v>
      </c>
      <c r="K823" s="350">
        <v>164172419.13940477</v>
      </c>
      <c r="L823" s="350">
        <v>190726246.26988113</v>
      </c>
      <c r="M823" s="350">
        <v>217674990.17846349</v>
      </c>
      <c r="N823" s="350">
        <v>245025854.64028987</v>
      </c>
      <c r="O823" s="348">
        <v>955561635.03439295</v>
      </c>
      <c r="P823" s="369"/>
      <c r="Q823" s="350">
        <f t="shared" si="333"/>
        <v>24764313.780116275</v>
      </c>
      <c r="R823" s="350">
        <f t="shared" si="334"/>
        <v>50046159.613604411</v>
      </c>
      <c r="S823" s="350">
        <f t="shared" si="335"/>
        <v>75710441.59255363</v>
      </c>
      <c r="T823" s="350">
        <f t="shared" si="336"/>
        <v>101767526.54596734</v>
      </c>
      <c r="U823" s="350">
        <f t="shared" si="337"/>
        <v>128221848.48478514</v>
      </c>
      <c r="V823" s="350">
        <f t="shared" si="338"/>
        <v>380510290.0170269</v>
      </c>
      <c r="W823" s="365"/>
      <c r="X823" s="377">
        <f t="shared" si="316"/>
        <v>0</v>
      </c>
      <c r="Y823" s="377">
        <f t="shared" si="317"/>
        <v>0</v>
      </c>
      <c r="Z823" s="377">
        <f t="shared" si="318"/>
        <v>0</v>
      </c>
      <c r="AA823" s="377">
        <f t="shared" si="319"/>
        <v>0</v>
      </c>
      <c r="AB823" s="377">
        <f t="shared" si="320"/>
        <v>0</v>
      </c>
      <c r="AC823" s="377">
        <f t="shared" si="321"/>
        <v>0</v>
      </c>
      <c r="AD823" s="376"/>
      <c r="AE823" s="332">
        <v>808</v>
      </c>
      <c r="AF823" s="350">
        <v>112627818.85151145</v>
      </c>
      <c r="AG823" s="350">
        <v>113551592.27498785</v>
      </c>
      <c r="AH823" s="350">
        <v>114436658.24294385</v>
      </c>
      <c r="AI823" s="350">
        <v>115323827.37077078</v>
      </c>
      <c r="AJ823" s="350">
        <v>116215855.47589627</v>
      </c>
      <c r="AK823" s="348">
        <v>572155752.21611023</v>
      </c>
      <c r="AL823" s="369"/>
      <c r="AM823" s="350">
        <v>141108391.30680603</v>
      </c>
      <c r="AN823" s="350">
        <v>171081795.62647784</v>
      </c>
      <c r="AO823" s="350">
        <v>201455911.50025871</v>
      </c>
      <c r="AP823" s="350">
        <v>232283470.61924016</v>
      </c>
      <c r="AQ823" s="350">
        <v>263572324.21236539</v>
      </c>
      <c r="AR823" s="348">
        <v>1009501893.2651482</v>
      </c>
      <c r="AS823" s="369"/>
      <c r="AT823" s="350">
        <f t="shared" si="339"/>
        <v>28480572.455294579</v>
      </c>
      <c r="AU823" s="350">
        <f t="shared" si="322"/>
        <v>57530203.351489991</v>
      </c>
      <c r="AV823" s="350">
        <f t="shared" si="323"/>
        <v>87019253.257314861</v>
      </c>
      <c r="AW823" s="350">
        <f t="shared" si="324"/>
        <v>116959643.24846938</v>
      </c>
      <c r="AX823" s="350">
        <f t="shared" si="325"/>
        <v>147356468.73646912</v>
      </c>
      <c r="AY823" s="350">
        <f t="shared" si="326"/>
        <v>437346141.04903793</v>
      </c>
      <c r="AZ823" s="365"/>
      <c r="BA823" s="377">
        <f t="shared" si="327"/>
        <v>0</v>
      </c>
      <c r="BB823" s="377">
        <f t="shared" si="328"/>
        <v>0</v>
      </c>
      <c r="BC823" s="377">
        <f t="shared" si="329"/>
        <v>0</v>
      </c>
      <c r="BD823" s="377">
        <f t="shared" si="330"/>
        <v>0</v>
      </c>
      <c r="BE823" s="377">
        <f t="shared" si="331"/>
        <v>0</v>
      </c>
      <c r="BF823" s="377">
        <f t="shared" si="332"/>
        <v>0</v>
      </c>
      <c r="BG823" s="328"/>
    </row>
    <row r="824" spans="2:59">
      <c r="B824" s="332">
        <v>809</v>
      </c>
      <c r="C824" s="350">
        <v>156672702.9130159</v>
      </c>
      <c r="D824" s="350">
        <v>157957732.49639148</v>
      </c>
      <c r="E824" s="350">
        <v>159188917.46356922</v>
      </c>
      <c r="F824" s="350">
        <v>160423028.06444013</v>
      </c>
      <c r="G824" s="350">
        <v>161663897.82228076</v>
      </c>
      <c r="H824" s="348">
        <v>795906278.75969756</v>
      </c>
      <c r="I824" s="369"/>
      <c r="J824" s="350">
        <v>189158820.51224098</v>
      </c>
      <c r="K824" s="350">
        <v>223609985.37954426</v>
      </c>
      <c r="L824" s="350">
        <v>258509007.20809147</v>
      </c>
      <c r="M824" s="350">
        <v>293926255.63763452</v>
      </c>
      <c r="N824" s="350">
        <v>329871380.9489646</v>
      </c>
      <c r="O824" s="348">
        <v>1295075449.6864758</v>
      </c>
      <c r="P824" s="369"/>
      <c r="Q824" s="350">
        <f t="shared" si="333"/>
        <v>32486117.599225074</v>
      </c>
      <c r="R824" s="350">
        <f t="shared" si="334"/>
        <v>65652252.883152783</v>
      </c>
      <c r="S824" s="350">
        <f t="shared" si="335"/>
        <v>99320089.744522244</v>
      </c>
      <c r="T824" s="350">
        <f t="shared" si="336"/>
        <v>133503227.57319438</v>
      </c>
      <c r="U824" s="350">
        <f t="shared" si="337"/>
        <v>168207483.12668383</v>
      </c>
      <c r="V824" s="350">
        <f t="shared" si="338"/>
        <v>499169170.9267782</v>
      </c>
      <c r="W824" s="365"/>
      <c r="X824" s="377">
        <f t="shared" si="316"/>
        <v>0</v>
      </c>
      <c r="Y824" s="377">
        <f t="shared" si="317"/>
        <v>0</v>
      </c>
      <c r="Z824" s="377">
        <f t="shared" si="318"/>
        <v>0</v>
      </c>
      <c r="AA824" s="377">
        <f t="shared" si="319"/>
        <v>0</v>
      </c>
      <c r="AB824" s="377">
        <f t="shared" si="320"/>
        <v>0</v>
      </c>
      <c r="AC824" s="377">
        <f t="shared" si="321"/>
        <v>0</v>
      </c>
      <c r="AD824" s="376"/>
      <c r="AE824" s="332">
        <v>809</v>
      </c>
      <c r="AF824" s="350">
        <v>132125363.46456221</v>
      </c>
      <c r="AG824" s="350">
        <v>133209055.75817432</v>
      </c>
      <c r="AH824" s="350">
        <v>134247339.76206213</v>
      </c>
      <c r="AI824" s="350">
        <v>135288091.01396388</v>
      </c>
      <c r="AJ824" s="350">
        <v>136334542.40414569</v>
      </c>
      <c r="AK824" s="348">
        <v>671204392.40290821</v>
      </c>
      <c r="AL824" s="369"/>
      <c r="AM824" s="350">
        <v>169230724.0659712</v>
      </c>
      <c r="AN824" s="350">
        <v>208174472.41837427</v>
      </c>
      <c r="AO824" s="350">
        <v>247645508.46910092</v>
      </c>
      <c r="AP824" s="350">
        <v>287707239.63730133</v>
      </c>
      <c r="AQ824" s="350">
        <v>328369539.30262911</v>
      </c>
      <c r="AR824" s="348">
        <v>1241127483.8933768</v>
      </c>
      <c r="AS824" s="369"/>
      <c r="AT824" s="350">
        <f t="shared" si="339"/>
        <v>37105360.601408988</v>
      </c>
      <c r="AU824" s="350">
        <f t="shared" si="322"/>
        <v>74965416.660199955</v>
      </c>
      <c r="AV824" s="350">
        <f t="shared" si="323"/>
        <v>113398168.70703879</v>
      </c>
      <c r="AW824" s="350">
        <f t="shared" si="324"/>
        <v>152419148.62333745</v>
      </c>
      <c r="AX824" s="350">
        <f t="shared" si="325"/>
        <v>192034996.89848343</v>
      </c>
      <c r="AY824" s="350">
        <f t="shared" si="326"/>
        <v>569923091.49046862</v>
      </c>
      <c r="AZ824" s="365"/>
      <c r="BA824" s="377">
        <f t="shared" si="327"/>
        <v>0</v>
      </c>
      <c r="BB824" s="377">
        <f t="shared" si="328"/>
        <v>0</v>
      </c>
      <c r="BC824" s="377">
        <f t="shared" si="329"/>
        <v>0</v>
      </c>
      <c r="BD824" s="377">
        <f t="shared" si="330"/>
        <v>0</v>
      </c>
      <c r="BE824" s="377">
        <f t="shared" si="331"/>
        <v>0</v>
      </c>
      <c r="BF824" s="377">
        <f t="shared" si="332"/>
        <v>0</v>
      </c>
      <c r="BG824" s="328"/>
    </row>
    <row r="825" spans="2:59">
      <c r="B825" s="332">
        <v>810</v>
      </c>
      <c r="C825" s="350">
        <v>148613709.46388313</v>
      </c>
      <c r="D825" s="350">
        <v>149832639.17917818</v>
      </c>
      <c r="E825" s="350">
        <v>151000493.95928007</v>
      </c>
      <c r="F825" s="350">
        <v>152171123.88315368</v>
      </c>
      <c r="G825" s="350">
        <v>153348165.28376463</v>
      </c>
      <c r="H825" s="348">
        <v>754966131.76925969</v>
      </c>
      <c r="I825" s="369"/>
      <c r="J825" s="350">
        <v>192259844.18037894</v>
      </c>
      <c r="K825" s="350">
        <v>237976393.36797044</v>
      </c>
      <c r="L825" s="350">
        <v>284314950.98682696</v>
      </c>
      <c r="M825" s="350">
        <v>331347634.87692803</v>
      </c>
      <c r="N825" s="350">
        <v>379085886.88512778</v>
      </c>
      <c r="O825" s="348">
        <v>1424984710.2972322</v>
      </c>
      <c r="P825" s="369"/>
      <c r="Q825" s="350">
        <f t="shared" si="333"/>
        <v>43646134.716495812</v>
      </c>
      <c r="R825" s="350">
        <f t="shared" si="334"/>
        <v>88143754.188792259</v>
      </c>
      <c r="S825" s="350">
        <f t="shared" si="335"/>
        <v>133314457.02754688</v>
      </c>
      <c r="T825" s="350">
        <f t="shared" si="336"/>
        <v>179176510.99377435</v>
      </c>
      <c r="U825" s="350">
        <f t="shared" si="337"/>
        <v>225737721.60136315</v>
      </c>
      <c r="V825" s="350">
        <f t="shared" si="338"/>
        <v>670018578.52797246</v>
      </c>
      <c r="W825" s="365"/>
      <c r="X825" s="377">
        <f t="shared" si="316"/>
        <v>0</v>
      </c>
      <c r="Y825" s="377">
        <f t="shared" si="317"/>
        <v>0</v>
      </c>
      <c r="Z825" s="377">
        <f t="shared" si="318"/>
        <v>0</v>
      </c>
      <c r="AA825" s="377">
        <f t="shared" si="319"/>
        <v>0</v>
      </c>
      <c r="AB825" s="377">
        <f t="shared" si="320"/>
        <v>0</v>
      </c>
      <c r="AC825" s="377">
        <f t="shared" si="321"/>
        <v>0</v>
      </c>
      <c r="AD825" s="376"/>
      <c r="AE825" s="332">
        <v>810</v>
      </c>
      <c r="AF825" s="350">
        <v>126278773.96488251</v>
      </c>
      <c r="AG825" s="350">
        <v>127314512.52865368</v>
      </c>
      <c r="AH825" s="350">
        <v>128306852.13401246</v>
      </c>
      <c r="AI825" s="350">
        <v>129301549.81087305</v>
      </c>
      <c r="AJ825" s="350">
        <v>130301695.39307576</v>
      </c>
      <c r="AK825" s="348">
        <v>641503383.83149743</v>
      </c>
      <c r="AL825" s="369"/>
      <c r="AM825" s="350">
        <v>153296670.8614009</v>
      </c>
      <c r="AN825" s="350">
        <v>181886923.66907102</v>
      </c>
      <c r="AO825" s="350">
        <v>210850579.17112115</v>
      </c>
      <c r="AP825" s="350">
        <v>240244703.06428799</v>
      </c>
      <c r="AQ825" s="350">
        <v>270077218.41819853</v>
      </c>
      <c r="AR825" s="348">
        <v>1056356095.1840796</v>
      </c>
      <c r="AS825" s="369"/>
      <c r="AT825" s="350">
        <f t="shared" si="339"/>
        <v>27017896.896518394</v>
      </c>
      <c r="AU825" s="350">
        <f t="shared" si="322"/>
        <v>54572411.140417337</v>
      </c>
      <c r="AV825" s="350">
        <f t="shared" si="323"/>
        <v>82543727.03710869</v>
      </c>
      <c r="AW825" s="350">
        <f t="shared" si="324"/>
        <v>110943153.25341494</v>
      </c>
      <c r="AX825" s="350">
        <f t="shared" si="325"/>
        <v>139775523.02512276</v>
      </c>
      <c r="AY825" s="350">
        <f t="shared" si="326"/>
        <v>414852711.35258222</v>
      </c>
      <c r="AZ825" s="365"/>
      <c r="BA825" s="377">
        <f t="shared" si="327"/>
        <v>0</v>
      </c>
      <c r="BB825" s="377">
        <f t="shared" si="328"/>
        <v>0</v>
      </c>
      <c r="BC825" s="377">
        <f t="shared" si="329"/>
        <v>0</v>
      </c>
      <c r="BD825" s="377">
        <f t="shared" si="330"/>
        <v>0</v>
      </c>
      <c r="BE825" s="377">
        <f t="shared" si="331"/>
        <v>0</v>
      </c>
      <c r="BF825" s="377">
        <f t="shared" si="332"/>
        <v>0</v>
      </c>
      <c r="BG825" s="328"/>
    </row>
    <row r="826" spans="2:59">
      <c r="B826" s="332">
        <v>811</v>
      </c>
      <c r="C826" s="350">
        <v>122063632.09324618</v>
      </c>
      <c r="D826" s="350">
        <v>123064798.06139302</v>
      </c>
      <c r="E826" s="350">
        <v>124024013.7133739</v>
      </c>
      <c r="F826" s="350">
        <v>124985508.72524413</v>
      </c>
      <c r="G826" s="350">
        <v>125952269.79325725</v>
      </c>
      <c r="H826" s="348">
        <v>620090222.38651443</v>
      </c>
      <c r="I826" s="369"/>
      <c r="J826" s="350">
        <v>150013976.95613146</v>
      </c>
      <c r="K826" s="350">
        <v>179530173.81519926</v>
      </c>
      <c r="L826" s="350">
        <v>209435755.6213688</v>
      </c>
      <c r="M826" s="350">
        <v>239786651.53544655</v>
      </c>
      <c r="N826" s="350">
        <v>270590849.7527861</v>
      </c>
      <c r="O826" s="348">
        <v>1049357407.680932</v>
      </c>
      <c r="P826" s="369"/>
      <c r="Q826" s="350">
        <f t="shared" si="333"/>
        <v>27950344.862885281</v>
      </c>
      <c r="R826" s="350">
        <f t="shared" si="334"/>
        <v>56465375.753806233</v>
      </c>
      <c r="S826" s="350">
        <f t="shared" si="335"/>
        <v>85411741.907994896</v>
      </c>
      <c r="T826" s="350">
        <f t="shared" si="336"/>
        <v>114801142.81020242</v>
      </c>
      <c r="U826" s="350">
        <f t="shared" si="337"/>
        <v>144638579.95952886</v>
      </c>
      <c r="V826" s="350">
        <f t="shared" si="338"/>
        <v>429267185.29441762</v>
      </c>
      <c r="W826" s="365"/>
      <c r="X826" s="377">
        <f t="shared" si="316"/>
        <v>0</v>
      </c>
      <c r="Y826" s="377">
        <f t="shared" si="317"/>
        <v>0</v>
      </c>
      <c r="Z826" s="377">
        <f t="shared" si="318"/>
        <v>0</v>
      </c>
      <c r="AA826" s="377">
        <f t="shared" si="319"/>
        <v>0</v>
      </c>
      <c r="AB826" s="377">
        <f t="shared" si="320"/>
        <v>0</v>
      </c>
      <c r="AC826" s="377">
        <f t="shared" si="321"/>
        <v>0</v>
      </c>
      <c r="AD826" s="376"/>
      <c r="AE826" s="332">
        <v>811</v>
      </c>
      <c r="AF826" s="350">
        <v>143035582.87830281</v>
      </c>
      <c r="AG826" s="350">
        <v>144208760.79670534</v>
      </c>
      <c r="AH826" s="350">
        <v>145332780.84702027</v>
      </c>
      <c r="AI826" s="350">
        <v>146459471.87774742</v>
      </c>
      <c r="AJ826" s="350">
        <v>147592333.73427215</v>
      </c>
      <c r="AK826" s="348">
        <v>726628930.13404799</v>
      </c>
      <c r="AL826" s="369"/>
      <c r="AM826" s="350">
        <v>182556487.35109824</v>
      </c>
      <c r="AN826" s="350">
        <v>224032147.00731292</v>
      </c>
      <c r="AO826" s="350">
        <v>266068280.23107064</v>
      </c>
      <c r="AP826" s="350">
        <v>308733257.63520247</v>
      </c>
      <c r="AQ826" s="350">
        <v>352037648.45157135</v>
      </c>
      <c r="AR826" s="348">
        <v>1333427820.6762557</v>
      </c>
      <c r="AS826" s="369"/>
      <c r="AT826" s="350">
        <f t="shared" si="339"/>
        <v>39520904.472795427</v>
      </c>
      <c r="AU826" s="350">
        <f t="shared" si="322"/>
        <v>79823386.210607588</v>
      </c>
      <c r="AV826" s="350">
        <f t="shared" si="323"/>
        <v>120735499.38405037</v>
      </c>
      <c r="AW826" s="350">
        <f t="shared" si="324"/>
        <v>162273785.75745505</v>
      </c>
      <c r="AX826" s="350">
        <f t="shared" si="325"/>
        <v>204445314.71729919</v>
      </c>
      <c r="AY826" s="350">
        <f t="shared" si="326"/>
        <v>606798890.54220772</v>
      </c>
      <c r="AZ826" s="365"/>
      <c r="BA826" s="377">
        <f t="shared" si="327"/>
        <v>0</v>
      </c>
      <c r="BB826" s="377">
        <f t="shared" si="328"/>
        <v>0</v>
      </c>
      <c r="BC826" s="377">
        <f t="shared" si="329"/>
        <v>0</v>
      </c>
      <c r="BD826" s="377">
        <f t="shared" si="330"/>
        <v>0</v>
      </c>
      <c r="BE826" s="377">
        <f t="shared" si="331"/>
        <v>0</v>
      </c>
      <c r="BF826" s="377">
        <f t="shared" si="332"/>
        <v>0</v>
      </c>
      <c r="BG826" s="328"/>
    </row>
    <row r="827" spans="2:59">
      <c r="B827" s="332">
        <v>812</v>
      </c>
      <c r="C827" s="350">
        <v>116260859.15972546</v>
      </c>
      <c r="D827" s="350">
        <v>117214430.78152776</v>
      </c>
      <c r="E827" s="350">
        <v>118128046.35978255</v>
      </c>
      <c r="F827" s="350">
        <v>119043832.93962499</v>
      </c>
      <c r="G827" s="350">
        <v>119964635.23300192</v>
      </c>
      <c r="H827" s="348">
        <v>590611804.47366273</v>
      </c>
      <c r="I827" s="369"/>
      <c r="J827" s="350">
        <v>148034119.42239824</v>
      </c>
      <c r="K827" s="350">
        <v>181380490.26983273</v>
      </c>
      <c r="L827" s="350">
        <v>215176887.41491091</v>
      </c>
      <c r="M827" s="350">
        <v>249478736.3438074</v>
      </c>
      <c r="N827" s="350">
        <v>284294563.93240225</v>
      </c>
      <c r="O827" s="348">
        <v>1078364797.3833513</v>
      </c>
      <c r="P827" s="369"/>
      <c r="Q827" s="350">
        <f t="shared" si="333"/>
        <v>31773260.262672782</v>
      </c>
      <c r="R827" s="350">
        <f t="shared" si="334"/>
        <v>64166059.488304973</v>
      </c>
      <c r="S827" s="350">
        <f t="shared" si="335"/>
        <v>97048841.055128366</v>
      </c>
      <c r="T827" s="350">
        <f t="shared" si="336"/>
        <v>130434903.4041824</v>
      </c>
      <c r="U827" s="350">
        <f t="shared" si="337"/>
        <v>164329928.69940034</v>
      </c>
      <c r="V827" s="350">
        <f t="shared" si="338"/>
        <v>487752992.90968859</v>
      </c>
      <c r="W827" s="365"/>
      <c r="X827" s="377">
        <f t="shared" si="316"/>
        <v>0</v>
      </c>
      <c r="Y827" s="377">
        <f t="shared" si="317"/>
        <v>0</v>
      </c>
      <c r="Z827" s="377">
        <f t="shared" si="318"/>
        <v>0</v>
      </c>
      <c r="AA827" s="377">
        <f t="shared" si="319"/>
        <v>0</v>
      </c>
      <c r="AB827" s="377">
        <f t="shared" si="320"/>
        <v>0</v>
      </c>
      <c r="AC827" s="377">
        <f t="shared" si="321"/>
        <v>0</v>
      </c>
      <c r="AD827" s="376"/>
      <c r="AE827" s="332">
        <v>812</v>
      </c>
      <c r="AF827" s="350">
        <v>120608795.50520471</v>
      </c>
      <c r="AG827" s="350">
        <v>121598028.90296854</v>
      </c>
      <c r="AH827" s="350">
        <v>122545811.97669171</v>
      </c>
      <c r="AI827" s="350">
        <v>123495847.24335772</v>
      </c>
      <c r="AJ827" s="350">
        <v>124451085.80176237</v>
      </c>
      <c r="AK827" s="348">
        <v>612699569.42998505</v>
      </c>
      <c r="AL827" s="369"/>
      <c r="AM827" s="350">
        <v>148036509.65320489</v>
      </c>
      <c r="AN827" s="350">
        <v>177000764.95841655</v>
      </c>
      <c r="AO827" s="350">
        <v>206346733.55487365</v>
      </c>
      <c r="AP827" s="350">
        <v>236129598.30207404</v>
      </c>
      <c r="AQ827" s="350">
        <v>266357217.2362324</v>
      </c>
      <c r="AR827" s="348">
        <v>1033870823.7048016</v>
      </c>
      <c r="AS827" s="369"/>
      <c r="AT827" s="350">
        <f t="shared" si="339"/>
        <v>27427714.148000181</v>
      </c>
      <c r="AU827" s="350">
        <f t="shared" si="322"/>
        <v>55402736.055448011</v>
      </c>
      <c r="AV827" s="350">
        <f t="shared" si="323"/>
        <v>83800921.578181937</v>
      </c>
      <c r="AW827" s="350">
        <f t="shared" si="324"/>
        <v>112633751.05871633</v>
      </c>
      <c r="AX827" s="350">
        <f t="shared" si="325"/>
        <v>141906131.43447003</v>
      </c>
      <c r="AY827" s="350">
        <f t="shared" si="326"/>
        <v>421171254.27481651</v>
      </c>
      <c r="AZ827" s="365"/>
      <c r="BA827" s="377">
        <f t="shared" si="327"/>
        <v>0</v>
      </c>
      <c r="BB827" s="377">
        <f t="shared" si="328"/>
        <v>0</v>
      </c>
      <c r="BC827" s="377">
        <f t="shared" si="329"/>
        <v>0</v>
      </c>
      <c r="BD827" s="377">
        <f t="shared" si="330"/>
        <v>0</v>
      </c>
      <c r="BE827" s="377">
        <f t="shared" si="331"/>
        <v>0</v>
      </c>
      <c r="BF827" s="377">
        <f t="shared" si="332"/>
        <v>0</v>
      </c>
      <c r="BG827" s="328"/>
    </row>
    <row r="828" spans="2:59">
      <c r="B828" s="332">
        <v>813</v>
      </c>
      <c r="C828" s="350">
        <v>137467981.38373703</v>
      </c>
      <c r="D828" s="350">
        <v>138595493.83204845</v>
      </c>
      <c r="E828" s="350">
        <v>139675761.86215889</v>
      </c>
      <c r="F828" s="350">
        <v>140758596.90586266</v>
      </c>
      <c r="G828" s="350">
        <v>141847362.57849666</v>
      </c>
      <c r="H828" s="348">
        <v>698345196.56230378</v>
      </c>
      <c r="I828" s="369"/>
      <c r="J828" s="350">
        <v>173070433.64733061</v>
      </c>
      <c r="K828" s="350">
        <v>210494238.52350864</v>
      </c>
      <c r="L828" s="350">
        <v>248419826.46052262</v>
      </c>
      <c r="M828" s="350">
        <v>286911909.98835546</v>
      </c>
      <c r="N828" s="350">
        <v>325980219.62352699</v>
      </c>
      <c r="O828" s="348">
        <v>1244876628.2432444</v>
      </c>
      <c r="P828" s="369"/>
      <c r="Q828" s="350">
        <f t="shared" si="333"/>
        <v>35602452.263593584</v>
      </c>
      <c r="R828" s="350">
        <f t="shared" si="334"/>
        <v>71898744.691460192</v>
      </c>
      <c r="S828" s="350">
        <f t="shared" si="335"/>
        <v>108744064.59836373</v>
      </c>
      <c r="T828" s="350">
        <f t="shared" si="336"/>
        <v>146153313.0824928</v>
      </c>
      <c r="U828" s="350">
        <f t="shared" si="337"/>
        <v>184132857.04503033</v>
      </c>
      <c r="V828" s="350">
        <f t="shared" si="338"/>
        <v>546531431.68094063</v>
      </c>
      <c r="W828" s="365"/>
      <c r="X828" s="377">
        <f t="shared" si="316"/>
        <v>0</v>
      </c>
      <c r="Y828" s="377">
        <f t="shared" si="317"/>
        <v>0</v>
      </c>
      <c r="Z828" s="377">
        <f t="shared" si="318"/>
        <v>0</v>
      </c>
      <c r="AA828" s="377">
        <f t="shared" si="319"/>
        <v>0</v>
      </c>
      <c r="AB828" s="377">
        <f t="shared" si="320"/>
        <v>0</v>
      </c>
      <c r="AC828" s="377">
        <f t="shared" si="321"/>
        <v>0</v>
      </c>
      <c r="AD828" s="376"/>
      <c r="AE828" s="332">
        <v>813</v>
      </c>
      <c r="AF828" s="350">
        <v>145456750.52129811</v>
      </c>
      <c r="AG828" s="350">
        <v>146649786.85785332</v>
      </c>
      <c r="AH828" s="350">
        <v>147792833.22959918</v>
      </c>
      <c r="AI828" s="350">
        <v>148938595.79352358</v>
      </c>
      <c r="AJ828" s="350">
        <v>150090633.63700068</v>
      </c>
      <c r="AK828" s="348">
        <v>738928600.03927493</v>
      </c>
      <c r="AL828" s="369"/>
      <c r="AM828" s="350">
        <v>183582832.81410447</v>
      </c>
      <c r="AN828" s="350">
        <v>223645438.43674174</v>
      </c>
      <c r="AO828" s="350">
        <v>264246005.86634123</v>
      </c>
      <c r="AP828" s="350">
        <v>305453198.6274156</v>
      </c>
      <c r="AQ828" s="350">
        <v>347277394.08837581</v>
      </c>
      <c r="AR828" s="348">
        <v>1324204869.832979</v>
      </c>
      <c r="AS828" s="369"/>
      <c r="AT828" s="350">
        <f t="shared" si="339"/>
        <v>38126082.292806357</v>
      </c>
      <c r="AU828" s="350">
        <f t="shared" si="322"/>
        <v>76995651.578888416</v>
      </c>
      <c r="AV828" s="350">
        <f t="shared" si="323"/>
        <v>116453172.63674206</v>
      </c>
      <c r="AW828" s="350">
        <f t="shared" si="324"/>
        <v>156514602.83389202</v>
      </c>
      <c r="AX828" s="350">
        <f t="shared" si="325"/>
        <v>197186760.45137513</v>
      </c>
      <c r="AY828" s="350">
        <f t="shared" si="326"/>
        <v>585276269.79370403</v>
      </c>
      <c r="AZ828" s="365"/>
      <c r="BA828" s="377">
        <f t="shared" si="327"/>
        <v>0</v>
      </c>
      <c r="BB828" s="377">
        <f t="shared" si="328"/>
        <v>0</v>
      </c>
      <c r="BC828" s="377">
        <f t="shared" si="329"/>
        <v>0</v>
      </c>
      <c r="BD828" s="377">
        <f t="shared" si="330"/>
        <v>0</v>
      </c>
      <c r="BE828" s="377">
        <f t="shared" si="331"/>
        <v>0</v>
      </c>
      <c r="BF828" s="377">
        <f t="shared" si="332"/>
        <v>0</v>
      </c>
      <c r="BG828" s="328"/>
    </row>
    <row r="829" spans="2:59">
      <c r="B829" s="332">
        <v>814</v>
      </c>
      <c r="C829" s="350">
        <v>138547658.68809986</v>
      </c>
      <c r="D829" s="350">
        <v>139684026.6501722</v>
      </c>
      <c r="E829" s="350">
        <v>140772779.13508439</v>
      </c>
      <c r="F829" s="350">
        <v>141864118.79498523</v>
      </c>
      <c r="G829" s="350">
        <v>142961435.66313896</v>
      </c>
      <c r="H829" s="348">
        <v>703830018.93148077</v>
      </c>
      <c r="I829" s="369"/>
      <c r="J829" s="350">
        <v>172110554.19821715</v>
      </c>
      <c r="K829" s="350">
        <v>207482176.4297961</v>
      </c>
      <c r="L829" s="350">
        <v>243324043.29456133</v>
      </c>
      <c r="M829" s="350">
        <v>279700405.91900837</v>
      </c>
      <c r="N829" s="350">
        <v>316620659.28533387</v>
      </c>
      <c r="O829" s="348">
        <v>1219237839.1269169</v>
      </c>
      <c r="P829" s="369"/>
      <c r="Q829" s="350">
        <f t="shared" si="333"/>
        <v>33562895.510117292</v>
      </c>
      <c r="R829" s="350">
        <f t="shared" si="334"/>
        <v>67798149.779623896</v>
      </c>
      <c r="S829" s="350">
        <f t="shared" si="335"/>
        <v>102551264.15947694</v>
      </c>
      <c r="T829" s="350">
        <f t="shared" si="336"/>
        <v>137836287.12402314</v>
      </c>
      <c r="U829" s="350">
        <f t="shared" si="337"/>
        <v>173659223.62219492</v>
      </c>
      <c r="V829" s="350">
        <f t="shared" si="338"/>
        <v>515407820.19543612</v>
      </c>
      <c r="W829" s="365"/>
      <c r="X829" s="377">
        <f t="shared" si="316"/>
        <v>0</v>
      </c>
      <c r="Y829" s="377">
        <f t="shared" si="317"/>
        <v>0</v>
      </c>
      <c r="Z829" s="377">
        <f t="shared" si="318"/>
        <v>0</v>
      </c>
      <c r="AA829" s="377">
        <f t="shared" si="319"/>
        <v>0</v>
      </c>
      <c r="AB829" s="377">
        <f t="shared" si="320"/>
        <v>0</v>
      </c>
      <c r="AC829" s="377">
        <f t="shared" si="321"/>
        <v>0</v>
      </c>
      <c r="AD829" s="376"/>
      <c r="AE829" s="332">
        <v>814</v>
      </c>
      <c r="AF829" s="350">
        <v>117774235.30461219</v>
      </c>
      <c r="AG829" s="350">
        <v>118740219.63827044</v>
      </c>
      <c r="AH829" s="350">
        <v>119665727.81762695</v>
      </c>
      <c r="AI829" s="350">
        <v>120593435.25865823</v>
      </c>
      <c r="AJ829" s="350">
        <v>121526223.70313564</v>
      </c>
      <c r="AK829" s="348">
        <v>598299841.72230351</v>
      </c>
      <c r="AL829" s="369"/>
      <c r="AM829" s="350">
        <v>154550701.06220362</v>
      </c>
      <c r="AN829" s="350">
        <v>193018504.16514856</v>
      </c>
      <c r="AO829" s="350">
        <v>232013097.70138308</v>
      </c>
      <c r="AP829" s="350">
        <v>271592550.0379498</v>
      </c>
      <c r="AQ829" s="350">
        <v>311766321.08817977</v>
      </c>
      <c r="AR829" s="348">
        <v>1162941174.0548649</v>
      </c>
      <c r="AS829" s="369"/>
      <c r="AT829" s="350">
        <f t="shared" si="339"/>
        <v>36776465.757591426</v>
      </c>
      <c r="AU829" s="350">
        <f t="shared" si="322"/>
        <v>74278284.526878119</v>
      </c>
      <c r="AV829" s="350">
        <f t="shared" si="323"/>
        <v>112347369.88375613</v>
      </c>
      <c r="AW829" s="350">
        <f t="shared" si="324"/>
        <v>150999114.77929157</v>
      </c>
      <c r="AX829" s="350">
        <f t="shared" si="325"/>
        <v>190240097.38504413</v>
      </c>
      <c r="AY829" s="350">
        <f t="shared" si="326"/>
        <v>564641332.33256137</v>
      </c>
      <c r="AZ829" s="365"/>
      <c r="BA829" s="377">
        <f t="shared" si="327"/>
        <v>0</v>
      </c>
      <c r="BB829" s="377">
        <f t="shared" si="328"/>
        <v>0</v>
      </c>
      <c r="BC829" s="377">
        <f t="shared" si="329"/>
        <v>0</v>
      </c>
      <c r="BD829" s="377">
        <f t="shared" si="330"/>
        <v>0</v>
      </c>
      <c r="BE829" s="377">
        <f t="shared" si="331"/>
        <v>0</v>
      </c>
      <c r="BF829" s="377">
        <f t="shared" si="332"/>
        <v>0</v>
      </c>
      <c r="BG829" s="328"/>
    </row>
    <row r="830" spans="2:59">
      <c r="B830" s="332">
        <v>815</v>
      </c>
      <c r="C830" s="350">
        <v>132218551.59753224</v>
      </c>
      <c r="D830" s="350">
        <v>133303008.22025502</v>
      </c>
      <c r="E830" s="350">
        <v>134342024.52674764</v>
      </c>
      <c r="F830" s="350">
        <v>135383509.82140619</v>
      </c>
      <c r="G830" s="350">
        <v>136430699.27465737</v>
      </c>
      <c r="H830" s="348">
        <v>671677793.44059849</v>
      </c>
      <c r="I830" s="369"/>
      <c r="J830" s="350">
        <v>164169590.65235031</v>
      </c>
      <c r="K830" s="350">
        <v>197837659.12465128</v>
      </c>
      <c r="L830" s="350">
        <v>231953160.3309201</v>
      </c>
      <c r="M830" s="350">
        <v>266577376.95607698</v>
      </c>
      <c r="N830" s="350">
        <v>301719259.58789515</v>
      </c>
      <c r="O830" s="348">
        <v>1162257046.6518939</v>
      </c>
      <c r="P830" s="369"/>
      <c r="Q830" s="350">
        <f t="shared" si="333"/>
        <v>31951039.054818064</v>
      </c>
      <c r="R830" s="350">
        <f t="shared" si="334"/>
        <v>64534650.904396266</v>
      </c>
      <c r="S830" s="350">
        <f t="shared" si="335"/>
        <v>97611135.804172456</v>
      </c>
      <c r="T830" s="350">
        <f t="shared" si="336"/>
        <v>131193867.13467079</v>
      </c>
      <c r="U830" s="350">
        <f t="shared" si="337"/>
        <v>165288560.31323779</v>
      </c>
      <c r="V830" s="350">
        <f t="shared" si="338"/>
        <v>490579253.21129537</v>
      </c>
      <c r="W830" s="365"/>
      <c r="X830" s="377">
        <f t="shared" si="316"/>
        <v>0</v>
      </c>
      <c r="Y830" s="377">
        <f t="shared" si="317"/>
        <v>0</v>
      </c>
      <c r="Z830" s="377">
        <f t="shared" si="318"/>
        <v>0</v>
      </c>
      <c r="AA830" s="377">
        <f t="shared" si="319"/>
        <v>0</v>
      </c>
      <c r="AB830" s="377">
        <f t="shared" si="320"/>
        <v>0</v>
      </c>
      <c r="AC830" s="377">
        <f t="shared" si="321"/>
        <v>0</v>
      </c>
      <c r="AD830" s="376"/>
      <c r="AE830" s="332">
        <v>815</v>
      </c>
      <c r="AF830" s="350">
        <v>133685006.14694451</v>
      </c>
      <c r="AG830" s="350">
        <v>134781490.630575</v>
      </c>
      <c r="AH830" s="350">
        <v>135832030.81303778</v>
      </c>
      <c r="AI830" s="350">
        <v>136885067.36756152</v>
      </c>
      <c r="AJ830" s="350">
        <v>137943871.34630299</v>
      </c>
      <c r="AK830" s="348">
        <v>679127466.3044219</v>
      </c>
      <c r="AL830" s="369"/>
      <c r="AM830" s="350">
        <v>168217886.83303961</v>
      </c>
      <c r="AN830" s="350">
        <v>204542898.79791954</v>
      </c>
      <c r="AO830" s="350">
        <v>241354853.1175544</v>
      </c>
      <c r="AP830" s="350">
        <v>278716645.16203839</v>
      </c>
      <c r="AQ830" s="350">
        <v>316637725.06728154</v>
      </c>
      <c r="AR830" s="348">
        <v>1209470008.9778335</v>
      </c>
      <c r="AS830" s="369"/>
      <c r="AT830" s="350">
        <f t="shared" si="339"/>
        <v>34532880.686095104</v>
      </c>
      <c r="AU830" s="350">
        <f t="shared" si="322"/>
        <v>69761408.16734454</v>
      </c>
      <c r="AV830" s="350">
        <f t="shared" si="323"/>
        <v>105522822.30451661</v>
      </c>
      <c r="AW830" s="350">
        <f t="shared" si="324"/>
        <v>141831577.79447687</v>
      </c>
      <c r="AX830" s="350">
        <f t="shared" si="325"/>
        <v>178693853.72097856</v>
      </c>
      <c r="AY830" s="350">
        <f t="shared" si="326"/>
        <v>530342542.67341161</v>
      </c>
      <c r="AZ830" s="365"/>
      <c r="BA830" s="377">
        <f t="shared" si="327"/>
        <v>0</v>
      </c>
      <c r="BB830" s="377">
        <f t="shared" si="328"/>
        <v>0</v>
      </c>
      <c r="BC830" s="377">
        <f t="shared" si="329"/>
        <v>0</v>
      </c>
      <c r="BD830" s="377">
        <f t="shared" si="330"/>
        <v>0</v>
      </c>
      <c r="BE830" s="377">
        <f t="shared" si="331"/>
        <v>0</v>
      </c>
      <c r="BF830" s="377">
        <f t="shared" si="332"/>
        <v>0</v>
      </c>
      <c r="BG830" s="328"/>
    </row>
    <row r="831" spans="2:59">
      <c r="B831" s="332">
        <v>816</v>
      </c>
      <c r="C831" s="350">
        <v>108441141.03868739</v>
      </c>
      <c r="D831" s="350">
        <v>109330575.32876335</v>
      </c>
      <c r="E831" s="350">
        <v>110182741.02315718</v>
      </c>
      <c r="F831" s="350">
        <v>111036931.69733411</v>
      </c>
      <c r="G831" s="350">
        <v>111895800.72760378</v>
      </c>
      <c r="H831" s="348">
        <v>550887189.8155458</v>
      </c>
      <c r="I831" s="369"/>
      <c r="J831" s="350">
        <v>139202288.13684684</v>
      </c>
      <c r="K831" s="350">
        <v>171457979.17010534</v>
      </c>
      <c r="L831" s="350">
        <v>204150858.64044306</v>
      </c>
      <c r="M831" s="350">
        <v>237333095.24739394</v>
      </c>
      <c r="N831" s="350">
        <v>271012844.34003007</v>
      </c>
      <c r="O831" s="348">
        <v>1023157065.5348192</v>
      </c>
      <c r="P831" s="369"/>
      <c r="Q831" s="350">
        <f t="shared" si="333"/>
        <v>30761147.098159447</v>
      </c>
      <c r="R831" s="350">
        <f t="shared" si="334"/>
        <v>62127403.841341987</v>
      </c>
      <c r="S831" s="350">
        <f t="shared" si="335"/>
        <v>93968117.617285877</v>
      </c>
      <c r="T831" s="350">
        <f t="shared" si="336"/>
        <v>126296163.55005983</v>
      </c>
      <c r="U831" s="350">
        <f t="shared" si="337"/>
        <v>159117043.61242628</v>
      </c>
      <c r="V831" s="350">
        <f t="shared" si="338"/>
        <v>472269875.71927345</v>
      </c>
      <c r="W831" s="365"/>
      <c r="X831" s="377">
        <f t="shared" si="316"/>
        <v>0</v>
      </c>
      <c r="Y831" s="377">
        <f t="shared" si="317"/>
        <v>0</v>
      </c>
      <c r="Z831" s="377">
        <f t="shared" si="318"/>
        <v>0</v>
      </c>
      <c r="AA831" s="377">
        <f t="shared" si="319"/>
        <v>0</v>
      </c>
      <c r="AB831" s="377">
        <f t="shared" si="320"/>
        <v>0</v>
      </c>
      <c r="AC831" s="377">
        <f t="shared" si="321"/>
        <v>0</v>
      </c>
      <c r="AD831" s="376"/>
      <c r="AE831" s="332">
        <v>816</v>
      </c>
      <c r="AF831" s="350">
        <v>148396176.05880553</v>
      </c>
      <c r="AG831" s="350">
        <v>149613321.5650093</v>
      </c>
      <c r="AH831" s="350">
        <v>150779466.89698642</v>
      </c>
      <c r="AI831" s="350">
        <v>151948383.310617</v>
      </c>
      <c r="AJ831" s="350">
        <v>153123701.81618202</v>
      </c>
      <c r="AK831" s="348">
        <v>753861049.64760029</v>
      </c>
      <c r="AL831" s="369"/>
      <c r="AM831" s="350">
        <v>178645348.94966</v>
      </c>
      <c r="AN831" s="350">
        <v>210741112.44176221</v>
      </c>
      <c r="AO831" s="350">
        <v>243252972.50796336</v>
      </c>
      <c r="AP831" s="350">
        <v>276247363.15244216</v>
      </c>
      <c r="AQ831" s="350">
        <v>309733331.03786582</v>
      </c>
      <c r="AR831" s="348">
        <v>1218620128.0896935</v>
      </c>
      <c r="AS831" s="369"/>
      <c r="AT831" s="350">
        <f t="shared" si="339"/>
        <v>30249172.890854478</v>
      </c>
      <c r="AU831" s="350">
        <f t="shared" si="322"/>
        <v>61127790.876752913</v>
      </c>
      <c r="AV831" s="350">
        <f t="shared" si="323"/>
        <v>92473505.610976934</v>
      </c>
      <c r="AW831" s="350">
        <f t="shared" si="324"/>
        <v>124298979.84182516</v>
      </c>
      <c r="AX831" s="350">
        <f t="shared" si="325"/>
        <v>156609629.2216838</v>
      </c>
      <c r="AY831" s="350">
        <f t="shared" si="326"/>
        <v>464759078.44209325</v>
      </c>
      <c r="AZ831" s="365"/>
      <c r="BA831" s="377">
        <f t="shared" si="327"/>
        <v>0</v>
      </c>
      <c r="BB831" s="377">
        <f t="shared" si="328"/>
        <v>0</v>
      </c>
      <c r="BC831" s="377">
        <f t="shared" si="329"/>
        <v>0</v>
      </c>
      <c r="BD831" s="377">
        <f t="shared" si="330"/>
        <v>0</v>
      </c>
      <c r="BE831" s="377">
        <f t="shared" si="331"/>
        <v>0</v>
      </c>
      <c r="BF831" s="377">
        <f t="shared" si="332"/>
        <v>0</v>
      </c>
      <c r="BG831" s="328"/>
    </row>
    <row r="832" spans="2:59">
      <c r="B832" s="332">
        <v>817</v>
      </c>
      <c r="C832" s="350">
        <v>129502075.07530504</v>
      </c>
      <c r="D832" s="350">
        <v>130564251.156308</v>
      </c>
      <c r="E832" s="350">
        <v>131581920.50831732</v>
      </c>
      <c r="F832" s="350">
        <v>132602008.1222647</v>
      </c>
      <c r="G832" s="350">
        <v>133627682.70086545</v>
      </c>
      <c r="H832" s="348">
        <v>657877937.56306052</v>
      </c>
      <c r="I832" s="369"/>
      <c r="J832" s="350">
        <v>159856208.59648699</v>
      </c>
      <c r="K832" s="350">
        <v>191880327.67850503</v>
      </c>
      <c r="L832" s="350">
        <v>224328286.22340727</v>
      </c>
      <c r="M832" s="350">
        <v>257259714.58494735</v>
      </c>
      <c r="N832" s="350">
        <v>290683212.27393556</v>
      </c>
      <c r="O832" s="348">
        <v>1124007749.3572822</v>
      </c>
      <c r="P832" s="369"/>
      <c r="Q832" s="350">
        <f t="shared" si="333"/>
        <v>30354133.521181941</v>
      </c>
      <c r="R832" s="350">
        <f t="shared" si="334"/>
        <v>61316076.522197038</v>
      </c>
      <c r="S832" s="350">
        <f t="shared" si="335"/>
        <v>92746365.715089947</v>
      </c>
      <c r="T832" s="350">
        <f t="shared" si="336"/>
        <v>124657706.46268265</v>
      </c>
      <c r="U832" s="350">
        <f t="shared" si="337"/>
        <v>157055529.57307011</v>
      </c>
      <c r="V832" s="350">
        <f t="shared" si="338"/>
        <v>466129811.79422164</v>
      </c>
      <c r="W832" s="365"/>
      <c r="X832" s="377">
        <f t="shared" si="316"/>
        <v>0</v>
      </c>
      <c r="Y832" s="377">
        <f t="shared" si="317"/>
        <v>0</v>
      </c>
      <c r="Z832" s="377">
        <f t="shared" si="318"/>
        <v>0</v>
      </c>
      <c r="AA832" s="377">
        <f t="shared" si="319"/>
        <v>0</v>
      </c>
      <c r="AB832" s="377">
        <f t="shared" si="320"/>
        <v>0</v>
      </c>
      <c r="AC832" s="377">
        <f t="shared" si="321"/>
        <v>0</v>
      </c>
      <c r="AD832" s="376"/>
      <c r="AE832" s="332">
        <v>817</v>
      </c>
      <c r="AF832" s="350">
        <v>118458069.97511229</v>
      </c>
      <c r="AG832" s="350">
        <v>119429663.12106135</v>
      </c>
      <c r="AH832" s="350">
        <v>120360545.09528252</v>
      </c>
      <c r="AI832" s="350">
        <v>121293639.10079136</v>
      </c>
      <c r="AJ832" s="350">
        <v>122231843.61166835</v>
      </c>
      <c r="AK832" s="348">
        <v>601773760.90391588</v>
      </c>
      <c r="AL832" s="369"/>
      <c r="AM832" s="350">
        <v>146775880.32608613</v>
      </c>
      <c r="AN832" s="350">
        <v>176633127.41031688</v>
      </c>
      <c r="AO832" s="350">
        <v>206886602.87811232</v>
      </c>
      <c r="AP832" s="350">
        <v>237591082.99426684</v>
      </c>
      <c r="AQ832" s="350">
        <v>268754532.83584756</v>
      </c>
      <c r="AR832" s="348">
        <v>1036641226.4446297</v>
      </c>
      <c r="AS832" s="369"/>
      <c r="AT832" s="350">
        <f t="shared" si="339"/>
        <v>28317810.350973845</v>
      </c>
      <c r="AU832" s="350">
        <f t="shared" si="322"/>
        <v>57203464.28925553</v>
      </c>
      <c r="AV832" s="350">
        <f t="shared" si="323"/>
        <v>86526057.782829791</v>
      </c>
      <c r="AW832" s="350">
        <f t="shared" si="324"/>
        <v>116297443.89347547</v>
      </c>
      <c r="AX832" s="350">
        <f t="shared" si="325"/>
        <v>146522689.22417921</v>
      </c>
      <c r="AY832" s="350">
        <f t="shared" si="326"/>
        <v>434867465.54071379</v>
      </c>
      <c r="AZ832" s="365"/>
      <c r="BA832" s="377">
        <f t="shared" si="327"/>
        <v>0</v>
      </c>
      <c r="BB832" s="377">
        <f t="shared" si="328"/>
        <v>0</v>
      </c>
      <c r="BC832" s="377">
        <f t="shared" si="329"/>
        <v>0</v>
      </c>
      <c r="BD832" s="377">
        <f t="shared" si="330"/>
        <v>0</v>
      </c>
      <c r="BE832" s="377">
        <f t="shared" si="331"/>
        <v>0</v>
      </c>
      <c r="BF832" s="377">
        <f t="shared" si="332"/>
        <v>0</v>
      </c>
      <c r="BG832" s="328"/>
    </row>
    <row r="833" spans="2:59">
      <c r="B833" s="332">
        <v>818</v>
      </c>
      <c r="C833" s="350">
        <v>115322033.46024695</v>
      </c>
      <c r="D833" s="350">
        <v>116267904.83321816</v>
      </c>
      <c r="E833" s="350">
        <v>117174142.81431335</v>
      </c>
      <c r="F833" s="350">
        <v>118082534.26579872</v>
      </c>
      <c r="G833" s="350">
        <v>118995900.92810076</v>
      </c>
      <c r="H833" s="348">
        <v>585842516.30167794</v>
      </c>
      <c r="I833" s="369"/>
      <c r="J833" s="350">
        <v>150103506.15798107</v>
      </c>
      <c r="K833" s="350">
        <v>186522526.16882822</v>
      </c>
      <c r="L833" s="350">
        <v>223438495.57173368</v>
      </c>
      <c r="M833" s="350">
        <v>260907759.48202848</v>
      </c>
      <c r="N833" s="350">
        <v>298939361.83477855</v>
      </c>
      <c r="O833" s="348">
        <v>1119911649.2153502</v>
      </c>
      <c r="P833" s="369"/>
      <c r="Q833" s="350">
        <f t="shared" si="333"/>
        <v>34781472.697734118</v>
      </c>
      <c r="R833" s="350">
        <f t="shared" si="334"/>
        <v>70254621.335610062</v>
      </c>
      <c r="S833" s="350">
        <f t="shared" si="335"/>
        <v>106264352.75742033</v>
      </c>
      <c r="T833" s="350">
        <f t="shared" si="336"/>
        <v>142825225.21622977</v>
      </c>
      <c r="U833" s="350">
        <f t="shared" si="337"/>
        <v>179943460.90667778</v>
      </c>
      <c r="V833" s="350">
        <f t="shared" si="338"/>
        <v>534069132.91367221</v>
      </c>
      <c r="W833" s="365"/>
      <c r="X833" s="377">
        <f t="shared" si="316"/>
        <v>0</v>
      </c>
      <c r="Y833" s="377">
        <f t="shared" si="317"/>
        <v>0</v>
      </c>
      <c r="Z833" s="377">
        <f t="shared" si="318"/>
        <v>0</v>
      </c>
      <c r="AA833" s="377">
        <f t="shared" si="319"/>
        <v>0</v>
      </c>
      <c r="AB833" s="377">
        <f t="shared" si="320"/>
        <v>0</v>
      </c>
      <c r="AC833" s="377">
        <f t="shared" si="321"/>
        <v>0</v>
      </c>
      <c r="AD833" s="376"/>
      <c r="AE833" s="332">
        <v>818</v>
      </c>
      <c r="AF833" s="350">
        <v>110862782.10609964</v>
      </c>
      <c r="AG833" s="350">
        <v>111772078.69735557</v>
      </c>
      <c r="AH833" s="350">
        <v>112643274.43350309</v>
      </c>
      <c r="AI833" s="350">
        <v>113516540.37004055</v>
      </c>
      <c r="AJ833" s="350">
        <v>114394589.13685033</v>
      </c>
      <c r="AK833" s="348">
        <v>563189264.74384916</v>
      </c>
      <c r="AL833" s="369"/>
      <c r="AM833" s="350">
        <v>141004205.55316168</v>
      </c>
      <c r="AN833" s="350">
        <v>172651546.64715177</v>
      </c>
      <c r="AO833" s="350">
        <v>204725743.07147887</v>
      </c>
      <c r="AP833" s="350">
        <v>237279581.82515919</v>
      </c>
      <c r="AQ833" s="350">
        <v>270321167.23148227</v>
      </c>
      <c r="AR833" s="348">
        <v>1025982244.3284338</v>
      </c>
      <c r="AS833" s="369"/>
      <c r="AT833" s="350">
        <f t="shared" si="339"/>
        <v>30141423.447062045</v>
      </c>
      <c r="AU833" s="350">
        <f t="shared" si="322"/>
        <v>60879467.9497962</v>
      </c>
      <c r="AV833" s="350">
        <f t="shared" si="323"/>
        <v>92082468.637975782</v>
      </c>
      <c r="AW833" s="350">
        <f t="shared" si="324"/>
        <v>123763041.45511864</v>
      </c>
      <c r="AX833" s="350">
        <f t="shared" si="325"/>
        <v>155926578.09463194</v>
      </c>
      <c r="AY833" s="350">
        <f t="shared" si="326"/>
        <v>462792979.58458459</v>
      </c>
      <c r="AZ833" s="365"/>
      <c r="BA833" s="377">
        <f t="shared" si="327"/>
        <v>0</v>
      </c>
      <c r="BB833" s="377">
        <f t="shared" si="328"/>
        <v>0</v>
      </c>
      <c r="BC833" s="377">
        <f t="shared" si="329"/>
        <v>0</v>
      </c>
      <c r="BD833" s="377">
        <f t="shared" si="330"/>
        <v>0</v>
      </c>
      <c r="BE833" s="377">
        <f t="shared" si="331"/>
        <v>0</v>
      </c>
      <c r="BF833" s="377">
        <f t="shared" si="332"/>
        <v>0</v>
      </c>
      <c r="BG833" s="328"/>
    </row>
    <row r="834" spans="2:59">
      <c r="B834" s="332">
        <v>819</v>
      </c>
      <c r="C834" s="350">
        <v>116636584.42752378</v>
      </c>
      <c r="D834" s="350">
        <v>117593237.74815017</v>
      </c>
      <c r="E834" s="350">
        <v>118509805.89754787</v>
      </c>
      <c r="F834" s="350">
        <v>119428552.06465334</v>
      </c>
      <c r="G834" s="350">
        <v>120352330.15479255</v>
      </c>
      <c r="H834" s="348">
        <v>592520510.29266763</v>
      </c>
      <c r="I834" s="369"/>
      <c r="J834" s="350">
        <v>146320638.3804805</v>
      </c>
      <c r="K834" s="350">
        <v>177546768.07943526</v>
      </c>
      <c r="L834" s="350">
        <v>209190680.04822695</v>
      </c>
      <c r="M834" s="350">
        <v>241307061.86429289</v>
      </c>
      <c r="N834" s="350">
        <v>273904076.98469478</v>
      </c>
      <c r="O834" s="348">
        <v>1048269225.3571303</v>
      </c>
      <c r="P834" s="369"/>
      <c r="Q834" s="350">
        <f t="shared" si="333"/>
        <v>29684053.952956721</v>
      </c>
      <c r="R834" s="350">
        <f t="shared" si="334"/>
        <v>59953530.331285089</v>
      </c>
      <c r="S834" s="350">
        <f t="shared" si="335"/>
        <v>90680874.150679082</v>
      </c>
      <c r="T834" s="350">
        <f t="shared" si="336"/>
        <v>121878509.79963955</v>
      </c>
      <c r="U834" s="350">
        <f t="shared" si="337"/>
        <v>153551746.82990223</v>
      </c>
      <c r="V834" s="350">
        <f t="shared" si="338"/>
        <v>455748715.06446266</v>
      </c>
      <c r="W834" s="365"/>
      <c r="X834" s="377">
        <f t="shared" si="316"/>
        <v>0</v>
      </c>
      <c r="Y834" s="377">
        <f t="shared" si="317"/>
        <v>0</v>
      </c>
      <c r="Z834" s="377">
        <f t="shared" si="318"/>
        <v>0</v>
      </c>
      <c r="AA834" s="377">
        <f t="shared" si="319"/>
        <v>0</v>
      </c>
      <c r="AB834" s="377">
        <f t="shared" si="320"/>
        <v>0</v>
      </c>
      <c r="AC834" s="377">
        <f t="shared" si="321"/>
        <v>0</v>
      </c>
      <c r="AD834" s="376"/>
      <c r="AE834" s="332">
        <v>819</v>
      </c>
      <c r="AF834" s="350">
        <v>120120139.5508209</v>
      </c>
      <c r="AG834" s="350">
        <v>121105364.9922158</v>
      </c>
      <c r="AH834" s="350">
        <v>122049308.04879515</v>
      </c>
      <c r="AI834" s="350">
        <v>122995494.1733817</v>
      </c>
      <c r="AJ834" s="350">
        <v>123946862.50816406</v>
      </c>
      <c r="AK834" s="348">
        <v>610217169.27337766</v>
      </c>
      <c r="AL834" s="369"/>
      <c r="AM834" s="350">
        <v>153698702.56045076</v>
      </c>
      <c r="AN834" s="350">
        <v>188923718.60403657</v>
      </c>
      <c r="AO834" s="350">
        <v>224625375.70131585</v>
      </c>
      <c r="AP834" s="350">
        <v>260861253.70148668</v>
      </c>
      <c r="AQ834" s="350">
        <v>297640297.75184762</v>
      </c>
      <c r="AR834" s="348">
        <v>1125749348.3191376</v>
      </c>
      <c r="AS834" s="369"/>
      <c r="AT834" s="350">
        <f t="shared" si="339"/>
        <v>33578563.009629861</v>
      </c>
      <c r="AU834" s="350">
        <f t="shared" si="322"/>
        <v>67818353.611820772</v>
      </c>
      <c r="AV834" s="350">
        <f t="shared" si="323"/>
        <v>102576067.6525207</v>
      </c>
      <c r="AW834" s="350">
        <f t="shared" si="324"/>
        <v>137865759.52810496</v>
      </c>
      <c r="AX834" s="350">
        <f t="shared" si="325"/>
        <v>173693435.24368358</v>
      </c>
      <c r="AY834" s="350">
        <f t="shared" si="326"/>
        <v>515532179.04575992</v>
      </c>
      <c r="AZ834" s="365"/>
      <c r="BA834" s="377">
        <f t="shared" si="327"/>
        <v>0</v>
      </c>
      <c r="BB834" s="377">
        <f t="shared" si="328"/>
        <v>0</v>
      </c>
      <c r="BC834" s="377">
        <f t="shared" si="329"/>
        <v>0</v>
      </c>
      <c r="BD834" s="377">
        <f t="shared" si="330"/>
        <v>0</v>
      </c>
      <c r="BE834" s="377">
        <f t="shared" si="331"/>
        <v>0</v>
      </c>
      <c r="BF834" s="377">
        <f t="shared" si="332"/>
        <v>0</v>
      </c>
      <c r="BG834" s="328"/>
    </row>
    <row r="835" spans="2:59">
      <c r="B835" s="332">
        <v>820</v>
      </c>
      <c r="C835" s="350">
        <v>127532653.39625241</v>
      </c>
      <c r="D835" s="350">
        <v>128578676.27971259</v>
      </c>
      <c r="E835" s="350">
        <v>129580869.27674618</v>
      </c>
      <c r="F835" s="350">
        <v>130585443.75964701</v>
      </c>
      <c r="G835" s="350">
        <v>131595520.24262208</v>
      </c>
      <c r="H835" s="348">
        <v>647873162.95498037</v>
      </c>
      <c r="I835" s="369"/>
      <c r="J835" s="350">
        <v>155446836.43447512</v>
      </c>
      <c r="K835" s="350">
        <v>184980521.93135238</v>
      </c>
      <c r="L835" s="350">
        <v>214901303.21830592</v>
      </c>
      <c r="M835" s="350">
        <v>245267076.54493329</v>
      </c>
      <c r="N835" s="350">
        <v>276085958.90744442</v>
      </c>
      <c r="O835" s="348">
        <v>1076681697.0365112</v>
      </c>
      <c r="P835" s="369"/>
      <c r="Q835" s="350">
        <f t="shared" si="333"/>
        <v>27914183.038222715</v>
      </c>
      <c r="R835" s="350">
        <f t="shared" si="334"/>
        <v>56401845.651639789</v>
      </c>
      <c r="S835" s="350">
        <f t="shared" si="335"/>
        <v>85320433.941559732</v>
      </c>
      <c r="T835" s="350">
        <f t="shared" si="336"/>
        <v>114681632.78528628</v>
      </c>
      <c r="U835" s="350">
        <f t="shared" si="337"/>
        <v>144490438.66482234</v>
      </c>
      <c r="V835" s="350">
        <f t="shared" si="338"/>
        <v>428808534.08153081</v>
      </c>
      <c r="W835" s="365"/>
      <c r="X835" s="377">
        <f t="shared" si="316"/>
        <v>0</v>
      </c>
      <c r="Y835" s="377">
        <f t="shared" si="317"/>
        <v>0</v>
      </c>
      <c r="Z835" s="377">
        <f t="shared" si="318"/>
        <v>0</v>
      </c>
      <c r="AA835" s="377">
        <f t="shared" si="319"/>
        <v>0</v>
      </c>
      <c r="AB835" s="377">
        <f t="shared" si="320"/>
        <v>0</v>
      </c>
      <c r="AC835" s="377">
        <f t="shared" si="321"/>
        <v>0</v>
      </c>
      <c r="AD835" s="376"/>
      <c r="AE835" s="332">
        <v>820</v>
      </c>
      <c r="AF835" s="350">
        <v>119600551.85653085</v>
      </c>
      <c r="AG835" s="350">
        <v>120581515.63941151</v>
      </c>
      <c r="AH835" s="350">
        <v>121521375.60719202</v>
      </c>
      <c r="AI835" s="350">
        <v>122463468.94043919</v>
      </c>
      <c r="AJ835" s="350">
        <v>123410722.06788544</v>
      </c>
      <c r="AK835" s="348">
        <v>607577634.11145902</v>
      </c>
      <c r="AL835" s="369"/>
      <c r="AM835" s="350">
        <v>152105636.37072018</v>
      </c>
      <c r="AN835" s="350">
        <v>186226693.45119968</v>
      </c>
      <c r="AO835" s="350">
        <v>220807933.38739717</v>
      </c>
      <c r="AP835" s="350">
        <v>255906298.16672567</v>
      </c>
      <c r="AQ835" s="350">
        <v>291530527.44067287</v>
      </c>
      <c r="AR835" s="348">
        <v>1106577088.8167155</v>
      </c>
      <c r="AS835" s="369"/>
      <c r="AT835" s="350">
        <f t="shared" si="339"/>
        <v>32505084.514189333</v>
      </c>
      <c r="AU835" s="350">
        <f t="shared" si="322"/>
        <v>65645177.811788172</v>
      </c>
      <c r="AV835" s="350">
        <f t="shared" si="323"/>
        <v>99286557.780205145</v>
      </c>
      <c r="AW835" s="350">
        <f t="shared" si="324"/>
        <v>133442829.22628647</v>
      </c>
      <c r="AX835" s="350">
        <f t="shared" si="325"/>
        <v>168119805.37278742</v>
      </c>
      <c r="AY835" s="350">
        <f t="shared" si="326"/>
        <v>498999454.70525646</v>
      </c>
      <c r="AZ835" s="365"/>
      <c r="BA835" s="377">
        <f t="shared" si="327"/>
        <v>0</v>
      </c>
      <c r="BB835" s="377">
        <f t="shared" si="328"/>
        <v>0</v>
      </c>
      <c r="BC835" s="377">
        <f t="shared" si="329"/>
        <v>0</v>
      </c>
      <c r="BD835" s="377">
        <f t="shared" si="330"/>
        <v>0</v>
      </c>
      <c r="BE835" s="377">
        <f t="shared" si="331"/>
        <v>0</v>
      </c>
      <c r="BF835" s="377">
        <f t="shared" si="332"/>
        <v>0</v>
      </c>
      <c r="BG835" s="328"/>
    </row>
    <row r="836" spans="2:59">
      <c r="B836" s="332">
        <v>821</v>
      </c>
      <c r="C836" s="350">
        <v>122735739.05647278</v>
      </c>
      <c r="D836" s="350">
        <v>123742417.64624983</v>
      </c>
      <c r="E836" s="350">
        <v>124706914.93296394</v>
      </c>
      <c r="F836" s="350">
        <v>125673704.13018242</v>
      </c>
      <c r="G836" s="350">
        <v>126645788.37951046</v>
      </c>
      <c r="H836" s="348">
        <v>623504564.1453793</v>
      </c>
      <c r="I836" s="369"/>
      <c r="J836" s="350">
        <v>154857204.12909478</v>
      </c>
      <c r="K836" s="350">
        <v>188608244.5581044</v>
      </c>
      <c r="L836" s="350">
        <v>222812402.27025118</v>
      </c>
      <c r="M836" s="350">
        <v>257527594.46776325</v>
      </c>
      <c r="N836" s="350">
        <v>292762568.20347822</v>
      </c>
      <c r="O836" s="348">
        <v>1116568013.6286917</v>
      </c>
      <c r="P836" s="369"/>
      <c r="Q836" s="350">
        <f t="shared" si="333"/>
        <v>32121465.072622001</v>
      </c>
      <c r="R836" s="350">
        <f t="shared" si="334"/>
        <v>64865826.911854565</v>
      </c>
      <c r="S836" s="350">
        <f t="shared" si="335"/>
        <v>98105487.337287247</v>
      </c>
      <c r="T836" s="350">
        <f t="shared" si="336"/>
        <v>131853890.33758083</v>
      </c>
      <c r="U836" s="350">
        <f t="shared" si="337"/>
        <v>166116779.82396775</v>
      </c>
      <c r="V836" s="350">
        <f t="shared" si="338"/>
        <v>493063449.48331237</v>
      </c>
      <c r="W836" s="365"/>
      <c r="X836" s="377">
        <f t="shared" si="316"/>
        <v>0</v>
      </c>
      <c r="Y836" s="377">
        <f t="shared" si="317"/>
        <v>0</v>
      </c>
      <c r="Z836" s="377">
        <f t="shared" si="318"/>
        <v>0</v>
      </c>
      <c r="AA836" s="377">
        <f t="shared" si="319"/>
        <v>0</v>
      </c>
      <c r="AB836" s="377">
        <f t="shared" si="320"/>
        <v>0</v>
      </c>
      <c r="AC836" s="377">
        <f t="shared" si="321"/>
        <v>0</v>
      </c>
      <c r="AD836" s="376"/>
      <c r="AE836" s="332">
        <v>821</v>
      </c>
      <c r="AF836" s="350">
        <v>126955436.60308214</v>
      </c>
      <c r="AG836" s="350">
        <v>127996725.15413177</v>
      </c>
      <c r="AH836" s="350">
        <v>128994382.19419684</v>
      </c>
      <c r="AI836" s="350">
        <v>129994409.94144934</v>
      </c>
      <c r="AJ836" s="350">
        <v>130999914.78655106</v>
      </c>
      <c r="AK836" s="348">
        <v>644940868.67941117</v>
      </c>
      <c r="AL836" s="369"/>
      <c r="AM836" s="350">
        <v>161960470.60938719</v>
      </c>
      <c r="AN836" s="350">
        <v>198704686.99360836</v>
      </c>
      <c r="AO836" s="350">
        <v>235945331.21342546</v>
      </c>
      <c r="AP836" s="350">
        <v>273743057.41313207</v>
      </c>
      <c r="AQ836" s="350">
        <v>312107234.44228494</v>
      </c>
      <c r="AR836" s="348">
        <v>1182460780.671838</v>
      </c>
      <c r="AS836" s="369"/>
      <c r="AT836" s="350">
        <f t="shared" si="339"/>
        <v>35005034.006305054</v>
      </c>
      <c r="AU836" s="350">
        <f t="shared" si="322"/>
        <v>70707961.839476585</v>
      </c>
      <c r="AV836" s="350">
        <f t="shared" si="323"/>
        <v>106950949.01922862</v>
      </c>
      <c r="AW836" s="350">
        <f t="shared" si="324"/>
        <v>143748647.47168273</v>
      </c>
      <c r="AX836" s="350">
        <f t="shared" si="325"/>
        <v>181107319.65573388</v>
      </c>
      <c r="AY836" s="350">
        <f t="shared" si="326"/>
        <v>537519911.99242687</v>
      </c>
      <c r="AZ836" s="365"/>
      <c r="BA836" s="377">
        <f t="shared" si="327"/>
        <v>0</v>
      </c>
      <c r="BB836" s="377">
        <f t="shared" si="328"/>
        <v>0</v>
      </c>
      <c r="BC836" s="377">
        <f t="shared" si="329"/>
        <v>0</v>
      </c>
      <c r="BD836" s="377">
        <f t="shared" si="330"/>
        <v>0</v>
      </c>
      <c r="BE836" s="377">
        <f t="shared" si="331"/>
        <v>0</v>
      </c>
      <c r="BF836" s="377">
        <f t="shared" si="332"/>
        <v>0</v>
      </c>
      <c r="BG836" s="328"/>
    </row>
    <row r="837" spans="2:59">
      <c r="B837" s="332">
        <v>822</v>
      </c>
      <c r="C837" s="350">
        <v>131014109.61929631</v>
      </c>
      <c r="D837" s="350">
        <v>132088687.40834406</v>
      </c>
      <c r="E837" s="350">
        <v>133118238.81871964</v>
      </c>
      <c r="F837" s="350">
        <v>134150236.726068</v>
      </c>
      <c r="G837" s="350">
        <v>135187886.83010218</v>
      </c>
      <c r="H837" s="348">
        <v>665559159.40253019</v>
      </c>
      <c r="I837" s="369"/>
      <c r="J837" s="350">
        <v>164918240.02855992</v>
      </c>
      <c r="K837" s="350">
        <v>200560014.68859398</v>
      </c>
      <c r="L837" s="350">
        <v>236679636.7596181</v>
      </c>
      <c r="M837" s="350">
        <v>273338769.52669585</v>
      </c>
      <c r="N837" s="350">
        <v>310546682.22911668</v>
      </c>
      <c r="O837" s="348">
        <v>1186043343.2325845</v>
      </c>
      <c r="P837" s="369"/>
      <c r="Q837" s="350">
        <f t="shared" si="333"/>
        <v>33904130.409263611</v>
      </c>
      <c r="R837" s="350">
        <f t="shared" si="334"/>
        <v>68471327.280249923</v>
      </c>
      <c r="S837" s="350">
        <f t="shared" si="335"/>
        <v>103561397.94089846</v>
      </c>
      <c r="T837" s="350">
        <f t="shared" si="336"/>
        <v>139188532.80062783</v>
      </c>
      <c r="U837" s="350">
        <f t="shared" si="337"/>
        <v>175358795.3990145</v>
      </c>
      <c r="V837" s="350">
        <f t="shared" si="338"/>
        <v>520484183.83005428</v>
      </c>
      <c r="W837" s="365"/>
      <c r="X837" s="377">
        <f t="shared" si="316"/>
        <v>0</v>
      </c>
      <c r="Y837" s="377">
        <f t="shared" si="317"/>
        <v>0</v>
      </c>
      <c r="Z837" s="377">
        <f t="shared" si="318"/>
        <v>0</v>
      </c>
      <c r="AA837" s="377">
        <f t="shared" si="319"/>
        <v>0</v>
      </c>
      <c r="AB837" s="377">
        <f t="shared" si="320"/>
        <v>0</v>
      </c>
      <c r="AC837" s="377">
        <f t="shared" si="321"/>
        <v>0</v>
      </c>
      <c r="AD837" s="376"/>
      <c r="AE837" s="332">
        <v>822</v>
      </c>
      <c r="AF837" s="350">
        <v>133069551.53957899</v>
      </c>
      <c r="AG837" s="350">
        <v>134160988.06422882</v>
      </c>
      <c r="AH837" s="350">
        <v>135206691.8045643</v>
      </c>
      <c r="AI837" s="350">
        <v>136254880.42424563</v>
      </c>
      <c r="AJ837" s="350">
        <v>137308809.91626793</v>
      </c>
      <c r="AK837" s="348">
        <v>676000921.74888563</v>
      </c>
      <c r="AL837" s="369"/>
      <c r="AM837" s="350">
        <v>173555799.47868055</v>
      </c>
      <c r="AN837" s="350">
        <v>215895363.52154356</v>
      </c>
      <c r="AO837" s="350">
        <v>258813112.49599844</v>
      </c>
      <c r="AP837" s="350">
        <v>302374207.72633803</v>
      </c>
      <c r="AQ837" s="350">
        <v>346589141.34914356</v>
      </c>
      <c r="AR837" s="348">
        <v>1297227624.5717041</v>
      </c>
      <c r="AS837" s="369"/>
      <c r="AT837" s="350">
        <f t="shared" si="339"/>
        <v>40486247.939101562</v>
      </c>
      <c r="AU837" s="350">
        <f t="shared" si="322"/>
        <v>81734375.457314745</v>
      </c>
      <c r="AV837" s="350">
        <f t="shared" si="323"/>
        <v>123606420.69143414</v>
      </c>
      <c r="AW837" s="350">
        <f t="shared" si="324"/>
        <v>166119327.3020924</v>
      </c>
      <c r="AX837" s="350">
        <f t="shared" si="325"/>
        <v>209280331.43287563</v>
      </c>
      <c r="AY837" s="350">
        <f t="shared" si="326"/>
        <v>621226702.82281852</v>
      </c>
      <c r="AZ837" s="365"/>
      <c r="BA837" s="377">
        <f t="shared" si="327"/>
        <v>0</v>
      </c>
      <c r="BB837" s="377">
        <f t="shared" si="328"/>
        <v>0</v>
      </c>
      <c r="BC837" s="377">
        <f t="shared" si="329"/>
        <v>0</v>
      </c>
      <c r="BD837" s="377">
        <f t="shared" si="330"/>
        <v>0</v>
      </c>
      <c r="BE837" s="377">
        <f t="shared" si="331"/>
        <v>0</v>
      </c>
      <c r="BF837" s="377">
        <f t="shared" si="332"/>
        <v>0</v>
      </c>
      <c r="BG837" s="328"/>
    </row>
    <row r="838" spans="2:59">
      <c r="B838" s="332">
        <v>823</v>
      </c>
      <c r="C838" s="350">
        <v>130732733.73748212</v>
      </c>
      <c r="D838" s="350">
        <v>131805003.68141419</v>
      </c>
      <c r="E838" s="350">
        <v>132832343.94875482</v>
      </c>
      <c r="F838" s="350">
        <v>133862125.45878495</v>
      </c>
      <c r="G838" s="350">
        <v>134897547.02641267</v>
      </c>
      <c r="H838" s="348">
        <v>664129753.85284877</v>
      </c>
      <c r="I838" s="369"/>
      <c r="J838" s="350">
        <v>163972243.83980489</v>
      </c>
      <c r="K838" s="350">
        <v>198952640.42501193</v>
      </c>
      <c r="L838" s="350">
        <v>234401020.40760416</v>
      </c>
      <c r="M838" s="350">
        <v>270378667.97329783</v>
      </c>
      <c r="N838" s="350">
        <v>306894729.44465709</v>
      </c>
      <c r="O838" s="348">
        <v>1174599302.0903759</v>
      </c>
      <c r="P838" s="369"/>
      <c r="Q838" s="350">
        <f t="shared" si="333"/>
        <v>33239510.102322772</v>
      </c>
      <c r="R838" s="350">
        <f t="shared" si="334"/>
        <v>67147636.743597746</v>
      </c>
      <c r="S838" s="350">
        <f t="shared" si="335"/>
        <v>101568676.45884934</v>
      </c>
      <c r="T838" s="350">
        <f t="shared" si="336"/>
        <v>136516542.5145129</v>
      </c>
      <c r="U838" s="350">
        <f t="shared" si="337"/>
        <v>171997182.41824442</v>
      </c>
      <c r="V838" s="350">
        <f t="shared" si="338"/>
        <v>510469548.23752713</v>
      </c>
      <c r="W838" s="365"/>
      <c r="X838" s="377">
        <f t="shared" si="316"/>
        <v>0</v>
      </c>
      <c r="Y838" s="377">
        <f t="shared" si="317"/>
        <v>0</v>
      </c>
      <c r="Z838" s="377">
        <f t="shared" si="318"/>
        <v>0</v>
      </c>
      <c r="AA838" s="377">
        <f t="shared" si="319"/>
        <v>0</v>
      </c>
      <c r="AB838" s="377">
        <f t="shared" si="320"/>
        <v>0</v>
      </c>
      <c r="AC838" s="377">
        <f t="shared" si="321"/>
        <v>0</v>
      </c>
      <c r="AD838" s="376"/>
      <c r="AE838" s="332">
        <v>823</v>
      </c>
      <c r="AF838" s="350">
        <v>134701115.24513417</v>
      </c>
      <c r="AG838" s="350">
        <v>135805933.85606846</v>
      </c>
      <c r="AH838" s="350">
        <v>136864458.95372993</v>
      </c>
      <c r="AI838" s="350">
        <v>137925499.39780429</v>
      </c>
      <c r="AJ838" s="350">
        <v>138992351.10296625</v>
      </c>
      <c r="AK838" s="348">
        <v>684289358.55570316</v>
      </c>
      <c r="AL838" s="369"/>
      <c r="AM838" s="350">
        <v>168108125.03197998</v>
      </c>
      <c r="AN838" s="350">
        <v>203283034.51683512</v>
      </c>
      <c r="AO838" s="350">
        <v>238927009.40684423</v>
      </c>
      <c r="AP838" s="350">
        <v>275102841.44471264</v>
      </c>
      <c r="AQ838" s="350">
        <v>311819802.66406298</v>
      </c>
      <c r="AR838" s="348">
        <v>1197240813.064435</v>
      </c>
      <c r="AS838" s="369"/>
      <c r="AT838" s="350">
        <f t="shared" si="339"/>
        <v>33407009.786845803</v>
      </c>
      <c r="AU838" s="350">
        <f t="shared" si="322"/>
        <v>67477100.660766661</v>
      </c>
      <c r="AV838" s="350">
        <f t="shared" si="323"/>
        <v>102062550.4531143</v>
      </c>
      <c r="AW838" s="350">
        <f t="shared" si="324"/>
        <v>137177342.04690835</v>
      </c>
      <c r="AX838" s="350">
        <f t="shared" si="325"/>
        <v>172827451.56109673</v>
      </c>
      <c r="AY838" s="350">
        <f t="shared" si="326"/>
        <v>512951454.50873184</v>
      </c>
      <c r="AZ838" s="365"/>
      <c r="BA838" s="377">
        <f t="shared" si="327"/>
        <v>0</v>
      </c>
      <c r="BB838" s="377">
        <f t="shared" si="328"/>
        <v>0</v>
      </c>
      <c r="BC838" s="377">
        <f t="shared" si="329"/>
        <v>0</v>
      </c>
      <c r="BD838" s="377">
        <f t="shared" si="330"/>
        <v>0</v>
      </c>
      <c r="BE838" s="377">
        <f t="shared" si="331"/>
        <v>0</v>
      </c>
      <c r="BF838" s="377">
        <f t="shared" si="332"/>
        <v>0</v>
      </c>
      <c r="BG838" s="328"/>
    </row>
    <row r="839" spans="2:59">
      <c r="B839" s="332">
        <v>824</v>
      </c>
      <c r="C839" s="350">
        <v>131280022.57594825</v>
      </c>
      <c r="D839" s="350">
        <v>132356781.38319221</v>
      </c>
      <c r="E839" s="350">
        <v>133388422.42391643</v>
      </c>
      <c r="F839" s="350">
        <v>134422514.92714915</v>
      </c>
      <c r="G839" s="350">
        <v>135462271.09905595</v>
      </c>
      <c r="H839" s="348">
        <v>666910012.40926194</v>
      </c>
      <c r="I839" s="369"/>
      <c r="J839" s="350">
        <v>163558447.99485889</v>
      </c>
      <c r="K839" s="350">
        <v>197566781.62617499</v>
      </c>
      <c r="L839" s="350">
        <v>232028140.488787</v>
      </c>
      <c r="M839" s="350">
        <v>267003605.00579289</v>
      </c>
      <c r="N839" s="350">
        <v>302502163.51521891</v>
      </c>
      <c r="O839" s="348">
        <v>1162659138.6308327</v>
      </c>
      <c r="P839" s="369"/>
      <c r="Q839" s="350">
        <f t="shared" si="333"/>
        <v>32278425.418910637</v>
      </c>
      <c r="R839" s="350">
        <f t="shared" si="334"/>
        <v>65210000.242982775</v>
      </c>
      <c r="S839" s="350">
        <f t="shared" si="335"/>
        <v>98639718.064870566</v>
      </c>
      <c r="T839" s="350">
        <f t="shared" si="336"/>
        <v>132581090.07864374</v>
      </c>
      <c r="U839" s="350">
        <f t="shared" si="337"/>
        <v>167039892.41616297</v>
      </c>
      <c r="V839" s="350">
        <f t="shared" si="338"/>
        <v>495749126.22157073</v>
      </c>
      <c r="W839" s="365"/>
      <c r="X839" s="377">
        <f t="shared" si="316"/>
        <v>0</v>
      </c>
      <c r="Y839" s="377">
        <f t="shared" si="317"/>
        <v>0</v>
      </c>
      <c r="Z839" s="377">
        <f t="shared" si="318"/>
        <v>0</v>
      </c>
      <c r="AA839" s="377">
        <f t="shared" si="319"/>
        <v>0</v>
      </c>
      <c r="AB839" s="377">
        <f t="shared" si="320"/>
        <v>0</v>
      </c>
      <c r="AC839" s="377">
        <f t="shared" si="321"/>
        <v>0</v>
      </c>
      <c r="AD839" s="376"/>
      <c r="AE839" s="332">
        <v>824</v>
      </c>
      <c r="AF839" s="350">
        <v>135568785.18321559</v>
      </c>
      <c r="AG839" s="350">
        <v>136680720.42339233</v>
      </c>
      <c r="AH839" s="350">
        <v>137746063.95313781</v>
      </c>
      <c r="AI839" s="350">
        <v>138813939.03176394</v>
      </c>
      <c r="AJ839" s="350">
        <v>139887662.80440122</v>
      </c>
      <c r="AK839" s="348">
        <v>688697171.39591098</v>
      </c>
      <c r="AL839" s="369"/>
      <c r="AM839" s="350">
        <v>171423821.54893145</v>
      </c>
      <c r="AN839" s="350">
        <v>209116630.61678773</v>
      </c>
      <c r="AO839" s="350">
        <v>247316192.63069367</v>
      </c>
      <c r="AP839" s="350">
        <v>286086639.16944677</v>
      </c>
      <c r="AQ839" s="350">
        <v>325437703.58254212</v>
      </c>
      <c r="AR839" s="348">
        <v>1239380987.5484018</v>
      </c>
      <c r="AS839" s="369"/>
      <c r="AT839" s="350">
        <f t="shared" si="339"/>
        <v>35855036.365715861</v>
      </c>
      <c r="AU839" s="350">
        <f t="shared" si="322"/>
        <v>72435910.193395406</v>
      </c>
      <c r="AV839" s="350">
        <f t="shared" si="323"/>
        <v>109570128.67755586</v>
      </c>
      <c r="AW839" s="350">
        <f t="shared" si="324"/>
        <v>147272700.13768283</v>
      </c>
      <c r="AX839" s="350">
        <f t="shared" si="325"/>
        <v>185550040.7781409</v>
      </c>
      <c r="AY839" s="350">
        <f t="shared" si="326"/>
        <v>550683816.15249085</v>
      </c>
      <c r="AZ839" s="365"/>
      <c r="BA839" s="377">
        <f t="shared" si="327"/>
        <v>0</v>
      </c>
      <c r="BB839" s="377">
        <f t="shared" si="328"/>
        <v>0</v>
      </c>
      <c r="BC839" s="377">
        <f t="shared" si="329"/>
        <v>0</v>
      </c>
      <c r="BD839" s="377">
        <f t="shared" si="330"/>
        <v>0</v>
      </c>
      <c r="BE839" s="377">
        <f t="shared" si="331"/>
        <v>0</v>
      </c>
      <c r="BF839" s="377">
        <f t="shared" si="332"/>
        <v>0</v>
      </c>
      <c r="BG839" s="328"/>
    </row>
    <row r="840" spans="2:59">
      <c r="B840" s="332">
        <v>825</v>
      </c>
      <c r="C840" s="350">
        <v>126093882.8094939</v>
      </c>
      <c r="D840" s="350">
        <v>127128104.89592113</v>
      </c>
      <c r="E840" s="350">
        <v>128118991.56655136</v>
      </c>
      <c r="F840" s="350">
        <v>129112232.85611138</v>
      </c>
      <c r="G840" s="350">
        <v>130110914.07445908</v>
      </c>
      <c r="H840" s="348">
        <v>640564126.20253682</v>
      </c>
      <c r="I840" s="369"/>
      <c r="J840" s="350">
        <v>159792600.99686381</v>
      </c>
      <c r="K840" s="350">
        <v>195185771.50953007</v>
      </c>
      <c r="L840" s="350">
        <v>231055330.91383535</v>
      </c>
      <c r="M840" s="350">
        <v>267461073.74525997</v>
      </c>
      <c r="N840" s="350">
        <v>304412112.29683679</v>
      </c>
      <c r="O840" s="348">
        <v>1157906889.462326</v>
      </c>
      <c r="P840" s="369"/>
      <c r="Q840" s="350">
        <f t="shared" si="333"/>
        <v>33698718.187369913</v>
      </c>
      <c r="R840" s="350">
        <f t="shared" si="334"/>
        <v>68057666.613608941</v>
      </c>
      <c r="S840" s="350">
        <f t="shared" si="335"/>
        <v>102936339.34728399</v>
      </c>
      <c r="T840" s="350">
        <f t="shared" si="336"/>
        <v>138348840.88914859</v>
      </c>
      <c r="U840" s="350">
        <f t="shared" si="337"/>
        <v>174301198.22237772</v>
      </c>
      <c r="V840" s="350">
        <f t="shared" si="338"/>
        <v>517342763.25978923</v>
      </c>
      <c r="W840" s="365"/>
      <c r="X840" s="377">
        <f t="shared" si="316"/>
        <v>0</v>
      </c>
      <c r="Y840" s="377">
        <f t="shared" si="317"/>
        <v>0</v>
      </c>
      <c r="Z840" s="377">
        <f t="shared" si="318"/>
        <v>0</v>
      </c>
      <c r="AA840" s="377">
        <f t="shared" si="319"/>
        <v>0</v>
      </c>
      <c r="AB840" s="377">
        <f t="shared" si="320"/>
        <v>0</v>
      </c>
      <c r="AC840" s="377">
        <f t="shared" si="321"/>
        <v>0</v>
      </c>
      <c r="AD840" s="376"/>
      <c r="AE840" s="332">
        <v>825</v>
      </c>
      <c r="AF840" s="350">
        <v>140253870.26032349</v>
      </c>
      <c r="AG840" s="350">
        <v>141404232.57051799</v>
      </c>
      <c r="AH840" s="350">
        <v>142506393.01992872</v>
      </c>
      <c r="AI840" s="350">
        <v>143611172.50533494</v>
      </c>
      <c r="AJ840" s="350">
        <v>144722002.80819097</v>
      </c>
      <c r="AK840" s="348">
        <v>712497671.16429615</v>
      </c>
      <c r="AL840" s="369"/>
      <c r="AM840" s="350">
        <v>174810447.6970337</v>
      </c>
      <c r="AN840" s="350">
        <v>211223056.44047207</v>
      </c>
      <c r="AO840" s="350">
        <v>248120864.44286507</v>
      </c>
      <c r="AP840" s="350">
        <v>285569157.74714899</v>
      </c>
      <c r="AQ840" s="350">
        <v>323577552.91561484</v>
      </c>
      <c r="AR840" s="348">
        <v>1243301079.2431347</v>
      </c>
      <c r="AS840" s="369"/>
      <c r="AT840" s="350">
        <f t="shared" si="339"/>
        <v>34556577.436710209</v>
      </c>
      <c r="AU840" s="350">
        <f t="shared" si="322"/>
        <v>69818823.869954079</v>
      </c>
      <c r="AV840" s="350">
        <f t="shared" si="323"/>
        <v>105614471.42293635</v>
      </c>
      <c r="AW840" s="350">
        <f t="shared" si="324"/>
        <v>141957985.24181405</v>
      </c>
      <c r="AX840" s="350">
        <f t="shared" si="325"/>
        <v>178855550.10742387</v>
      </c>
      <c r="AY840" s="350">
        <f t="shared" si="326"/>
        <v>530803408.07883859</v>
      </c>
      <c r="AZ840" s="365"/>
      <c r="BA840" s="377">
        <f t="shared" si="327"/>
        <v>0</v>
      </c>
      <c r="BB840" s="377">
        <f t="shared" si="328"/>
        <v>0</v>
      </c>
      <c r="BC840" s="377">
        <f t="shared" si="329"/>
        <v>0</v>
      </c>
      <c r="BD840" s="377">
        <f t="shared" si="330"/>
        <v>0</v>
      </c>
      <c r="BE840" s="377">
        <f t="shared" si="331"/>
        <v>0</v>
      </c>
      <c r="BF840" s="377">
        <f t="shared" si="332"/>
        <v>0</v>
      </c>
      <c r="BG840" s="328"/>
    </row>
    <row r="841" spans="2:59">
      <c r="B841" s="332">
        <v>826</v>
      </c>
      <c r="C841" s="350">
        <v>116226998.23967239</v>
      </c>
      <c r="D841" s="350">
        <v>117180292.13419242</v>
      </c>
      <c r="E841" s="350">
        <v>118093641.62234363</v>
      </c>
      <c r="F841" s="350">
        <v>119009161.47977933</v>
      </c>
      <c r="G841" s="350">
        <v>119929695.58992536</v>
      </c>
      <c r="H841" s="348">
        <v>590439789.0659132</v>
      </c>
      <c r="I841" s="369"/>
      <c r="J841" s="350">
        <v>144370008.30060399</v>
      </c>
      <c r="K841" s="350">
        <v>174028937.58690545</v>
      </c>
      <c r="L841" s="350">
        <v>204082138.17526317</v>
      </c>
      <c r="M841" s="350">
        <v>234583504.64129692</v>
      </c>
      <c r="N841" s="350">
        <v>265540915.93478617</v>
      </c>
      <c r="O841" s="348">
        <v>1022605504.6388558</v>
      </c>
      <c r="P841" s="369"/>
      <c r="Q841" s="350">
        <f t="shared" si="333"/>
        <v>28143010.060931593</v>
      </c>
      <c r="R841" s="350">
        <f t="shared" si="334"/>
        <v>56848645.452713028</v>
      </c>
      <c r="S841" s="350">
        <f t="shared" si="335"/>
        <v>85988496.552919537</v>
      </c>
      <c r="T841" s="350">
        <f t="shared" si="336"/>
        <v>115574343.16151759</v>
      </c>
      <c r="U841" s="350">
        <f t="shared" si="337"/>
        <v>145611220.34486079</v>
      </c>
      <c r="V841" s="350">
        <f t="shared" si="338"/>
        <v>432165715.57294261</v>
      </c>
      <c r="W841" s="365"/>
      <c r="X841" s="377">
        <f t="shared" si="316"/>
        <v>0</v>
      </c>
      <c r="Y841" s="377">
        <f t="shared" si="317"/>
        <v>0</v>
      </c>
      <c r="Z841" s="377">
        <f t="shared" si="318"/>
        <v>0</v>
      </c>
      <c r="AA841" s="377">
        <f t="shared" si="319"/>
        <v>0</v>
      </c>
      <c r="AB841" s="377">
        <f t="shared" si="320"/>
        <v>0</v>
      </c>
      <c r="AC841" s="377">
        <f t="shared" si="321"/>
        <v>0</v>
      </c>
      <c r="AD841" s="376"/>
      <c r="AE841" s="332">
        <v>826</v>
      </c>
      <c r="AF841" s="350">
        <v>153474919.8080073</v>
      </c>
      <c r="AG841" s="350">
        <v>154733721.17284352</v>
      </c>
      <c r="AH841" s="350">
        <v>155939776.92214227</v>
      </c>
      <c r="AI841" s="350">
        <v>157148698.59120953</v>
      </c>
      <c r="AJ841" s="350">
        <v>158364241.45883021</v>
      </c>
      <c r="AK841" s="348">
        <v>779661357.95303285</v>
      </c>
      <c r="AL841" s="369"/>
      <c r="AM841" s="350">
        <v>190593462.41851926</v>
      </c>
      <c r="AN841" s="350">
        <v>229703856.54246634</v>
      </c>
      <c r="AO841" s="350">
        <v>269334062.89054215</v>
      </c>
      <c r="AP841" s="350">
        <v>309555229.17968726</v>
      </c>
      <c r="AQ841" s="350">
        <v>350377750.19225693</v>
      </c>
      <c r="AR841" s="348">
        <v>1349564361.2234719</v>
      </c>
      <c r="AS841" s="369"/>
      <c r="AT841" s="350">
        <f t="shared" si="339"/>
        <v>37118542.610511959</v>
      </c>
      <c r="AU841" s="350">
        <f t="shared" si="322"/>
        <v>74970135.369622827</v>
      </c>
      <c r="AV841" s="350">
        <f t="shared" si="323"/>
        <v>113394285.96839988</v>
      </c>
      <c r="AW841" s="350">
        <f t="shared" si="324"/>
        <v>152406530.58847773</v>
      </c>
      <c r="AX841" s="350">
        <f t="shared" si="325"/>
        <v>192013508.73342672</v>
      </c>
      <c r="AY841" s="350">
        <f t="shared" si="326"/>
        <v>569903003.27043903</v>
      </c>
      <c r="AZ841" s="365"/>
      <c r="BA841" s="377">
        <f t="shared" si="327"/>
        <v>0</v>
      </c>
      <c r="BB841" s="377">
        <f t="shared" si="328"/>
        <v>0</v>
      </c>
      <c r="BC841" s="377">
        <f t="shared" si="329"/>
        <v>0</v>
      </c>
      <c r="BD841" s="377">
        <f t="shared" si="330"/>
        <v>0</v>
      </c>
      <c r="BE841" s="377">
        <f t="shared" si="331"/>
        <v>0</v>
      </c>
      <c r="BF841" s="377">
        <f t="shared" si="332"/>
        <v>0</v>
      </c>
      <c r="BG841" s="328"/>
    </row>
    <row r="842" spans="2:59">
      <c r="B842" s="332">
        <v>827</v>
      </c>
      <c r="C842" s="350">
        <v>116119762.51827857</v>
      </c>
      <c r="D842" s="350">
        <v>117072176.86536099</v>
      </c>
      <c r="E842" s="350">
        <v>117984683.66039675</v>
      </c>
      <c r="F842" s="350">
        <v>118899358.82224667</v>
      </c>
      <c r="G842" s="350">
        <v>119819043.6104549</v>
      </c>
      <c r="H842" s="348">
        <v>589895025.47673786</v>
      </c>
      <c r="I842" s="369"/>
      <c r="J842" s="350">
        <v>147741627.7566976</v>
      </c>
      <c r="K842" s="350">
        <v>180955320.40422708</v>
      </c>
      <c r="L842" s="350">
        <v>214617108.97686857</v>
      </c>
      <c r="M842" s="350">
        <v>248782305.73768982</v>
      </c>
      <c r="N842" s="350">
        <v>283459410.51969755</v>
      </c>
      <c r="O842" s="348">
        <v>1075555773.3951807</v>
      </c>
      <c r="P842" s="369"/>
      <c r="Q842" s="350">
        <f t="shared" si="333"/>
        <v>31621865.238419026</v>
      </c>
      <c r="R842" s="350">
        <f t="shared" si="334"/>
        <v>63883143.538866088</v>
      </c>
      <c r="S842" s="350">
        <f t="shared" si="335"/>
        <v>96632425.316471815</v>
      </c>
      <c r="T842" s="350">
        <f t="shared" si="336"/>
        <v>129882946.91544315</v>
      </c>
      <c r="U842" s="350">
        <f t="shared" si="337"/>
        <v>163640366.90924263</v>
      </c>
      <c r="V842" s="350">
        <f t="shared" si="338"/>
        <v>485660747.91844285</v>
      </c>
      <c r="W842" s="365"/>
      <c r="X842" s="377">
        <f t="shared" si="316"/>
        <v>0</v>
      </c>
      <c r="Y842" s="377">
        <f t="shared" si="317"/>
        <v>0</v>
      </c>
      <c r="Z842" s="377">
        <f t="shared" si="318"/>
        <v>0</v>
      </c>
      <c r="AA842" s="377">
        <f t="shared" si="319"/>
        <v>0</v>
      </c>
      <c r="AB842" s="377">
        <f t="shared" si="320"/>
        <v>0</v>
      </c>
      <c r="AC842" s="377">
        <f t="shared" si="321"/>
        <v>0</v>
      </c>
      <c r="AD842" s="376"/>
      <c r="AE842" s="332">
        <v>827</v>
      </c>
      <c r="AF842" s="350">
        <v>115005215.33434594</v>
      </c>
      <c r="AG842" s="350">
        <v>115948488.16489872</v>
      </c>
      <c r="AH842" s="350">
        <v>116852236.48629768</v>
      </c>
      <c r="AI842" s="350">
        <v>117758132.3619715</v>
      </c>
      <c r="AJ842" s="350">
        <v>118668989.7803283</v>
      </c>
      <c r="AK842" s="348">
        <v>584233062.12784219</v>
      </c>
      <c r="AL842" s="369"/>
      <c r="AM842" s="350">
        <v>143211088.136913</v>
      </c>
      <c r="AN842" s="350">
        <v>172934947.94843739</v>
      </c>
      <c r="AO842" s="350">
        <v>203054637.72183686</v>
      </c>
      <c r="AP842" s="350">
        <v>233623636.23480523</v>
      </c>
      <c r="AQ842" s="350">
        <v>264649805.44231519</v>
      </c>
      <c r="AR842" s="348">
        <v>1017474115.4843076</v>
      </c>
      <c r="AS842" s="369"/>
      <c r="AT842" s="350">
        <f t="shared" si="339"/>
        <v>28205872.802567065</v>
      </c>
      <c r="AU842" s="350">
        <f t="shared" si="322"/>
        <v>56986459.783538669</v>
      </c>
      <c r="AV842" s="350">
        <f t="shared" si="323"/>
        <v>86202401.235539183</v>
      </c>
      <c r="AW842" s="350">
        <f t="shared" si="324"/>
        <v>115865503.87283373</v>
      </c>
      <c r="AX842" s="350">
        <f t="shared" si="325"/>
        <v>145980815.66198689</v>
      </c>
      <c r="AY842" s="350">
        <f t="shared" si="326"/>
        <v>433241053.35646546</v>
      </c>
      <c r="AZ842" s="365"/>
      <c r="BA842" s="377">
        <f t="shared" si="327"/>
        <v>0</v>
      </c>
      <c r="BB842" s="377">
        <f t="shared" si="328"/>
        <v>0</v>
      </c>
      <c r="BC842" s="377">
        <f t="shared" si="329"/>
        <v>0</v>
      </c>
      <c r="BD842" s="377">
        <f t="shared" si="330"/>
        <v>0</v>
      </c>
      <c r="BE842" s="377">
        <f t="shared" si="331"/>
        <v>0</v>
      </c>
      <c r="BF842" s="377">
        <f t="shared" si="332"/>
        <v>0</v>
      </c>
      <c r="BG842" s="328"/>
    </row>
    <row r="843" spans="2:59">
      <c r="B843" s="332">
        <v>828</v>
      </c>
      <c r="C843" s="350">
        <v>157301769.74971852</v>
      </c>
      <c r="D843" s="350">
        <v>158591958.93958619</v>
      </c>
      <c r="E843" s="350">
        <v>159828087.31820887</v>
      </c>
      <c r="F843" s="350">
        <v>161067153.07742846</v>
      </c>
      <c r="G843" s="350">
        <v>162313005.13275167</v>
      </c>
      <c r="H843" s="348">
        <v>799101974.21769381</v>
      </c>
      <c r="I843" s="369"/>
      <c r="J843" s="350">
        <v>192626394.88703385</v>
      </c>
      <c r="K843" s="350">
        <v>229955192.0497461</v>
      </c>
      <c r="L843" s="350">
        <v>267775069.89660349</v>
      </c>
      <c r="M843" s="350">
        <v>306157812.85557616</v>
      </c>
      <c r="N843" s="350">
        <v>345113590.95972544</v>
      </c>
      <c r="O843" s="348">
        <v>1341628060.648685</v>
      </c>
      <c r="P843" s="369"/>
      <c r="Q843" s="350">
        <f t="shared" si="333"/>
        <v>35324625.137315333</v>
      </c>
      <c r="R843" s="350">
        <f t="shared" si="334"/>
        <v>71363233.110159904</v>
      </c>
      <c r="S843" s="350">
        <f t="shared" si="335"/>
        <v>107946982.57839462</v>
      </c>
      <c r="T843" s="350">
        <f t="shared" si="336"/>
        <v>145090659.7781477</v>
      </c>
      <c r="U843" s="350">
        <f t="shared" si="337"/>
        <v>182800585.82697377</v>
      </c>
      <c r="V843" s="350">
        <f t="shared" si="338"/>
        <v>542526086.43099117</v>
      </c>
      <c r="W843" s="365"/>
      <c r="X843" s="377">
        <f t="shared" si="316"/>
        <v>0</v>
      </c>
      <c r="Y843" s="377">
        <f t="shared" si="317"/>
        <v>0</v>
      </c>
      <c r="Z843" s="377">
        <f t="shared" si="318"/>
        <v>0</v>
      </c>
      <c r="AA843" s="377">
        <f t="shared" si="319"/>
        <v>0</v>
      </c>
      <c r="AB843" s="377">
        <f t="shared" si="320"/>
        <v>0</v>
      </c>
      <c r="AC843" s="377">
        <f t="shared" si="321"/>
        <v>0</v>
      </c>
      <c r="AD843" s="376"/>
      <c r="AE843" s="332">
        <v>828</v>
      </c>
      <c r="AF843" s="350">
        <v>130091960.04086247</v>
      </c>
      <c r="AG843" s="350">
        <v>131158974.35863191</v>
      </c>
      <c r="AH843" s="350">
        <v>132181279.21822137</v>
      </c>
      <c r="AI843" s="350">
        <v>133206013.35498829</v>
      </c>
      <c r="AJ843" s="350">
        <v>134236359.90516266</v>
      </c>
      <c r="AK843" s="348">
        <v>660874586.87786663</v>
      </c>
      <c r="AL843" s="369"/>
      <c r="AM843" s="350">
        <v>161195515.16500029</v>
      </c>
      <c r="AN843" s="350">
        <v>193993027.30271682</v>
      </c>
      <c r="AO843" s="350">
        <v>227225803.63531137</v>
      </c>
      <c r="AP843" s="350">
        <v>260954002.17648968</v>
      </c>
      <c r="AQ843" s="350">
        <v>295186371.58322984</v>
      </c>
      <c r="AR843" s="348">
        <v>1138554719.8627481</v>
      </c>
      <c r="AS843" s="369"/>
      <c r="AT843" s="350">
        <f t="shared" si="339"/>
        <v>31103555.124137819</v>
      </c>
      <c r="AU843" s="350">
        <f t="shared" si="322"/>
        <v>62834052.944084913</v>
      </c>
      <c r="AV843" s="350">
        <f t="shared" si="323"/>
        <v>95044524.417089999</v>
      </c>
      <c r="AW843" s="350">
        <f t="shared" si="324"/>
        <v>127747988.82150139</v>
      </c>
      <c r="AX843" s="350">
        <f t="shared" si="325"/>
        <v>160950011.67806718</v>
      </c>
      <c r="AY843" s="350">
        <f t="shared" si="326"/>
        <v>477680132.98488152</v>
      </c>
      <c r="AZ843" s="365"/>
      <c r="BA843" s="377">
        <f t="shared" si="327"/>
        <v>0</v>
      </c>
      <c r="BB843" s="377">
        <f t="shared" si="328"/>
        <v>0</v>
      </c>
      <c r="BC843" s="377">
        <f t="shared" si="329"/>
        <v>0</v>
      </c>
      <c r="BD843" s="377">
        <f t="shared" si="330"/>
        <v>0</v>
      </c>
      <c r="BE843" s="377">
        <f t="shared" si="331"/>
        <v>0</v>
      </c>
      <c r="BF843" s="377">
        <f t="shared" si="332"/>
        <v>0</v>
      </c>
      <c r="BG843" s="328"/>
    </row>
    <row r="844" spans="2:59">
      <c r="B844" s="332">
        <v>829</v>
      </c>
      <c r="C844" s="350">
        <v>143121118.47741127</v>
      </c>
      <c r="D844" s="350">
        <v>144294997.95883816</v>
      </c>
      <c r="E844" s="350">
        <v>145419690.17566216</v>
      </c>
      <c r="F844" s="350">
        <v>146547054.97015062</v>
      </c>
      <c r="G844" s="350">
        <v>147680594.28060436</v>
      </c>
      <c r="H844" s="348">
        <v>727063455.86266661</v>
      </c>
      <c r="I844" s="369"/>
      <c r="J844" s="350">
        <v>181236448.60947248</v>
      </c>
      <c r="K844" s="350">
        <v>221282367.49229139</v>
      </c>
      <c r="L844" s="350">
        <v>261867094.4584088</v>
      </c>
      <c r="M844" s="350">
        <v>303058442.96373045</v>
      </c>
      <c r="N844" s="350">
        <v>344866733.35501105</v>
      </c>
      <c r="O844" s="348">
        <v>1312311086.8789141</v>
      </c>
      <c r="P844" s="369"/>
      <c r="Q844" s="350">
        <f t="shared" si="333"/>
        <v>38115330.132061213</v>
      </c>
      <c r="R844" s="350">
        <f t="shared" si="334"/>
        <v>76987369.533453226</v>
      </c>
      <c r="S844" s="350">
        <f t="shared" si="335"/>
        <v>116447404.28274664</v>
      </c>
      <c r="T844" s="350">
        <f t="shared" si="336"/>
        <v>156511387.99357983</v>
      </c>
      <c r="U844" s="350">
        <f t="shared" si="337"/>
        <v>197186139.07440668</v>
      </c>
      <c r="V844" s="350">
        <f t="shared" si="338"/>
        <v>585247631.01624751</v>
      </c>
      <c r="W844" s="365"/>
      <c r="X844" s="377">
        <f t="shared" si="316"/>
        <v>0</v>
      </c>
      <c r="Y844" s="377">
        <f t="shared" si="317"/>
        <v>0</v>
      </c>
      <c r="Z844" s="377">
        <f t="shared" si="318"/>
        <v>0</v>
      </c>
      <c r="AA844" s="377">
        <f t="shared" si="319"/>
        <v>0</v>
      </c>
      <c r="AB844" s="377">
        <f t="shared" si="320"/>
        <v>0</v>
      </c>
      <c r="AC844" s="377">
        <f t="shared" si="321"/>
        <v>0</v>
      </c>
      <c r="AD844" s="376"/>
      <c r="AE844" s="332">
        <v>829</v>
      </c>
      <c r="AF844" s="350">
        <v>126620375.1513688</v>
      </c>
      <c r="AG844" s="350">
        <v>127658915.52823305</v>
      </c>
      <c r="AH844" s="350">
        <v>128653939.5466245</v>
      </c>
      <c r="AI844" s="350">
        <v>129651328.01542062</v>
      </c>
      <c r="AJ844" s="350">
        <v>130654179.12688068</v>
      </c>
      <c r="AK844" s="348">
        <v>643238737.36852765</v>
      </c>
      <c r="AL844" s="369"/>
      <c r="AM844" s="350">
        <v>156740335.44175833</v>
      </c>
      <c r="AN844" s="350">
        <v>188486540.4916563</v>
      </c>
      <c r="AO844" s="350">
        <v>220653721.9043698</v>
      </c>
      <c r="AP844" s="350">
        <v>253300366.97686389</v>
      </c>
      <c r="AQ844" s="350">
        <v>286434960.45926827</v>
      </c>
      <c r="AR844" s="348">
        <v>1105615925.2739165</v>
      </c>
      <c r="AS844" s="369"/>
      <c r="AT844" s="350">
        <f t="shared" si="339"/>
        <v>30119960.290389538</v>
      </c>
      <c r="AU844" s="350">
        <f t="shared" si="322"/>
        <v>60827624.963423252</v>
      </c>
      <c r="AV844" s="350">
        <f t="shared" si="323"/>
        <v>91999782.357745305</v>
      </c>
      <c r="AW844" s="350">
        <f t="shared" si="324"/>
        <v>123649038.96144328</v>
      </c>
      <c r="AX844" s="350">
        <f t="shared" si="325"/>
        <v>155780781.3323876</v>
      </c>
      <c r="AY844" s="350">
        <f t="shared" si="326"/>
        <v>462377187.90538883</v>
      </c>
      <c r="AZ844" s="365"/>
      <c r="BA844" s="377">
        <f t="shared" si="327"/>
        <v>0</v>
      </c>
      <c r="BB844" s="377">
        <f t="shared" si="328"/>
        <v>0</v>
      </c>
      <c r="BC844" s="377">
        <f t="shared" si="329"/>
        <v>0</v>
      </c>
      <c r="BD844" s="377">
        <f t="shared" si="330"/>
        <v>0</v>
      </c>
      <c r="BE844" s="377">
        <f t="shared" si="331"/>
        <v>0</v>
      </c>
      <c r="BF844" s="377">
        <f t="shared" si="332"/>
        <v>0</v>
      </c>
      <c r="BG844" s="328"/>
    </row>
    <row r="845" spans="2:59">
      <c r="B845" s="332">
        <v>830</v>
      </c>
      <c r="C845" s="350">
        <v>147807147.74911097</v>
      </c>
      <c r="D845" s="350">
        <v>149019462.04484013</v>
      </c>
      <c r="E845" s="350">
        <v>150180978.60111701</v>
      </c>
      <c r="F845" s="350">
        <v>151345255.23980469</v>
      </c>
      <c r="G845" s="350">
        <v>152515908.55863062</v>
      </c>
      <c r="H845" s="348">
        <v>750868752.19350338</v>
      </c>
      <c r="I845" s="369"/>
      <c r="J845" s="350">
        <v>184273377.44358224</v>
      </c>
      <c r="K845" s="350">
        <v>222655442.04329938</v>
      </c>
      <c r="L845" s="350">
        <v>261548945.23273697</v>
      </c>
      <c r="M845" s="350">
        <v>301022707.06103909</v>
      </c>
      <c r="N845" s="350">
        <v>341086864.40731758</v>
      </c>
      <c r="O845" s="348">
        <v>1310587336.1879752</v>
      </c>
      <c r="P845" s="369"/>
      <c r="Q845" s="350">
        <f t="shared" si="333"/>
        <v>36466229.69447127</v>
      </c>
      <c r="R845" s="350">
        <f t="shared" si="334"/>
        <v>73635979.99845925</v>
      </c>
      <c r="S845" s="350">
        <f t="shared" si="335"/>
        <v>111367966.63161996</v>
      </c>
      <c r="T845" s="350">
        <f t="shared" si="336"/>
        <v>149677451.82123441</v>
      </c>
      <c r="U845" s="350">
        <f t="shared" si="337"/>
        <v>188570955.84868696</v>
      </c>
      <c r="V845" s="350">
        <f t="shared" si="338"/>
        <v>559718583.99447179</v>
      </c>
      <c r="W845" s="365"/>
      <c r="X845" s="377">
        <f t="shared" si="316"/>
        <v>0</v>
      </c>
      <c r="Y845" s="377">
        <f t="shared" si="317"/>
        <v>0</v>
      </c>
      <c r="Z845" s="377">
        <f t="shared" si="318"/>
        <v>0</v>
      </c>
      <c r="AA845" s="377">
        <f t="shared" si="319"/>
        <v>0</v>
      </c>
      <c r="AB845" s="377">
        <f t="shared" si="320"/>
        <v>0</v>
      </c>
      <c r="AC845" s="377">
        <f t="shared" si="321"/>
        <v>0</v>
      </c>
      <c r="AD845" s="376"/>
      <c r="AE845" s="332">
        <v>830</v>
      </c>
      <c r="AF845" s="350">
        <v>125753101.53476542</v>
      </c>
      <c r="AG845" s="350">
        <v>126784528.53301623</v>
      </c>
      <c r="AH845" s="350">
        <v>127772737.2337465</v>
      </c>
      <c r="AI845" s="350">
        <v>128763294.18981445</v>
      </c>
      <c r="AJ845" s="350">
        <v>129759276.37272084</v>
      </c>
      <c r="AK845" s="348">
        <v>638832937.8640635</v>
      </c>
      <c r="AL845" s="369"/>
      <c r="AM845" s="350">
        <v>162027493.19838414</v>
      </c>
      <c r="AN845" s="350">
        <v>200034394.92836308</v>
      </c>
      <c r="AO845" s="350">
        <v>238557376.62723702</v>
      </c>
      <c r="AP845" s="350">
        <v>277657186.85529405</v>
      </c>
      <c r="AQ845" s="350">
        <v>317343388.75700915</v>
      </c>
      <c r="AR845" s="348">
        <v>1195619840.3662872</v>
      </c>
      <c r="AS845" s="369"/>
      <c r="AT845" s="350">
        <f t="shared" si="339"/>
        <v>36274391.663618714</v>
      </c>
      <c r="AU845" s="350">
        <f t="shared" si="322"/>
        <v>73249866.39534685</v>
      </c>
      <c r="AV845" s="350">
        <f t="shared" si="323"/>
        <v>110784639.39349052</v>
      </c>
      <c r="AW845" s="350">
        <f t="shared" si="324"/>
        <v>148893892.6654796</v>
      </c>
      <c r="AX845" s="350">
        <f t="shared" si="325"/>
        <v>187584112.38428831</v>
      </c>
      <c r="AY845" s="350">
        <f t="shared" si="326"/>
        <v>556786902.50222373</v>
      </c>
      <c r="AZ845" s="365"/>
      <c r="BA845" s="377">
        <f t="shared" si="327"/>
        <v>0</v>
      </c>
      <c r="BB845" s="377">
        <f t="shared" si="328"/>
        <v>0</v>
      </c>
      <c r="BC845" s="377">
        <f t="shared" si="329"/>
        <v>0</v>
      </c>
      <c r="BD845" s="377">
        <f t="shared" si="330"/>
        <v>0</v>
      </c>
      <c r="BE845" s="377">
        <f t="shared" si="331"/>
        <v>0</v>
      </c>
      <c r="BF845" s="377">
        <f t="shared" si="332"/>
        <v>0</v>
      </c>
      <c r="BG845" s="328"/>
    </row>
    <row r="846" spans="2:59">
      <c r="B846" s="332">
        <v>831</v>
      </c>
      <c r="C846" s="350">
        <v>126450505.44644916</v>
      </c>
      <c r="D846" s="350">
        <v>127487652.55191335</v>
      </c>
      <c r="E846" s="350">
        <v>128481341.67901115</v>
      </c>
      <c r="F846" s="350">
        <v>129477392.08444519</v>
      </c>
      <c r="G846" s="350">
        <v>130478897.80404252</v>
      </c>
      <c r="H846" s="348">
        <v>642375789.56586134</v>
      </c>
      <c r="I846" s="369"/>
      <c r="J846" s="350">
        <v>160599871.91376609</v>
      </c>
      <c r="K846" s="350">
        <v>196470172.54729939</v>
      </c>
      <c r="L846" s="350">
        <v>232823919.29722804</v>
      </c>
      <c r="M846" s="350">
        <v>269721225.35687894</v>
      </c>
      <c r="N846" s="350">
        <v>307171294.59132284</v>
      </c>
      <c r="O846" s="348">
        <v>1166786483.7064953</v>
      </c>
      <c r="P846" s="369"/>
      <c r="Q846" s="350">
        <f t="shared" si="333"/>
        <v>34149366.467316926</v>
      </c>
      <c r="R846" s="350">
        <f t="shared" si="334"/>
        <v>68982519.995386034</v>
      </c>
      <c r="S846" s="350">
        <f t="shared" si="335"/>
        <v>104342577.61821689</v>
      </c>
      <c r="T846" s="350">
        <f t="shared" si="336"/>
        <v>140243833.27243376</v>
      </c>
      <c r="U846" s="350">
        <f t="shared" si="337"/>
        <v>176692396.78728032</v>
      </c>
      <c r="V846" s="350">
        <f t="shared" si="338"/>
        <v>524410694.14063394</v>
      </c>
      <c r="W846" s="365"/>
      <c r="X846" s="377">
        <f t="shared" si="316"/>
        <v>0</v>
      </c>
      <c r="Y846" s="377">
        <f t="shared" si="317"/>
        <v>0</v>
      </c>
      <c r="Z846" s="377">
        <f t="shared" si="318"/>
        <v>0</v>
      </c>
      <c r="AA846" s="377">
        <f t="shared" si="319"/>
        <v>0</v>
      </c>
      <c r="AB846" s="377">
        <f t="shared" si="320"/>
        <v>0</v>
      </c>
      <c r="AC846" s="377">
        <f t="shared" si="321"/>
        <v>0</v>
      </c>
      <c r="AD846" s="376"/>
      <c r="AE846" s="332">
        <v>831</v>
      </c>
      <c r="AF846" s="350">
        <v>138139664.34323788</v>
      </c>
      <c r="AG846" s="350">
        <v>139272685.93550074</v>
      </c>
      <c r="AH846" s="350">
        <v>140358232.26838553</v>
      </c>
      <c r="AI846" s="350">
        <v>141446358.15756097</v>
      </c>
      <c r="AJ846" s="350">
        <v>142540443.65334094</v>
      </c>
      <c r="AK846" s="348">
        <v>701757384.35802603</v>
      </c>
      <c r="AL846" s="369"/>
      <c r="AM846" s="350">
        <v>175150707.47088403</v>
      </c>
      <c r="AN846" s="350">
        <v>214022013.74920747</v>
      </c>
      <c r="AO846" s="350">
        <v>253416686.96182841</v>
      </c>
      <c r="AP846" s="350">
        <v>293400272.90672761</v>
      </c>
      <c r="AQ846" s="350">
        <v>333982771.34646213</v>
      </c>
      <c r="AR846" s="348">
        <v>1269972452.4351096</v>
      </c>
      <c r="AS846" s="369"/>
      <c r="AT846" s="350">
        <f t="shared" si="339"/>
        <v>37011043.127646148</v>
      </c>
      <c r="AU846" s="350">
        <f t="shared" si="322"/>
        <v>74749327.813706726</v>
      </c>
      <c r="AV846" s="350">
        <f t="shared" si="323"/>
        <v>113058454.69344288</v>
      </c>
      <c r="AW846" s="350">
        <f t="shared" si="324"/>
        <v>151953914.74916664</v>
      </c>
      <c r="AX846" s="350">
        <f t="shared" si="325"/>
        <v>191442327.69312119</v>
      </c>
      <c r="AY846" s="350">
        <f t="shared" si="326"/>
        <v>568215068.07708359</v>
      </c>
      <c r="AZ846" s="365"/>
      <c r="BA846" s="377">
        <f t="shared" si="327"/>
        <v>0</v>
      </c>
      <c r="BB846" s="377">
        <f t="shared" si="328"/>
        <v>0</v>
      </c>
      <c r="BC846" s="377">
        <f t="shared" si="329"/>
        <v>0</v>
      </c>
      <c r="BD846" s="377">
        <f t="shared" si="330"/>
        <v>0</v>
      </c>
      <c r="BE846" s="377">
        <f t="shared" si="331"/>
        <v>0</v>
      </c>
      <c r="BF846" s="377">
        <f t="shared" si="332"/>
        <v>0</v>
      </c>
      <c r="BG846" s="328"/>
    </row>
    <row r="847" spans="2:59">
      <c r="B847" s="332">
        <v>832</v>
      </c>
      <c r="C847" s="350">
        <v>137563326.19785303</v>
      </c>
      <c r="D847" s="350">
        <v>138691620.66437495</v>
      </c>
      <c r="E847" s="350">
        <v>139772637.94499072</v>
      </c>
      <c r="F847" s="350">
        <v>140856224.01962495</v>
      </c>
      <c r="G847" s="350">
        <v>141945744.83654511</v>
      </c>
      <c r="H847" s="348">
        <v>698829553.66338873</v>
      </c>
      <c r="I847" s="369"/>
      <c r="J847" s="350">
        <v>176489033.32954553</v>
      </c>
      <c r="K847" s="350">
        <v>217292094.87827593</v>
      </c>
      <c r="L847" s="350">
        <v>258648006.02114558</v>
      </c>
      <c r="M847" s="350">
        <v>300622904.22542179</v>
      </c>
      <c r="N847" s="350">
        <v>343227115.19185972</v>
      </c>
      <c r="O847" s="348">
        <v>1296279153.6462486</v>
      </c>
      <c r="P847" s="369"/>
      <c r="Q847" s="350">
        <f t="shared" si="333"/>
        <v>38925707.131692499</v>
      </c>
      <c r="R847" s="350">
        <f t="shared" si="334"/>
        <v>78600474.213900983</v>
      </c>
      <c r="S847" s="350">
        <f t="shared" si="335"/>
        <v>118875368.07615486</v>
      </c>
      <c r="T847" s="350">
        <f t="shared" si="336"/>
        <v>159766680.20579684</v>
      </c>
      <c r="U847" s="350">
        <f t="shared" si="337"/>
        <v>201281370.35531461</v>
      </c>
      <c r="V847" s="350">
        <f t="shared" si="338"/>
        <v>597449599.98285985</v>
      </c>
      <c r="W847" s="365"/>
      <c r="X847" s="377">
        <f t="shared" si="316"/>
        <v>0</v>
      </c>
      <c r="Y847" s="377">
        <f t="shared" si="317"/>
        <v>0</v>
      </c>
      <c r="Z847" s="377">
        <f t="shared" si="318"/>
        <v>0</v>
      </c>
      <c r="AA847" s="377">
        <f t="shared" si="319"/>
        <v>0</v>
      </c>
      <c r="AB847" s="377">
        <f t="shared" si="320"/>
        <v>0</v>
      </c>
      <c r="AC847" s="377">
        <f t="shared" si="321"/>
        <v>0</v>
      </c>
      <c r="AD847" s="376"/>
      <c r="AE847" s="332">
        <v>832</v>
      </c>
      <c r="AF847" s="350">
        <v>128756385.94530773</v>
      </c>
      <c r="AG847" s="350">
        <v>129812445.8837139</v>
      </c>
      <c r="AH847" s="350">
        <v>130824255.36843315</v>
      </c>
      <c r="AI847" s="350">
        <v>131838469.19043608</v>
      </c>
      <c r="AJ847" s="350">
        <v>132858237.80665183</v>
      </c>
      <c r="AK847" s="348">
        <v>654089794.19454265</v>
      </c>
      <c r="AL847" s="369"/>
      <c r="AM847" s="350">
        <v>160010781.22257406</v>
      </c>
      <c r="AN847" s="350">
        <v>192929518.80820504</v>
      </c>
      <c r="AO847" s="350">
        <v>226285968.99036726</v>
      </c>
      <c r="AP847" s="350">
        <v>260139867.77101985</v>
      </c>
      <c r="AQ847" s="350">
        <v>294499954.80600429</v>
      </c>
      <c r="AR847" s="348">
        <v>1133866091.5981705</v>
      </c>
      <c r="AS847" s="369"/>
      <c r="AT847" s="350">
        <f t="shared" si="339"/>
        <v>31254395.277266324</v>
      </c>
      <c r="AU847" s="350">
        <f t="shared" si="322"/>
        <v>63117072.924491137</v>
      </c>
      <c r="AV847" s="350">
        <f t="shared" si="323"/>
        <v>95461713.621934116</v>
      </c>
      <c r="AW847" s="350">
        <f t="shared" si="324"/>
        <v>128301398.58058377</v>
      </c>
      <c r="AX847" s="350">
        <f t="shared" si="325"/>
        <v>161641716.99935246</v>
      </c>
      <c r="AY847" s="350">
        <f t="shared" si="326"/>
        <v>479776297.40362787</v>
      </c>
      <c r="AZ847" s="365"/>
      <c r="BA847" s="377">
        <f t="shared" si="327"/>
        <v>0</v>
      </c>
      <c r="BB847" s="377">
        <f t="shared" si="328"/>
        <v>0</v>
      </c>
      <c r="BC847" s="377">
        <f t="shared" si="329"/>
        <v>0</v>
      </c>
      <c r="BD847" s="377">
        <f t="shared" si="330"/>
        <v>0</v>
      </c>
      <c r="BE847" s="377">
        <f t="shared" si="331"/>
        <v>0</v>
      </c>
      <c r="BF847" s="377">
        <f t="shared" si="332"/>
        <v>0</v>
      </c>
      <c r="BG847" s="328"/>
    </row>
    <row r="848" spans="2:59">
      <c r="B848" s="332">
        <v>833</v>
      </c>
      <c r="C848" s="350">
        <v>141649478.97980177</v>
      </c>
      <c r="D848" s="350">
        <v>142811288.07337338</v>
      </c>
      <c r="E848" s="350">
        <v>143924415.66922078</v>
      </c>
      <c r="F848" s="350">
        <v>145040188.36201638</v>
      </c>
      <c r="G848" s="350">
        <v>146162072.08146369</v>
      </c>
      <c r="H848" s="348">
        <v>719587443.16587603</v>
      </c>
      <c r="I848" s="369"/>
      <c r="J848" s="350">
        <v>182282198.34503329</v>
      </c>
      <c r="K848" s="350">
        <v>224865834.10188416</v>
      </c>
      <c r="L848" s="350">
        <v>268027344.77001452</v>
      </c>
      <c r="M848" s="350">
        <v>311835063.26337099</v>
      </c>
      <c r="N848" s="350">
        <v>356299721.56957585</v>
      </c>
      <c r="O848" s="348">
        <v>1343310162.0498788</v>
      </c>
      <c r="P848" s="369"/>
      <c r="Q848" s="350">
        <f t="shared" si="333"/>
        <v>40632719.365231514</v>
      </c>
      <c r="R848" s="350">
        <f t="shared" si="334"/>
        <v>82054546.028510779</v>
      </c>
      <c r="S848" s="350">
        <f t="shared" si="335"/>
        <v>124102929.10079375</v>
      </c>
      <c r="T848" s="350">
        <f t="shared" si="336"/>
        <v>166794874.90135461</v>
      </c>
      <c r="U848" s="350">
        <f t="shared" si="337"/>
        <v>210137649.48811215</v>
      </c>
      <c r="V848" s="350">
        <f t="shared" si="338"/>
        <v>623722718.8840028</v>
      </c>
      <c r="W848" s="365"/>
      <c r="X848" s="377">
        <f t="shared" ref="X848:X911" si="340">IF(Q848&lt;Q$8,1,0)</f>
        <v>0</v>
      </c>
      <c r="Y848" s="377">
        <f t="shared" ref="Y848:Y911" si="341">IF(R848&lt;R$8,1,0)</f>
        <v>0</v>
      </c>
      <c r="Z848" s="377">
        <f t="shared" ref="Z848:Z911" si="342">IF(S848&lt;S$8,1,0)</f>
        <v>0</v>
      </c>
      <c r="AA848" s="377">
        <f t="shared" ref="AA848:AA911" si="343">IF(T848&lt;T$8,1,0)</f>
        <v>0</v>
      </c>
      <c r="AB848" s="377">
        <f t="shared" ref="AB848:AB911" si="344">IF(U848&lt;U$8,1,0)</f>
        <v>0</v>
      </c>
      <c r="AC848" s="377">
        <f t="shared" ref="AC848:AC911" si="345">IF(V848&lt;V$8,1,0)</f>
        <v>0</v>
      </c>
      <c r="AD848" s="376"/>
      <c r="AE848" s="332">
        <v>833</v>
      </c>
      <c r="AF848" s="350">
        <v>155097432.68947569</v>
      </c>
      <c r="AG848" s="350">
        <v>156369541.9057329</v>
      </c>
      <c r="AH848" s="350">
        <v>157588347.8880434</v>
      </c>
      <c r="AI848" s="350">
        <v>158810050.08817855</v>
      </c>
      <c r="AJ848" s="350">
        <v>160038443.48514408</v>
      </c>
      <c r="AK848" s="348">
        <v>787903816.05657458</v>
      </c>
      <c r="AL848" s="369"/>
      <c r="AM848" s="350">
        <v>195112094.40504014</v>
      </c>
      <c r="AN848" s="350">
        <v>237186090.27917263</v>
      </c>
      <c r="AO848" s="350">
        <v>279823966.64960384</v>
      </c>
      <c r="AP848" s="350">
        <v>323098671.16938925</v>
      </c>
      <c r="AQ848" s="350">
        <v>367021155.89746767</v>
      </c>
      <c r="AR848" s="348">
        <v>1402241978.4006736</v>
      </c>
      <c r="AS848" s="369"/>
      <c r="AT848" s="350">
        <f t="shared" si="339"/>
        <v>40014661.71556446</v>
      </c>
      <c r="AU848" s="350">
        <f t="shared" ref="AU848:AU911" si="346">AN848-AG848</f>
        <v>80816548.373439729</v>
      </c>
      <c r="AV848" s="350">
        <f t="shared" ref="AV848:AV911" si="347">AO848-AH848</f>
        <v>122235618.76156044</v>
      </c>
      <c r="AW848" s="350">
        <f t="shared" ref="AW848:AW911" si="348">AP848-AI848</f>
        <v>164288621.0812107</v>
      </c>
      <c r="AX848" s="350">
        <f t="shared" ref="AX848:AX911" si="349">AQ848-AJ848</f>
        <v>206982712.41232359</v>
      </c>
      <c r="AY848" s="350">
        <f t="shared" ref="AY848:AY911" si="350">AR848-AK848</f>
        <v>614338162.34409904</v>
      </c>
      <c r="AZ848" s="365"/>
      <c r="BA848" s="377">
        <f t="shared" ref="BA848:BA911" si="351">IF(AT848&lt;AT$8,1,0)</f>
        <v>0</v>
      </c>
      <c r="BB848" s="377">
        <f t="shared" ref="BB848:BB911" si="352">IF(AU848&lt;AU$8,1,0)</f>
        <v>0</v>
      </c>
      <c r="BC848" s="377">
        <f t="shared" ref="BC848:BC911" si="353">IF(AV848&lt;AV$8,1,0)</f>
        <v>0</v>
      </c>
      <c r="BD848" s="377">
        <f t="shared" ref="BD848:BD911" si="354">IF(AW848&lt;AW$8,1,0)</f>
        <v>0</v>
      </c>
      <c r="BE848" s="377">
        <f t="shared" ref="BE848:BE911" si="355">IF(AX848&lt;AX$8,1,0)</f>
        <v>0</v>
      </c>
      <c r="BF848" s="377">
        <f t="shared" ref="BF848:BF911" si="356">IF(AY848&lt;AY$8,1,0)</f>
        <v>0</v>
      </c>
      <c r="BG848" s="328"/>
    </row>
    <row r="849" spans="2:59">
      <c r="B849" s="332">
        <v>834</v>
      </c>
      <c r="C849" s="350">
        <v>130812270.53743517</v>
      </c>
      <c r="D849" s="350">
        <v>131885192.8422381</v>
      </c>
      <c r="E849" s="350">
        <v>132913158.13557631</v>
      </c>
      <c r="F849" s="350">
        <v>133943566.15683752</v>
      </c>
      <c r="G849" s="350">
        <v>134979617.66706446</v>
      </c>
      <c r="H849" s="348">
        <v>664533805.33915162</v>
      </c>
      <c r="I849" s="369"/>
      <c r="J849" s="350">
        <v>166804042.12564957</v>
      </c>
      <c r="K849" s="350">
        <v>204609274.72385609</v>
      </c>
      <c r="L849" s="350">
        <v>242925191.20290264</v>
      </c>
      <c r="M849" s="350">
        <v>281814257.51981151</v>
      </c>
      <c r="N849" s="350">
        <v>321286116.93006188</v>
      </c>
      <c r="O849" s="348">
        <v>1217438882.5022817</v>
      </c>
      <c r="P849" s="369"/>
      <c r="Q849" s="350">
        <f t="shared" ref="Q849:Q912" si="357">J849-C849</f>
        <v>35991771.588214397</v>
      </c>
      <c r="R849" s="350">
        <f t="shared" ref="R849:R912" si="358">K849-D849</f>
        <v>72724081.881617993</v>
      </c>
      <c r="S849" s="350">
        <f t="shared" ref="S849:S912" si="359">L849-E849</f>
        <v>110012033.06732634</v>
      </c>
      <c r="T849" s="350">
        <f t="shared" ref="T849:T912" si="360">M849-F849</f>
        <v>147870691.36297399</v>
      </c>
      <c r="U849" s="350">
        <f t="shared" ref="U849:U912" si="361">N849-G849</f>
        <v>186306499.26299742</v>
      </c>
      <c r="V849" s="350">
        <f t="shared" ref="V849:V912" si="362">O849-H849</f>
        <v>552905077.16313004</v>
      </c>
      <c r="W849" s="365"/>
      <c r="X849" s="377">
        <f t="shared" si="340"/>
        <v>0</v>
      </c>
      <c r="Y849" s="377">
        <f t="shared" si="341"/>
        <v>0</v>
      </c>
      <c r="Z849" s="377">
        <f t="shared" si="342"/>
        <v>0</v>
      </c>
      <c r="AA849" s="377">
        <f t="shared" si="343"/>
        <v>0</v>
      </c>
      <c r="AB849" s="377">
        <f t="shared" si="344"/>
        <v>0</v>
      </c>
      <c r="AC849" s="377">
        <f t="shared" si="345"/>
        <v>0</v>
      </c>
      <c r="AD849" s="376"/>
      <c r="AE849" s="332">
        <v>834</v>
      </c>
      <c r="AF849" s="350">
        <v>140725095.6105594</v>
      </c>
      <c r="AG849" s="350">
        <v>141879322.91129935</v>
      </c>
      <c r="AH849" s="350">
        <v>142985186.40250725</v>
      </c>
      <c r="AI849" s="350">
        <v>144093677.72915521</v>
      </c>
      <c r="AJ849" s="350">
        <v>145208240.20280653</v>
      </c>
      <c r="AK849" s="348">
        <v>714891522.85632777</v>
      </c>
      <c r="AL849" s="369"/>
      <c r="AM849" s="350">
        <v>174047352.09891695</v>
      </c>
      <c r="AN849" s="350">
        <v>209193855.82826278</v>
      </c>
      <c r="AO849" s="350">
        <v>244806181.59760171</v>
      </c>
      <c r="AP849" s="350">
        <v>280949268.93949974</v>
      </c>
      <c r="AQ849" s="350">
        <v>317632523.43904555</v>
      </c>
      <c r="AR849" s="348">
        <v>1226629181.9033267</v>
      </c>
      <c r="AS849" s="369"/>
      <c r="AT849" s="350">
        <f t="shared" ref="AT849:AT912" si="363">AM849-AF849</f>
        <v>33322256.488357544</v>
      </c>
      <c r="AU849" s="350">
        <f t="shared" si="346"/>
        <v>67314532.916963428</v>
      </c>
      <c r="AV849" s="350">
        <f t="shared" si="347"/>
        <v>101820995.19509447</v>
      </c>
      <c r="AW849" s="350">
        <f t="shared" si="348"/>
        <v>136855591.21034452</v>
      </c>
      <c r="AX849" s="350">
        <f t="shared" si="349"/>
        <v>172424283.23623902</v>
      </c>
      <c r="AY849" s="350">
        <f t="shared" si="350"/>
        <v>511737659.04699898</v>
      </c>
      <c r="AZ849" s="365"/>
      <c r="BA849" s="377">
        <f t="shared" si="351"/>
        <v>0</v>
      </c>
      <c r="BB849" s="377">
        <f t="shared" si="352"/>
        <v>0</v>
      </c>
      <c r="BC849" s="377">
        <f t="shared" si="353"/>
        <v>0</v>
      </c>
      <c r="BD849" s="377">
        <f t="shared" si="354"/>
        <v>0</v>
      </c>
      <c r="BE849" s="377">
        <f t="shared" si="355"/>
        <v>0</v>
      </c>
      <c r="BF849" s="377">
        <f t="shared" si="356"/>
        <v>0</v>
      </c>
      <c r="BG849" s="328"/>
    </row>
    <row r="850" spans="2:59">
      <c r="B850" s="332">
        <v>835</v>
      </c>
      <c r="C850" s="350">
        <v>113451952.52224153</v>
      </c>
      <c r="D850" s="350">
        <v>114382485.49047494</v>
      </c>
      <c r="E850" s="350">
        <v>115274027.76839104</v>
      </c>
      <c r="F850" s="350">
        <v>116167688.59566955</v>
      </c>
      <c r="G850" s="350">
        <v>117066243.95493324</v>
      </c>
      <c r="H850" s="348">
        <v>576342398.33171034</v>
      </c>
      <c r="I850" s="369"/>
      <c r="J850" s="350">
        <v>142135778.69530123</v>
      </c>
      <c r="K850" s="350">
        <v>172302871.88011968</v>
      </c>
      <c r="L850" s="350">
        <v>202873211.54493248</v>
      </c>
      <c r="M850" s="350">
        <v>233899911.94804132</v>
      </c>
      <c r="N850" s="350">
        <v>265390877.73567811</v>
      </c>
      <c r="O850" s="348">
        <v>1016602651.8040727</v>
      </c>
      <c r="P850" s="369"/>
      <c r="Q850" s="350">
        <f t="shared" si="357"/>
        <v>28683826.173059702</v>
      </c>
      <c r="R850" s="350">
        <f t="shared" si="358"/>
        <v>57920386.389644742</v>
      </c>
      <c r="S850" s="350">
        <f t="shared" si="359"/>
        <v>87599183.776541442</v>
      </c>
      <c r="T850" s="350">
        <f t="shared" si="360"/>
        <v>117732223.35237177</v>
      </c>
      <c r="U850" s="350">
        <f t="shared" si="361"/>
        <v>148324633.78074485</v>
      </c>
      <c r="V850" s="350">
        <f t="shared" si="362"/>
        <v>440260253.4723624</v>
      </c>
      <c r="W850" s="365"/>
      <c r="X850" s="377">
        <f t="shared" si="340"/>
        <v>0</v>
      </c>
      <c r="Y850" s="377">
        <f t="shared" si="341"/>
        <v>0</v>
      </c>
      <c r="Z850" s="377">
        <f t="shared" si="342"/>
        <v>0</v>
      </c>
      <c r="AA850" s="377">
        <f t="shared" si="343"/>
        <v>0</v>
      </c>
      <c r="AB850" s="377">
        <f t="shared" si="344"/>
        <v>0</v>
      </c>
      <c r="AC850" s="377">
        <f t="shared" si="345"/>
        <v>0</v>
      </c>
      <c r="AD850" s="376"/>
      <c r="AE850" s="332">
        <v>835</v>
      </c>
      <c r="AF850" s="350">
        <v>111654782.09180044</v>
      </c>
      <c r="AG850" s="350">
        <v>112570574.66731359</v>
      </c>
      <c r="AH850" s="350">
        <v>113447994.19649124</v>
      </c>
      <c r="AI850" s="350">
        <v>114327498.71550073</v>
      </c>
      <c r="AJ850" s="350">
        <v>115211820.23316115</v>
      </c>
      <c r="AK850" s="348">
        <v>567212669.90426707</v>
      </c>
      <c r="AL850" s="369"/>
      <c r="AM850" s="350">
        <v>137405874.46546376</v>
      </c>
      <c r="AN850" s="350">
        <v>164577423.82675886</v>
      </c>
      <c r="AO850" s="350">
        <v>192107753.07987249</v>
      </c>
      <c r="AP850" s="350">
        <v>220048098.31406274</v>
      </c>
      <c r="AQ850" s="350">
        <v>248405797.11829677</v>
      </c>
      <c r="AR850" s="348">
        <v>962544946.80445457</v>
      </c>
      <c r="AS850" s="369"/>
      <c r="AT850" s="350">
        <f t="shared" si="363"/>
        <v>25751092.373663321</v>
      </c>
      <c r="AU850" s="350">
        <f t="shared" si="346"/>
        <v>52006849.159445271</v>
      </c>
      <c r="AV850" s="350">
        <f t="shared" si="347"/>
        <v>78659758.883381248</v>
      </c>
      <c r="AW850" s="350">
        <f t="shared" si="348"/>
        <v>105720599.59856202</v>
      </c>
      <c r="AX850" s="350">
        <f t="shared" si="349"/>
        <v>133193976.88513562</v>
      </c>
      <c r="AY850" s="350">
        <f t="shared" si="350"/>
        <v>395332276.90018749</v>
      </c>
      <c r="AZ850" s="365"/>
      <c r="BA850" s="377">
        <f t="shared" si="351"/>
        <v>0</v>
      </c>
      <c r="BB850" s="377">
        <f t="shared" si="352"/>
        <v>0</v>
      </c>
      <c r="BC850" s="377">
        <f t="shared" si="353"/>
        <v>0</v>
      </c>
      <c r="BD850" s="377">
        <f t="shared" si="354"/>
        <v>0</v>
      </c>
      <c r="BE850" s="377">
        <f t="shared" si="355"/>
        <v>0</v>
      </c>
      <c r="BF850" s="377">
        <f t="shared" si="356"/>
        <v>0</v>
      </c>
      <c r="BG850" s="328"/>
    </row>
    <row r="851" spans="2:59">
      <c r="B851" s="332">
        <v>836</v>
      </c>
      <c r="C851" s="350">
        <v>121818619.71390617</v>
      </c>
      <c r="D851" s="350">
        <v>122817776.09040181</v>
      </c>
      <c r="E851" s="350">
        <v>123775066.35555649</v>
      </c>
      <c r="F851" s="350">
        <v>124734631.40535247</v>
      </c>
      <c r="G851" s="350">
        <v>125699451.94099353</v>
      </c>
      <c r="H851" s="348">
        <v>618845545.50621045</v>
      </c>
      <c r="I851" s="369"/>
      <c r="J851" s="350">
        <v>158656575.0979867</v>
      </c>
      <c r="K851" s="350">
        <v>197240716.25140697</v>
      </c>
      <c r="L851" s="350">
        <v>236351525.3439981</v>
      </c>
      <c r="M851" s="350">
        <v>276048563.09661895</v>
      </c>
      <c r="N851" s="350">
        <v>316341402.50423074</v>
      </c>
      <c r="O851" s="348">
        <v>1184638782.2942414</v>
      </c>
      <c r="P851" s="369"/>
      <c r="Q851" s="350">
        <f t="shared" si="357"/>
        <v>36837955.384080529</v>
      </c>
      <c r="R851" s="350">
        <f t="shared" si="358"/>
        <v>74422940.161005154</v>
      </c>
      <c r="S851" s="350">
        <f t="shared" si="359"/>
        <v>112576458.98844162</v>
      </c>
      <c r="T851" s="350">
        <f t="shared" si="360"/>
        <v>151313931.69126648</v>
      </c>
      <c r="U851" s="350">
        <f t="shared" si="361"/>
        <v>190641950.56323719</v>
      </c>
      <c r="V851" s="350">
        <f t="shared" si="362"/>
        <v>565793236.78803098</v>
      </c>
      <c r="W851" s="365"/>
      <c r="X851" s="377">
        <f t="shared" si="340"/>
        <v>0</v>
      </c>
      <c r="Y851" s="377">
        <f t="shared" si="341"/>
        <v>0</v>
      </c>
      <c r="Z851" s="377">
        <f t="shared" si="342"/>
        <v>0</v>
      </c>
      <c r="AA851" s="377">
        <f t="shared" si="343"/>
        <v>0</v>
      </c>
      <c r="AB851" s="377">
        <f t="shared" si="344"/>
        <v>0</v>
      </c>
      <c r="AC851" s="377">
        <f t="shared" si="345"/>
        <v>0</v>
      </c>
      <c r="AD851" s="376"/>
      <c r="AE851" s="332">
        <v>836</v>
      </c>
      <c r="AF851" s="350">
        <v>121561320.04933321</v>
      </c>
      <c r="AG851" s="350">
        <v>122558366.05385835</v>
      </c>
      <c r="AH851" s="350">
        <v>123513634.37471005</v>
      </c>
      <c r="AI851" s="350">
        <v>124471172.67550801</v>
      </c>
      <c r="AJ851" s="350">
        <v>125433955.36175649</v>
      </c>
      <c r="AK851" s="348">
        <v>617538448.51516604</v>
      </c>
      <c r="AL851" s="369"/>
      <c r="AM851" s="350">
        <v>152594869.13931561</v>
      </c>
      <c r="AN851" s="350">
        <v>185233083.31363833</v>
      </c>
      <c r="AO851" s="350">
        <v>218308133.92648071</v>
      </c>
      <c r="AP851" s="350">
        <v>251877057.62148491</v>
      </c>
      <c r="AQ851" s="350">
        <v>285948379.06415415</v>
      </c>
      <c r="AR851" s="348">
        <v>1093961523.0650735</v>
      </c>
      <c r="AS851" s="369"/>
      <c r="AT851" s="350">
        <f t="shared" si="363"/>
        <v>31033549.08998239</v>
      </c>
      <c r="AU851" s="350">
        <f t="shared" si="346"/>
        <v>62674717.259779975</v>
      </c>
      <c r="AV851" s="350">
        <f t="shared" si="347"/>
        <v>94794499.551770657</v>
      </c>
      <c r="AW851" s="350">
        <f t="shared" si="348"/>
        <v>127405884.9459769</v>
      </c>
      <c r="AX851" s="350">
        <f t="shared" si="349"/>
        <v>160514423.70239764</v>
      </c>
      <c r="AY851" s="350">
        <f t="shared" si="350"/>
        <v>476423074.54990745</v>
      </c>
      <c r="AZ851" s="365"/>
      <c r="BA851" s="377">
        <f t="shared" si="351"/>
        <v>0</v>
      </c>
      <c r="BB851" s="377">
        <f t="shared" si="352"/>
        <v>0</v>
      </c>
      <c r="BC851" s="377">
        <f t="shared" si="353"/>
        <v>0</v>
      </c>
      <c r="BD851" s="377">
        <f t="shared" si="354"/>
        <v>0</v>
      </c>
      <c r="BE851" s="377">
        <f t="shared" si="355"/>
        <v>0</v>
      </c>
      <c r="BF851" s="377">
        <f t="shared" si="356"/>
        <v>0</v>
      </c>
      <c r="BG851" s="328"/>
    </row>
    <row r="852" spans="2:59">
      <c r="B852" s="332">
        <v>837</v>
      </c>
      <c r="C852" s="350">
        <v>162488934.20286864</v>
      </c>
      <c r="D852" s="350">
        <v>163821668.51803383</v>
      </c>
      <c r="E852" s="350">
        <v>165098559.31907126</v>
      </c>
      <c r="F852" s="350">
        <v>166378484.3634187</v>
      </c>
      <c r="G852" s="350">
        <v>167665419.48796326</v>
      </c>
      <c r="H852" s="348">
        <v>825453065.89135575</v>
      </c>
      <c r="I852" s="369"/>
      <c r="J852" s="350">
        <v>203727631.13124967</v>
      </c>
      <c r="K852" s="350">
        <v>247101586.40773439</v>
      </c>
      <c r="L852" s="350">
        <v>291055624.44712019</v>
      </c>
      <c r="M852" s="350">
        <v>335665883.04208106</v>
      </c>
      <c r="N852" s="350">
        <v>380943712.70165443</v>
      </c>
      <c r="O852" s="348">
        <v>1458494437.7298398</v>
      </c>
      <c r="P852" s="369"/>
      <c r="Q852" s="350">
        <f t="shared" si="357"/>
        <v>41238696.928381026</v>
      </c>
      <c r="R852" s="350">
        <f t="shared" si="358"/>
        <v>83279917.889700562</v>
      </c>
      <c r="S852" s="350">
        <f t="shared" si="359"/>
        <v>125957065.12804893</v>
      </c>
      <c r="T852" s="350">
        <f t="shared" si="360"/>
        <v>169287398.67866236</v>
      </c>
      <c r="U852" s="350">
        <f t="shared" si="361"/>
        <v>213278293.21369117</v>
      </c>
      <c r="V852" s="350">
        <f t="shared" si="362"/>
        <v>633041371.83848405</v>
      </c>
      <c r="W852" s="365"/>
      <c r="X852" s="377">
        <f t="shared" si="340"/>
        <v>0</v>
      </c>
      <c r="Y852" s="377">
        <f t="shared" si="341"/>
        <v>0</v>
      </c>
      <c r="Z852" s="377">
        <f t="shared" si="342"/>
        <v>0</v>
      </c>
      <c r="AA852" s="377">
        <f t="shared" si="343"/>
        <v>0</v>
      </c>
      <c r="AB852" s="377">
        <f t="shared" si="344"/>
        <v>0</v>
      </c>
      <c r="AC852" s="377">
        <f t="shared" si="345"/>
        <v>0</v>
      </c>
      <c r="AD852" s="376"/>
      <c r="AE852" s="332">
        <v>837</v>
      </c>
      <c r="AF852" s="350">
        <v>143213672.74417344</v>
      </c>
      <c r="AG852" s="350">
        <v>144388311.35574007</v>
      </c>
      <c r="AH852" s="350">
        <v>145513730.89404231</v>
      </c>
      <c r="AI852" s="350">
        <v>146641824.73832464</v>
      </c>
      <c r="AJ852" s="350">
        <v>147776097.09153852</v>
      </c>
      <c r="AK852" s="348">
        <v>727533636.82381904</v>
      </c>
      <c r="AL852" s="369"/>
      <c r="AM852" s="350">
        <v>174584689.01584071</v>
      </c>
      <c r="AN852" s="350">
        <v>207758464.75699747</v>
      </c>
      <c r="AO852" s="350">
        <v>241367056.72244614</v>
      </c>
      <c r="AP852" s="350">
        <v>275475489.28916383</v>
      </c>
      <c r="AQ852" s="350">
        <v>310092879.39598912</v>
      </c>
      <c r="AR852" s="348">
        <v>1209278579.1804373</v>
      </c>
      <c r="AS852" s="369"/>
      <c r="AT852" s="350">
        <f t="shared" si="363"/>
        <v>31371016.271667272</v>
      </c>
      <c r="AU852" s="350">
        <f t="shared" si="346"/>
        <v>63370153.401257396</v>
      </c>
      <c r="AV852" s="350">
        <f t="shared" si="347"/>
        <v>95853325.828403831</v>
      </c>
      <c r="AW852" s="350">
        <f t="shared" si="348"/>
        <v>128833664.55083919</v>
      </c>
      <c r="AX852" s="350">
        <f t="shared" si="349"/>
        <v>162316782.3044506</v>
      </c>
      <c r="AY852" s="350">
        <f t="shared" si="350"/>
        <v>481744942.35661829</v>
      </c>
      <c r="AZ852" s="365"/>
      <c r="BA852" s="377">
        <f t="shared" si="351"/>
        <v>0</v>
      </c>
      <c r="BB852" s="377">
        <f t="shared" si="352"/>
        <v>0</v>
      </c>
      <c r="BC852" s="377">
        <f t="shared" si="353"/>
        <v>0</v>
      </c>
      <c r="BD852" s="377">
        <f t="shared" si="354"/>
        <v>0</v>
      </c>
      <c r="BE852" s="377">
        <f t="shared" si="355"/>
        <v>0</v>
      </c>
      <c r="BF852" s="377">
        <f t="shared" si="356"/>
        <v>0</v>
      </c>
      <c r="BG852" s="328"/>
    </row>
    <row r="853" spans="2:59">
      <c r="B853" s="332">
        <v>838</v>
      </c>
      <c r="C853" s="350">
        <v>147021528.81346014</v>
      </c>
      <c r="D853" s="350">
        <v>148227399.46230757</v>
      </c>
      <c r="E853" s="350">
        <v>149382742.36991745</v>
      </c>
      <c r="F853" s="350">
        <v>150540830.68965286</v>
      </c>
      <c r="G853" s="350">
        <v>151705261.7964386</v>
      </c>
      <c r="H853" s="348">
        <v>746877763.13177657</v>
      </c>
      <c r="I853" s="369"/>
      <c r="J853" s="350">
        <v>180975825.05189389</v>
      </c>
      <c r="K853" s="350">
        <v>216806632.3279089</v>
      </c>
      <c r="L853" s="350">
        <v>253110662.09034008</v>
      </c>
      <c r="M853" s="350">
        <v>289955399.26496315</v>
      </c>
      <c r="N853" s="350">
        <v>327350514.74446422</v>
      </c>
      <c r="O853" s="348">
        <v>1268199033.4795702</v>
      </c>
      <c r="P853" s="369"/>
      <c r="Q853" s="350">
        <f t="shared" si="357"/>
        <v>33954296.238433748</v>
      </c>
      <c r="R853" s="350">
        <f t="shared" si="358"/>
        <v>68579232.865601331</v>
      </c>
      <c r="S853" s="350">
        <f t="shared" si="359"/>
        <v>103727919.72042263</v>
      </c>
      <c r="T853" s="350">
        <f t="shared" si="360"/>
        <v>139414568.57531029</v>
      </c>
      <c r="U853" s="350">
        <f t="shared" si="361"/>
        <v>175645252.94802561</v>
      </c>
      <c r="V853" s="350">
        <f t="shared" si="362"/>
        <v>521321270.34779358</v>
      </c>
      <c r="W853" s="365"/>
      <c r="X853" s="377">
        <f t="shared" si="340"/>
        <v>0</v>
      </c>
      <c r="Y853" s="377">
        <f t="shared" si="341"/>
        <v>0</v>
      </c>
      <c r="Z853" s="377">
        <f t="shared" si="342"/>
        <v>0</v>
      </c>
      <c r="AA853" s="377">
        <f t="shared" si="343"/>
        <v>0</v>
      </c>
      <c r="AB853" s="377">
        <f t="shared" si="344"/>
        <v>0</v>
      </c>
      <c r="AC853" s="377">
        <f t="shared" si="345"/>
        <v>0</v>
      </c>
      <c r="AD853" s="376"/>
      <c r="AE853" s="332">
        <v>838</v>
      </c>
      <c r="AF853" s="350">
        <v>132593916.60445721</v>
      </c>
      <c r="AG853" s="350">
        <v>133681451.97114429</v>
      </c>
      <c r="AH853" s="350">
        <v>134723418.01773286</v>
      </c>
      <c r="AI853" s="350">
        <v>135767860.06188023</v>
      </c>
      <c r="AJ853" s="350">
        <v>136818022.4585771</v>
      </c>
      <c r="AK853" s="348">
        <v>673584669.1137917</v>
      </c>
      <c r="AL853" s="369"/>
      <c r="AM853" s="350">
        <v>164424851.85103613</v>
      </c>
      <c r="AN853" s="350">
        <v>197987808.54243672</v>
      </c>
      <c r="AO853" s="350">
        <v>231996439.03771189</v>
      </c>
      <c r="AP853" s="350">
        <v>266512112.55865192</v>
      </c>
      <c r="AQ853" s="350">
        <v>301543769.57479286</v>
      </c>
      <c r="AR853" s="348">
        <v>1162464981.5646296</v>
      </c>
      <c r="AS853" s="369"/>
      <c r="AT853" s="350">
        <f t="shared" si="363"/>
        <v>31830935.246578917</v>
      </c>
      <c r="AU853" s="350">
        <f t="shared" si="346"/>
        <v>64306356.57129243</v>
      </c>
      <c r="AV853" s="350">
        <f t="shared" si="347"/>
        <v>97273021.01997903</v>
      </c>
      <c r="AW853" s="350">
        <f t="shared" si="348"/>
        <v>130744252.49677169</v>
      </c>
      <c r="AX853" s="350">
        <f t="shared" si="349"/>
        <v>164725747.11621577</v>
      </c>
      <c r="AY853" s="350">
        <f t="shared" si="350"/>
        <v>488880312.45083785</v>
      </c>
      <c r="AZ853" s="365"/>
      <c r="BA853" s="377">
        <f t="shared" si="351"/>
        <v>0</v>
      </c>
      <c r="BB853" s="377">
        <f t="shared" si="352"/>
        <v>0</v>
      </c>
      <c r="BC853" s="377">
        <f t="shared" si="353"/>
        <v>0</v>
      </c>
      <c r="BD853" s="377">
        <f t="shared" si="354"/>
        <v>0</v>
      </c>
      <c r="BE853" s="377">
        <f t="shared" si="355"/>
        <v>0</v>
      </c>
      <c r="BF853" s="377">
        <f t="shared" si="356"/>
        <v>0</v>
      </c>
      <c r="BG853" s="328"/>
    </row>
    <row r="854" spans="2:59">
      <c r="B854" s="332">
        <v>839</v>
      </c>
      <c r="C854" s="350">
        <v>141977873.15005192</v>
      </c>
      <c r="D854" s="350">
        <v>143142375.73276323</v>
      </c>
      <c r="E854" s="350">
        <v>144258083.9566218</v>
      </c>
      <c r="F854" s="350">
        <v>145376443.40970963</v>
      </c>
      <c r="G854" s="350">
        <v>146500928.05699524</v>
      </c>
      <c r="H854" s="348">
        <v>721255704.30614173</v>
      </c>
      <c r="I854" s="369"/>
      <c r="J854" s="350">
        <v>173490437.63143945</v>
      </c>
      <c r="K854" s="350">
        <v>206811195.57014981</v>
      </c>
      <c r="L854" s="350">
        <v>240569576.98567015</v>
      </c>
      <c r="M854" s="350">
        <v>274830218.41945916</v>
      </c>
      <c r="N854" s="350">
        <v>309602233.8414607</v>
      </c>
      <c r="O854" s="348">
        <v>1205303662.4481792</v>
      </c>
      <c r="P854" s="369"/>
      <c r="Q854" s="350">
        <f t="shared" si="357"/>
        <v>31512564.481387526</v>
      </c>
      <c r="R854" s="350">
        <f t="shared" si="358"/>
        <v>63668819.837386578</v>
      </c>
      <c r="S854" s="350">
        <f t="shared" si="359"/>
        <v>96311493.029048353</v>
      </c>
      <c r="T854" s="350">
        <f t="shared" si="360"/>
        <v>129453775.00974953</v>
      </c>
      <c r="U854" s="350">
        <f t="shared" si="361"/>
        <v>163101305.78446546</v>
      </c>
      <c r="V854" s="350">
        <f t="shared" si="362"/>
        <v>484047958.14203751</v>
      </c>
      <c r="W854" s="365"/>
      <c r="X854" s="377">
        <f t="shared" si="340"/>
        <v>0</v>
      </c>
      <c r="Y854" s="377">
        <f t="shared" si="341"/>
        <v>0</v>
      </c>
      <c r="Z854" s="377">
        <f t="shared" si="342"/>
        <v>0</v>
      </c>
      <c r="AA854" s="377">
        <f t="shared" si="343"/>
        <v>0</v>
      </c>
      <c r="AB854" s="377">
        <f t="shared" si="344"/>
        <v>0</v>
      </c>
      <c r="AC854" s="377">
        <f t="shared" si="345"/>
        <v>0</v>
      </c>
      <c r="AD854" s="376"/>
      <c r="AE854" s="332">
        <v>839</v>
      </c>
      <c r="AF854" s="350">
        <v>134136491.14186367</v>
      </c>
      <c r="AG854" s="350">
        <v>135236678.70563596</v>
      </c>
      <c r="AH854" s="350">
        <v>136290766.80377465</v>
      </c>
      <c r="AI854" s="350">
        <v>137347359.70479655</v>
      </c>
      <c r="AJ854" s="350">
        <v>138409739.50795349</v>
      </c>
      <c r="AK854" s="348">
        <v>681421035.86402428</v>
      </c>
      <c r="AL854" s="369"/>
      <c r="AM854" s="350">
        <v>170689053.74371809</v>
      </c>
      <c r="AN854" s="350">
        <v>209103129.17882168</v>
      </c>
      <c r="AO854" s="350">
        <v>248035547.69875246</v>
      </c>
      <c r="AP854" s="350">
        <v>287550215.05161971</v>
      </c>
      <c r="AQ854" s="350">
        <v>327656957.62385297</v>
      </c>
      <c r="AR854" s="348">
        <v>1243034903.2967649</v>
      </c>
      <c r="AS854" s="369"/>
      <c r="AT854" s="350">
        <f t="shared" si="363"/>
        <v>36552562.601854414</v>
      </c>
      <c r="AU854" s="350">
        <f t="shared" si="346"/>
        <v>73866450.473185718</v>
      </c>
      <c r="AV854" s="350">
        <f t="shared" si="347"/>
        <v>111744780.89497781</v>
      </c>
      <c r="AW854" s="350">
        <f t="shared" si="348"/>
        <v>150202855.34682316</v>
      </c>
      <c r="AX854" s="350">
        <f t="shared" si="349"/>
        <v>189247218.11589947</v>
      </c>
      <c r="AY854" s="350">
        <f t="shared" si="350"/>
        <v>561613867.43274057</v>
      </c>
      <c r="AZ854" s="365"/>
      <c r="BA854" s="377">
        <f t="shared" si="351"/>
        <v>0</v>
      </c>
      <c r="BB854" s="377">
        <f t="shared" si="352"/>
        <v>0</v>
      </c>
      <c r="BC854" s="377">
        <f t="shared" si="353"/>
        <v>0</v>
      </c>
      <c r="BD854" s="377">
        <f t="shared" si="354"/>
        <v>0</v>
      </c>
      <c r="BE854" s="377">
        <f t="shared" si="355"/>
        <v>0</v>
      </c>
      <c r="BF854" s="377">
        <f t="shared" si="356"/>
        <v>0</v>
      </c>
      <c r="BG854" s="328"/>
    </row>
    <row r="855" spans="2:59">
      <c r="B855" s="332">
        <v>840</v>
      </c>
      <c r="C855" s="350">
        <v>136186944.42888236</v>
      </c>
      <c r="D855" s="350">
        <v>137303949.81148437</v>
      </c>
      <c r="E855" s="350">
        <v>138374151.03728303</v>
      </c>
      <c r="F855" s="350">
        <v>139446895.35518265</v>
      </c>
      <c r="G855" s="350">
        <v>140525515.03565335</v>
      </c>
      <c r="H855" s="348">
        <v>691837455.66848576</v>
      </c>
      <c r="I855" s="369"/>
      <c r="J855" s="350">
        <v>168165577.80340475</v>
      </c>
      <c r="K855" s="350">
        <v>201906185.88061205</v>
      </c>
      <c r="L855" s="350">
        <v>236093473.24841323</v>
      </c>
      <c r="M855" s="350">
        <v>270790172.74453038</v>
      </c>
      <c r="N855" s="350">
        <v>306005338.80170554</v>
      </c>
      <c r="O855" s="348">
        <v>1182960748.4786661</v>
      </c>
      <c r="P855" s="369"/>
      <c r="Q855" s="350">
        <f t="shared" si="357"/>
        <v>31978633.374522388</v>
      </c>
      <c r="R855" s="350">
        <f t="shared" si="358"/>
        <v>64602236.069127679</v>
      </c>
      <c r="S855" s="350">
        <f t="shared" si="359"/>
        <v>97719322.211130202</v>
      </c>
      <c r="T855" s="350">
        <f t="shared" si="360"/>
        <v>131343277.38934773</v>
      </c>
      <c r="U855" s="350">
        <f t="shared" si="361"/>
        <v>165479823.76605219</v>
      </c>
      <c r="V855" s="350">
        <f t="shared" si="362"/>
        <v>491123292.81018031</v>
      </c>
      <c r="W855" s="365"/>
      <c r="X855" s="377">
        <f t="shared" si="340"/>
        <v>0</v>
      </c>
      <c r="Y855" s="377">
        <f t="shared" si="341"/>
        <v>0</v>
      </c>
      <c r="Z855" s="377">
        <f t="shared" si="342"/>
        <v>0</v>
      </c>
      <c r="AA855" s="377">
        <f t="shared" si="343"/>
        <v>0</v>
      </c>
      <c r="AB855" s="377">
        <f t="shared" si="344"/>
        <v>0</v>
      </c>
      <c r="AC855" s="377">
        <f t="shared" si="345"/>
        <v>0</v>
      </c>
      <c r="AD855" s="376"/>
      <c r="AE855" s="332">
        <v>840</v>
      </c>
      <c r="AF855" s="350">
        <v>135157752.28578791</v>
      </c>
      <c r="AG855" s="350">
        <v>136266316.23394558</v>
      </c>
      <c r="AH855" s="350">
        <v>137328429.73373103</v>
      </c>
      <c r="AI855" s="350">
        <v>138393067.10695866</v>
      </c>
      <c r="AJ855" s="350">
        <v>139463535.44146013</v>
      </c>
      <c r="AK855" s="348">
        <v>686609100.80188334</v>
      </c>
      <c r="AL855" s="369"/>
      <c r="AM855" s="350">
        <v>165243905.36270261</v>
      </c>
      <c r="AN855" s="350">
        <v>197032987.63278645</v>
      </c>
      <c r="AO855" s="350">
        <v>229239704.93830383</v>
      </c>
      <c r="AP855" s="350">
        <v>261925624.34615937</v>
      </c>
      <c r="AQ855" s="350">
        <v>295099434.57349867</v>
      </c>
      <c r="AR855" s="348">
        <v>1148541656.8534508</v>
      </c>
      <c r="AS855" s="369"/>
      <c r="AT855" s="350">
        <f t="shared" si="363"/>
        <v>30086153.076914698</v>
      </c>
      <c r="AU855" s="350">
        <f t="shared" si="346"/>
        <v>60766671.398840874</v>
      </c>
      <c r="AV855" s="350">
        <f t="shared" si="347"/>
        <v>91911275.204572797</v>
      </c>
      <c r="AW855" s="350">
        <f t="shared" si="348"/>
        <v>123532557.23920071</v>
      </c>
      <c r="AX855" s="350">
        <f t="shared" si="349"/>
        <v>155635899.13203853</v>
      </c>
      <c r="AY855" s="350">
        <f t="shared" si="350"/>
        <v>461932556.05156744</v>
      </c>
      <c r="AZ855" s="365"/>
      <c r="BA855" s="377">
        <f t="shared" si="351"/>
        <v>0</v>
      </c>
      <c r="BB855" s="377">
        <f t="shared" si="352"/>
        <v>0</v>
      </c>
      <c r="BC855" s="377">
        <f t="shared" si="353"/>
        <v>0</v>
      </c>
      <c r="BD855" s="377">
        <f t="shared" si="354"/>
        <v>0</v>
      </c>
      <c r="BE855" s="377">
        <f t="shared" si="355"/>
        <v>0</v>
      </c>
      <c r="BF855" s="377">
        <f t="shared" si="356"/>
        <v>0</v>
      </c>
      <c r="BG855" s="328"/>
    </row>
    <row r="856" spans="2:59">
      <c r="B856" s="332">
        <v>841</v>
      </c>
      <c r="C856" s="350">
        <v>122510410.24998342</v>
      </c>
      <c r="D856" s="350">
        <v>123515240.69278312</v>
      </c>
      <c r="E856" s="350">
        <v>124477967.27257724</v>
      </c>
      <c r="F856" s="350">
        <v>125442981.5551897</v>
      </c>
      <c r="G856" s="350">
        <v>126413281.16880044</v>
      </c>
      <c r="H856" s="348">
        <v>622359880.93933392</v>
      </c>
      <c r="I856" s="369"/>
      <c r="J856" s="350">
        <v>155303401.47420663</v>
      </c>
      <c r="K856" s="350">
        <v>189731043.57656169</v>
      </c>
      <c r="L856" s="350">
        <v>224622139.965819</v>
      </c>
      <c r="M856" s="350">
        <v>260034806.91545191</v>
      </c>
      <c r="N856" s="350">
        <v>295977905.11526251</v>
      </c>
      <c r="O856" s="348">
        <v>1125669297.0473018</v>
      </c>
      <c r="P856" s="369"/>
      <c r="Q856" s="350">
        <f t="shared" si="357"/>
        <v>32792991.224223211</v>
      </c>
      <c r="R856" s="350">
        <f t="shared" si="358"/>
        <v>66215802.883778572</v>
      </c>
      <c r="S856" s="350">
        <f t="shared" si="359"/>
        <v>100144172.69324176</v>
      </c>
      <c r="T856" s="350">
        <f t="shared" si="360"/>
        <v>134591825.36026222</v>
      </c>
      <c r="U856" s="350">
        <f t="shared" si="361"/>
        <v>169564623.94646206</v>
      </c>
      <c r="V856" s="350">
        <f t="shared" si="362"/>
        <v>503309416.10796785</v>
      </c>
      <c r="W856" s="365"/>
      <c r="X856" s="377">
        <f t="shared" si="340"/>
        <v>0</v>
      </c>
      <c r="Y856" s="377">
        <f t="shared" si="341"/>
        <v>0</v>
      </c>
      <c r="Z856" s="377">
        <f t="shared" si="342"/>
        <v>0</v>
      </c>
      <c r="AA856" s="377">
        <f t="shared" si="343"/>
        <v>0</v>
      </c>
      <c r="AB856" s="377">
        <f t="shared" si="344"/>
        <v>0</v>
      </c>
      <c r="AC856" s="377">
        <f t="shared" si="345"/>
        <v>0</v>
      </c>
      <c r="AD856" s="376"/>
      <c r="AE856" s="332">
        <v>841</v>
      </c>
      <c r="AF856" s="350">
        <v>127435079.29557282</v>
      </c>
      <c r="AG856" s="350">
        <v>128480301.87621304</v>
      </c>
      <c r="AH856" s="350">
        <v>129481728.10428363</v>
      </c>
      <c r="AI856" s="350">
        <v>130485533.99616776</v>
      </c>
      <c r="AJ856" s="350">
        <v>131494837.67859477</v>
      </c>
      <c r="AK856" s="348">
        <v>647377480.95083213</v>
      </c>
      <c r="AL856" s="369"/>
      <c r="AM856" s="350">
        <v>161711318.95510185</v>
      </c>
      <c r="AN856" s="350">
        <v>197688201.57798904</v>
      </c>
      <c r="AO856" s="350">
        <v>234149667.71528131</v>
      </c>
      <c r="AP856" s="350">
        <v>271156238.70808339</v>
      </c>
      <c r="AQ856" s="350">
        <v>308717160.49414283</v>
      </c>
      <c r="AR856" s="348">
        <v>1173422587.4505985</v>
      </c>
      <c r="AS856" s="369"/>
      <c r="AT856" s="350">
        <f t="shared" si="363"/>
        <v>34276239.65952903</v>
      </c>
      <c r="AU856" s="350">
        <f t="shared" si="346"/>
        <v>69207899.701775998</v>
      </c>
      <c r="AV856" s="350">
        <f t="shared" si="347"/>
        <v>104667939.61099768</v>
      </c>
      <c r="AW856" s="350">
        <f t="shared" si="348"/>
        <v>140670704.71191561</v>
      </c>
      <c r="AX856" s="350">
        <f t="shared" si="349"/>
        <v>177222322.81554806</v>
      </c>
      <c r="AY856" s="350">
        <f t="shared" si="350"/>
        <v>526045106.49976635</v>
      </c>
      <c r="AZ856" s="365"/>
      <c r="BA856" s="377">
        <f t="shared" si="351"/>
        <v>0</v>
      </c>
      <c r="BB856" s="377">
        <f t="shared" si="352"/>
        <v>0</v>
      </c>
      <c r="BC856" s="377">
        <f t="shared" si="353"/>
        <v>0</v>
      </c>
      <c r="BD856" s="377">
        <f t="shared" si="354"/>
        <v>0</v>
      </c>
      <c r="BE856" s="377">
        <f t="shared" si="355"/>
        <v>0</v>
      </c>
      <c r="BF856" s="377">
        <f t="shared" si="356"/>
        <v>0</v>
      </c>
      <c r="BG856" s="328"/>
    </row>
    <row r="857" spans="2:59">
      <c r="B857" s="332">
        <v>842</v>
      </c>
      <c r="C857" s="350">
        <v>138222494.87251788</v>
      </c>
      <c r="D857" s="350">
        <v>139356195.84082109</v>
      </c>
      <c r="E857" s="350">
        <v>140442393.08289793</v>
      </c>
      <c r="F857" s="350">
        <v>141531171.42800453</v>
      </c>
      <c r="G857" s="350">
        <v>142625912.95318142</v>
      </c>
      <c r="H857" s="348">
        <v>702178168.17742276</v>
      </c>
      <c r="I857" s="369"/>
      <c r="J857" s="350">
        <v>170185737.280056</v>
      </c>
      <c r="K857" s="350">
        <v>203911037.99565285</v>
      </c>
      <c r="L857" s="350">
        <v>238081826.80257332</v>
      </c>
      <c r="M857" s="350">
        <v>272761566.77075952</v>
      </c>
      <c r="N857" s="350">
        <v>307959356.89720535</v>
      </c>
      <c r="O857" s="348">
        <v>1192899525.7462471</v>
      </c>
      <c r="P857" s="369"/>
      <c r="Q857" s="350">
        <f t="shared" si="357"/>
        <v>31963242.407538116</v>
      </c>
      <c r="R857" s="350">
        <f t="shared" si="358"/>
        <v>64554842.154831767</v>
      </c>
      <c r="S857" s="350">
        <f t="shared" si="359"/>
        <v>97639433.719675392</v>
      </c>
      <c r="T857" s="350">
        <f t="shared" si="360"/>
        <v>131230395.34275499</v>
      </c>
      <c r="U857" s="350">
        <f t="shared" si="361"/>
        <v>165333443.94402394</v>
      </c>
      <c r="V857" s="350">
        <f t="shared" si="362"/>
        <v>490721357.56882429</v>
      </c>
      <c r="W857" s="365"/>
      <c r="X857" s="377">
        <f t="shared" si="340"/>
        <v>0</v>
      </c>
      <c r="Y857" s="377">
        <f t="shared" si="341"/>
        <v>0</v>
      </c>
      <c r="Z857" s="377">
        <f t="shared" si="342"/>
        <v>0</v>
      </c>
      <c r="AA857" s="377">
        <f t="shared" si="343"/>
        <v>0</v>
      </c>
      <c r="AB857" s="377">
        <f t="shared" si="344"/>
        <v>0</v>
      </c>
      <c r="AC857" s="377">
        <f t="shared" si="345"/>
        <v>0</v>
      </c>
      <c r="AD857" s="376"/>
      <c r="AE857" s="332">
        <v>842</v>
      </c>
      <c r="AF857" s="350">
        <v>150045357.1002996</v>
      </c>
      <c r="AG857" s="350">
        <v>151276029.19018555</v>
      </c>
      <c r="AH857" s="350">
        <v>152455134.32223439</v>
      </c>
      <c r="AI857" s="350">
        <v>153637041.33198166</v>
      </c>
      <c r="AJ857" s="350">
        <v>154825421.58245534</v>
      </c>
      <c r="AK857" s="348">
        <v>762238983.52715659</v>
      </c>
      <c r="AL857" s="369"/>
      <c r="AM857" s="350">
        <v>193779157.34688914</v>
      </c>
      <c r="AN857" s="350">
        <v>239617072.05773431</v>
      </c>
      <c r="AO857" s="350">
        <v>286078170.73208249</v>
      </c>
      <c r="AP857" s="350">
        <v>333235127.78327376</v>
      </c>
      <c r="AQ857" s="350">
        <v>381099438.85660464</v>
      </c>
      <c r="AR857" s="348">
        <v>1433808966.7765841</v>
      </c>
      <c r="AS857" s="369"/>
      <c r="AT857" s="350">
        <f t="shared" si="363"/>
        <v>43733800.246589541</v>
      </c>
      <c r="AU857" s="350">
        <f t="shared" si="346"/>
        <v>88341042.867548764</v>
      </c>
      <c r="AV857" s="350">
        <f t="shared" si="347"/>
        <v>133623036.40984809</v>
      </c>
      <c r="AW857" s="350">
        <f t="shared" si="348"/>
        <v>179598086.4512921</v>
      </c>
      <c r="AX857" s="350">
        <f t="shared" si="349"/>
        <v>226274017.2741493</v>
      </c>
      <c r="AY857" s="350">
        <f t="shared" si="350"/>
        <v>671569983.24942756</v>
      </c>
      <c r="AZ857" s="365"/>
      <c r="BA857" s="377">
        <f t="shared" si="351"/>
        <v>0</v>
      </c>
      <c r="BB857" s="377">
        <f t="shared" si="352"/>
        <v>0</v>
      </c>
      <c r="BC857" s="377">
        <f t="shared" si="353"/>
        <v>0</v>
      </c>
      <c r="BD857" s="377">
        <f t="shared" si="354"/>
        <v>0</v>
      </c>
      <c r="BE857" s="377">
        <f t="shared" si="355"/>
        <v>0</v>
      </c>
      <c r="BF857" s="377">
        <f t="shared" si="356"/>
        <v>0</v>
      </c>
      <c r="BG857" s="328"/>
    </row>
    <row r="858" spans="2:59">
      <c r="B858" s="332">
        <v>843</v>
      </c>
      <c r="C858" s="350">
        <v>152821021.95644918</v>
      </c>
      <c r="D858" s="350">
        <v>154074460.05079776</v>
      </c>
      <c r="E858" s="350">
        <v>155275377.25847477</v>
      </c>
      <c r="F858" s="350">
        <v>156479148.17533386</v>
      </c>
      <c r="G858" s="350">
        <v>157689512.08035523</v>
      </c>
      <c r="H858" s="348">
        <v>776339519.5214107</v>
      </c>
      <c r="I858" s="369"/>
      <c r="J858" s="350">
        <v>191148066.56308401</v>
      </c>
      <c r="K858" s="350">
        <v>231464090.22088203</v>
      </c>
      <c r="L858" s="350">
        <v>272318458.89323413</v>
      </c>
      <c r="M858" s="350">
        <v>313782587.995417</v>
      </c>
      <c r="N858" s="350">
        <v>355867069.21546912</v>
      </c>
      <c r="O858" s="348">
        <v>1364580272.8880863</v>
      </c>
      <c r="P858" s="369"/>
      <c r="Q858" s="350">
        <f t="shared" si="357"/>
        <v>38327044.606634825</v>
      </c>
      <c r="R858" s="350">
        <f t="shared" si="358"/>
        <v>77389630.170084268</v>
      </c>
      <c r="S858" s="350">
        <f t="shared" si="359"/>
        <v>117043081.63475937</v>
      </c>
      <c r="T858" s="350">
        <f t="shared" si="360"/>
        <v>157303439.82008314</v>
      </c>
      <c r="U858" s="350">
        <f t="shared" si="361"/>
        <v>198177557.13511389</v>
      </c>
      <c r="V858" s="350">
        <f t="shared" si="362"/>
        <v>588240753.36667562</v>
      </c>
      <c r="W858" s="365"/>
      <c r="X858" s="377">
        <f t="shared" si="340"/>
        <v>0</v>
      </c>
      <c r="Y858" s="377">
        <f t="shared" si="341"/>
        <v>0</v>
      </c>
      <c r="Z858" s="377">
        <f t="shared" si="342"/>
        <v>0</v>
      </c>
      <c r="AA858" s="377">
        <f t="shared" si="343"/>
        <v>0</v>
      </c>
      <c r="AB858" s="377">
        <f t="shared" si="344"/>
        <v>0</v>
      </c>
      <c r="AC858" s="377">
        <f t="shared" si="345"/>
        <v>0</v>
      </c>
      <c r="AD858" s="376"/>
      <c r="AE858" s="332">
        <v>843</v>
      </c>
      <c r="AF858" s="350">
        <v>123978580.53603575</v>
      </c>
      <c r="AG858" s="350">
        <v>124995452.91221586</v>
      </c>
      <c r="AH858" s="350">
        <v>125969716.85079578</v>
      </c>
      <c r="AI858" s="350">
        <v>126946295.90812781</v>
      </c>
      <c r="AJ858" s="350">
        <v>127928223.63610345</v>
      </c>
      <c r="AK858" s="348">
        <v>629818269.84327865</v>
      </c>
      <c r="AL858" s="369"/>
      <c r="AM858" s="350">
        <v>157825586.27031928</v>
      </c>
      <c r="AN858" s="350">
        <v>193353828.37337866</v>
      </c>
      <c r="AO858" s="350">
        <v>229361492.48715663</v>
      </c>
      <c r="AP858" s="350">
        <v>265907668.80234206</v>
      </c>
      <c r="AQ858" s="350">
        <v>303001444.56260407</v>
      </c>
      <c r="AR858" s="348">
        <v>1149450020.4958007</v>
      </c>
      <c r="AS858" s="369"/>
      <c r="AT858" s="350">
        <f t="shared" si="363"/>
        <v>33847005.734283537</v>
      </c>
      <c r="AU858" s="350">
        <f t="shared" si="346"/>
        <v>68358375.461162806</v>
      </c>
      <c r="AV858" s="350">
        <f t="shared" si="347"/>
        <v>103391775.63636085</v>
      </c>
      <c r="AW858" s="350">
        <f t="shared" si="348"/>
        <v>138961372.89421424</v>
      </c>
      <c r="AX858" s="350">
        <f t="shared" si="349"/>
        <v>175073220.92650062</v>
      </c>
      <c r="AY858" s="350">
        <f t="shared" si="350"/>
        <v>519631750.65252209</v>
      </c>
      <c r="AZ858" s="365"/>
      <c r="BA858" s="377">
        <f t="shared" si="351"/>
        <v>0</v>
      </c>
      <c r="BB858" s="377">
        <f t="shared" si="352"/>
        <v>0</v>
      </c>
      <c r="BC858" s="377">
        <f t="shared" si="353"/>
        <v>0</v>
      </c>
      <c r="BD858" s="377">
        <f t="shared" si="354"/>
        <v>0</v>
      </c>
      <c r="BE858" s="377">
        <f t="shared" si="355"/>
        <v>0</v>
      </c>
      <c r="BF858" s="377">
        <f t="shared" si="356"/>
        <v>0</v>
      </c>
      <c r="BG858" s="328"/>
    </row>
    <row r="859" spans="2:59">
      <c r="B859" s="332">
        <v>844</v>
      </c>
      <c r="C859" s="350">
        <v>140729039.08390868</v>
      </c>
      <c r="D859" s="350">
        <v>141883298.72901893</v>
      </c>
      <c r="E859" s="350">
        <v>142989193.20932072</v>
      </c>
      <c r="F859" s="350">
        <v>144097715.59870127</v>
      </c>
      <c r="G859" s="350">
        <v>145212309.30521399</v>
      </c>
      <c r="H859" s="348">
        <v>714911555.92616367</v>
      </c>
      <c r="I859" s="369"/>
      <c r="J859" s="350">
        <v>176357347.4701319</v>
      </c>
      <c r="K859" s="350">
        <v>213831627.44297037</v>
      </c>
      <c r="L859" s="350">
        <v>251806927.42721906</v>
      </c>
      <c r="M859" s="350">
        <v>290349152.27055657</v>
      </c>
      <c r="N859" s="350">
        <v>329468116.50438052</v>
      </c>
      <c r="O859" s="348">
        <v>1261813171.1152585</v>
      </c>
      <c r="P859" s="369"/>
      <c r="Q859" s="350">
        <f t="shared" si="357"/>
        <v>35628308.386223227</v>
      </c>
      <c r="R859" s="350">
        <f t="shared" si="358"/>
        <v>71948328.713951439</v>
      </c>
      <c r="S859" s="350">
        <f t="shared" si="359"/>
        <v>108817734.21789834</v>
      </c>
      <c r="T859" s="350">
        <f t="shared" si="360"/>
        <v>146251436.6718553</v>
      </c>
      <c r="U859" s="350">
        <f t="shared" si="361"/>
        <v>184255807.19916654</v>
      </c>
      <c r="V859" s="350">
        <f t="shared" si="362"/>
        <v>546901615.18909478</v>
      </c>
      <c r="W859" s="365"/>
      <c r="X859" s="377">
        <f t="shared" si="340"/>
        <v>0</v>
      </c>
      <c r="Y859" s="377">
        <f t="shared" si="341"/>
        <v>0</v>
      </c>
      <c r="Z859" s="377">
        <f t="shared" si="342"/>
        <v>0</v>
      </c>
      <c r="AA859" s="377">
        <f t="shared" si="343"/>
        <v>0</v>
      </c>
      <c r="AB859" s="377">
        <f t="shared" si="344"/>
        <v>0</v>
      </c>
      <c r="AC859" s="377">
        <f t="shared" si="345"/>
        <v>0</v>
      </c>
      <c r="AD859" s="376"/>
      <c r="AE859" s="332">
        <v>844</v>
      </c>
      <c r="AF859" s="350">
        <v>120999108.09470701</v>
      </c>
      <c r="AG859" s="350">
        <v>121991542.8365145</v>
      </c>
      <c r="AH859" s="350">
        <v>122942393.11329067</v>
      </c>
      <c r="AI859" s="350">
        <v>123895502.8715267</v>
      </c>
      <c r="AJ859" s="350">
        <v>124853832.76032531</v>
      </c>
      <c r="AK859" s="348">
        <v>614682379.67636418</v>
      </c>
      <c r="AL859" s="369"/>
      <c r="AM859" s="350">
        <v>152447979.95520657</v>
      </c>
      <c r="AN859" s="350">
        <v>185512678.63496459</v>
      </c>
      <c r="AO859" s="350">
        <v>219020931.39407277</v>
      </c>
      <c r="AP859" s="350">
        <v>253029745.41547552</v>
      </c>
      <c r="AQ859" s="350">
        <v>287547707.05391502</v>
      </c>
      <c r="AR859" s="348">
        <v>1097559042.4536343</v>
      </c>
      <c r="AS859" s="369"/>
      <c r="AT859" s="350">
        <f t="shared" si="363"/>
        <v>31448871.860499561</v>
      </c>
      <c r="AU859" s="350">
        <f t="shared" si="346"/>
        <v>63521135.798450083</v>
      </c>
      <c r="AV859" s="350">
        <f t="shared" si="347"/>
        <v>96078538.280782104</v>
      </c>
      <c r="AW859" s="350">
        <f t="shared" si="348"/>
        <v>129134242.54394881</v>
      </c>
      <c r="AX859" s="350">
        <f t="shared" si="349"/>
        <v>162693874.29358971</v>
      </c>
      <c r="AY859" s="350">
        <f t="shared" si="350"/>
        <v>482876662.77727008</v>
      </c>
      <c r="AZ859" s="365"/>
      <c r="BA859" s="377">
        <f t="shared" si="351"/>
        <v>0</v>
      </c>
      <c r="BB859" s="377">
        <f t="shared" si="352"/>
        <v>0</v>
      </c>
      <c r="BC859" s="377">
        <f t="shared" si="353"/>
        <v>0</v>
      </c>
      <c r="BD859" s="377">
        <f t="shared" si="354"/>
        <v>0</v>
      </c>
      <c r="BE859" s="377">
        <f t="shared" si="355"/>
        <v>0</v>
      </c>
      <c r="BF859" s="377">
        <f t="shared" si="356"/>
        <v>0</v>
      </c>
      <c r="BG859" s="328"/>
    </row>
    <row r="860" spans="2:59">
      <c r="B860" s="332">
        <v>845</v>
      </c>
      <c r="C860" s="350">
        <v>124002925.75451069</v>
      </c>
      <c r="D860" s="350">
        <v>125019997.81018424</v>
      </c>
      <c r="E860" s="350">
        <v>125994453.0613952</v>
      </c>
      <c r="F860" s="350">
        <v>126971223.8859697</v>
      </c>
      <c r="G860" s="350">
        <v>127953344.43148652</v>
      </c>
      <c r="H860" s="348">
        <v>629941944.94354641</v>
      </c>
      <c r="I860" s="369"/>
      <c r="J860" s="350">
        <v>154812118.13265613</v>
      </c>
      <c r="K860" s="350">
        <v>187243736.89548993</v>
      </c>
      <c r="L860" s="350">
        <v>220107926.01370019</v>
      </c>
      <c r="M860" s="350">
        <v>253462513.0596863</v>
      </c>
      <c r="N860" s="350">
        <v>287316042.64030713</v>
      </c>
      <c r="O860" s="348">
        <v>1102942336.7418396</v>
      </c>
      <c r="P860" s="369"/>
      <c r="Q860" s="350">
        <f t="shared" si="357"/>
        <v>30809192.378145441</v>
      </c>
      <c r="R860" s="350">
        <f t="shared" si="358"/>
        <v>62223739.085305691</v>
      </c>
      <c r="S860" s="350">
        <f t="shared" si="359"/>
        <v>94113472.952304989</v>
      </c>
      <c r="T860" s="350">
        <f t="shared" si="360"/>
        <v>126491289.1737166</v>
      </c>
      <c r="U860" s="350">
        <f t="shared" si="361"/>
        <v>159362698.20882061</v>
      </c>
      <c r="V860" s="350">
        <f t="shared" si="362"/>
        <v>473000391.79829323</v>
      </c>
      <c r="W860" s="365"/>
      <c r="X860" s="377">
        <f t="shared" si="340"/>
        <v>0</v>
      </c>
      <c r="Y860" s="377">
        <f t="shared" si="341"/>
        <v>0</v>
      </c>
      <c r="Z860" s="377">
        <f t="shared" si="342"/>
        <v>0</v>
      </c>
      <c r="AA860" s="377">
        <f t="shared" si="343"/>
        <v>0</v>
      </c>
      <c r="AB860" s="377">
        <f t="shared" si="344"/>
        <v>0</v>
      </c>
      <c r="AC860" s="377">
        <f t="shared" si="345"/>
        <v>0</v>
      </c>
      <c r="AD860" s="376"/>
      <c r="AE860" s="332">
        <v>845</v>
      </c>
      <c r="AF860" s="350">
        <v>154069779.44332981</v>
      </c>
      <c r="AG860" s="350">
        <v>155333459.84717625</v>
      </c>
      <c r="AH860" s="350">
        <v>156544190.19662535</v>
      </c>
      <c r="AI860" s="350">
        <v>157757797.57397702</v>
      </c>
      <c r="AJ860" s="350">
        <v>158978051.81325281</v>
      </c>
      <c r="AK860" s="348">
        <v>782683278.87436128</v>
      </c>
      <c r="AL860" s="369"/>
      <c r="AM860" s="350">
        <v>189593802.37487885</v>
      </c>
      <c r="AN860" s="350">
        <v>227097403.92784101</v>
      </c>
      <c r="AO860" s="350">
        <v>265096241.12759119</v>
      </c>
      <c r="AP860" s="350">
        <v>303661010.63928258</v>
      </c>
      <c r="AQ860" s="350">
        <v>342801838.77264559</v>
      </c>
      <c r="AR860" s="348">
        <v>1328250296.8422391</v>
      </c>
      <c r="AS860" s="369"/>
      <c r="AT860" s="350">
        <f t="shared" si="363"/>
        <v>35524022.931549042</v>
      </c>
      <c r="AU860" s="350">
        <f t="shared" si="346"/>
        <v>71763944.080664754</v>
      </c>
      <c r="AV860" s="350">
        <f t="shared" si="347"/>
        <v>108552050.93096584</v>
      </c>
      <c r="AW860" s="350">
        <f t="shared" si="348"/>
        <v>145903213.06530556</v>
      </c>
      <c r="AX860" s="350">
        <f t="shared" si="349"/>
        <v>183823786.95939279</v>
      </c>
      <c r="AY860" s="350">
        <f t="shared" si="350"/>
        <v>545567017.96787786</v>
      </c>
      <c r="AZ860" s="365"/>
      <c r="BA860" s="377">
        <f t="shared" si="351"/>
        <v>0</v>
      </c>
      <c r="BB860" s="377">
        <f t="shared" si="352"/>
        <v>0</v>
      </c>
      <c r="BC860" s="377">
        <f t="shared" si="353"/>
        <v>0</v>
      </c>
      <c r="BD860" s="377">
        <f t="shared" si="354"/>
        <v>0</v>
      </c>
      <c r="BE860" s="377">
        <f t="shared" si="355"/>
        <v>0</v>
      </c>
      <c r="BF860" s="377">
        <f t="shared" si="356"/>
        <v>0</v>
      </c>
      <c r="BG860" s="328"/>
    </row>
    <row r="861" spans="2:59">
      <c r="B861" s="332">
        <v>846</v>
      </c>
      <c r="C861" s="350">
        <v>118817109.45757961</v>
      </c>
      <c r="D861" s="350">
        <v>119791647.4455336</v>
      </c>
      <c r="E861" s="350">
        <v>120725350.86857921</v>
      </c>
      <c r="F861" s="350">
        <v>121661273.02744979</v>
      </c>
      <c r="G861" s="350">
        <v>122602321.18133146</v>
      </c>
      <c r="H861" s="348">
        <v>603597701.98047364</v>
      </c>
      <c r="I861" s="369"/>
      <c r="J861" s="350">
        <v>151138116.9257786</v>
      </c>
      <c r="K861" s="350">
        <v>185057886.99910945</v>
      </c>
      <c r="L861" s="350">
        <v>219435158.32659799</v>
      </c>
      <c r="M861" s="350">
        <v>254326511.5720821</v>
      </c>
      <c r="N861" s="350">
        <v>289740633.19988221</v>
      </c>
      <c r="O861" s="348">
        <v>1099698307.0234504</v>
      </c>
      <c r="P861" s="369"/>
      <c r="Q861" s="350">
        <f t="shared" si="357"/>
        <v>32321007.468198985</v>
      </c>
      <c r="R861" s="350">
        <f t="shared" si="358"/>
        <v>65266239.553575844</v>
      </c>
      <c r="S861" s="350">
        <f t="shared" si="359"/>
        <v>98709807.45801878</v>
      </c>
      <c r="T861" s="350">
        <f t="shared" si="360"/>
        <v>132665238.54463232</v>
      </c>
      <c r="U861" s="350">
        <f t="shared" si="361"/>
        <v>167138312.01855075</v>
      </c>
      <c r="V861" s="350">
        <f t="shared" si="362"/>
        <v>496100605.04297674</v>
      </c>
      <c r="W861" s="365"/>
      <c r="X861" s="377">
        <f t="shared" si="340"/>
        <v>0</v>
      </c>
      <c r="Y861" s="377">
        <f t="shared" si="341"/>
        <v>0</v>
      </c>
      <c r="Z861" s="377">
        <f t="shared" si="342"/>
        <v>0</v>
      </c>
      <c r="AA861" s="377">
        <f t="shared" si="343"/>
        <v>0</v>
      </c>
      <c r="AB861" s="377">
        <f t="shared" si="344"/>
        <v>0</v>
      </c>
      <c r="AC861" s="377">
        <f t="shared" si="345"/>
        <v>0</v>
      </c>
      <c r="AD861" s="376"/>
      <c r="AE861" s="332">
        <v>846</v>
      </c>
      <c r="AF861" s="350">
        <v>117525357.59166723</v>
      </c>
      <c r="AG861" s="350">
        <v>118489300.6302062</v>
      </c>
      <c r="AH861" s="350">
        <v>119412853.04769005</v>
      </c>
      <c r="AI861" s="350">
        <v>120338600.07942125</v>
      </c>
      <c r="AJ861" s="350">
        <v>121269417.37754288</v>
      </c>
      <c r="AK861" s="348">
        <v>597035528.72652757</v>
      </c>
      <c r="AL861" s="369"/>
      <c r="AM861" s="350">
        <v>149700680.30499184</v>
      </c>
      <c r="AN861" s="350">
        <v>183487281.12574229</v>
      </c>
      <c r="AO861" s="350">
        <v>217729985.05489162</v>
      </c>
      <c r="AP861" s="350">
        <v>252484845.15764204</v>
      </c>
      <c r="AQ861" s="350">
        <v>287760494.19900298</v>
      </c>
      <c r="AR861" s="348">
        <v>1091163285.8422709</v>
      </c>
      <c r="AS861" s="369"/>
      <c r="AT861" s="350">
        <f t="shared" si="363"/>
        <v>32175322.713324606</v>
      </c>
      <c r="AU861" s="350">
        <f t="shared" si="346"/>
        <v>64997980.495536089</v>
      </c>
      <c r="AV861" s="350">
        <f t="shared" si="347"/>
        <v>98317132.007201567</v>
      </c>
      <c r="AW861" s="350">
        <f t="shared" si="348"/>
        <v>132146245.07822078</v>
      </c>
      <c r="AX861" s="350">
        <f t="shared" si="349"/>
        <v>166491076.8214601</v>
      </c>
      <c r="AY861" s="350">
        <f t="shared" si="350"/>
        <v>494127757.11574328</v>
      </c>
      <c r="AZ861" s="365"/>
      <c r="BA861" s="377">
        <f t="shared" si="351"/>
        <v>0</v>
      </c>
      <c r="BB861" s="377">
        <f t="shared" si="352"/>
        <v>0</v>
      </c>
      <c r="BC861" s="377">
        <f t="shared" si="353"/>
        <v>0</v>
      </c>
      <c r="BD861" s="377">
        <f t="shared" si="354"/>
        <v>0</v>
      </c>
      <c r="BE861" s="377">
        <f t="shared" si="355"/>
        <v>0</v>
      </c>
      <c r="BF861" s="377">
        <f t="shared" si="356"/>
        <v>0</v>
      </c>
      <c r="BG861" s="328"/>
    </row>
    <row r="862" spans="2:59">
      <c r="B862" s="332">
        <v>847</v>
      </c>
      <c r="C862" s="350">
        <v>133764130.58633211</v>
      </c>
      <c r="D862" s="350">
        <v>134861264.04865184</v>
      </c>
      <c r="E862" s="350">
        <v>135912426.01664907</v>
      </c>
      <c r="F862" s="350">
        <v>136966085.83424047</v>
      </c>
      <c r="G862" s="350">
        <v>138025516.48962772</v>
      </c>
      <c r="H862" s="348">
        <v>679529422.97550118</v>
      </c>
      <c r="I862" s="369"/>
      <c r="J862" s="350">
        <v>168556128.38423419</v>
      </c>
      <c r="K862" s="350">
        <v>205129132.63520229</v>
      </c>
      <c r="L862" s="350">
        <v>242192785.64786541</v>
      </c>
      <c r="M862" s="350">
        <v>279810118.97942752</v>
      </c>
      <c r="N862" s="350">
        <v>317990628.47259885</v>
      </c>
      <c r="O862" s="348">
        <v>1213678794.1193283</v>
      </c>
      <c r="P862" s="369"/>
      <c r="Q862" s="350">
        <f t="shared" si="357"/>
        <v>34791997.797902077</v>
      </c>
      <c r="R862" s="350">
        <f t="shared" si="358"/>
        <v>70267868.586550444</v>
      </c>
      <c r="S862" s="350">
        <f t="shared" si="359"/>
        <v>106280359.63121635</v>
      </c>
      <c r="T862" s="350">
        <f t="shared" si="360"/>
        <v>142844033.14518705</v>
      </c>
      <c r="U862" s="350">
        <f t="shared" si="361"/>
        <v>179965111.98297113</v>
      </c>
      <c r="V862" s="350">
        <f t="shared" si="362"/>
        <v>534149371.14382708</v>
      </c>
      <c r="W862" s="365"/>
      <c r="X862" s="377">
        <f t="shared" si="340"/>
        <v>0</v>
      </c>
      <c r="Y862" s="377">
        <f t="shared" si="341"/>
        <v>0</v>
      </c>
      <c r="Z862" s="377">
        <f t="shared" si="342"/>
        <v>0</v>
      </c>
      <c r="AA862" s="377">
        <f t="shared" si="343"/>
        <v>0</v>
      </c>
      <c r="AB862" s="377">
        <f t="shared" si="344"/>
        <v>0</v>
      </c>
      <c r="AC862" s="377">
        <f t="shared" si="345"/>
        <v>0</v>
      </c>
      <c r="AD862" s="376"/>
      <c r="AE862" s="332">
        <v>847</v>
      </c>
      <c r="AF862" s="350">
        <v>128631731.88197599</v>
      </c>
      <c r="AG862" s="350">
        <v>129686769.40769577</v>
      </c>
      <c r="AH862" s="350">
        <v>130697599.3203133</v>
      </c>
      <c r="AI862" s="350">
        <v>131710831.24248213</v>
      </c>
      <c r="AJ862" s="350">
        <v>132729612.58105153</v>
      </c>
      <c r="AK862" s="348">
        <v>653456544.43351877</v>
      </c>
      <c r="AL862" s="369"/>
      <c r="AM862" s="350">
        <v>158396458.19566959</v>
      </c>
      <c r="AN862" s="350">
        <v>189815721.68335521</v>
      </c>
      <c r="AO862" s="350">
        <v>221650083.99052781</v>
      </c>
      <c r="AP862" s="350">
        <v>253958613.58790052</v>
      </c>
      <c r="AQ862" s="350">
        <v>286749783.76975095</v>
      </c>
      <c r="AR862" s="348">
        <v>1110570661.2272041</v>
      </c>
      <c r="AS862" s="369"/>
      <c r="AT862" s="350">
        <f t="shared" si="363"/>
        <v>29764726.313693598</v>
      </c>
      <c r="AU862" s="350">
        <f t="shared" si="346"/>
        <v>60128952.275659442</v>
      </c>
      <c r="AV862" s="350">
        <f t="shared" si="347"/>
        <v>90952484.670214504</v>
      </c>
      <c r="AW862" s="350">
        <f t="shared" si="348"/>
        <v>122247782.34541839</v>
      </c>
      <c r="AX862" s="350">
        <f t="shared" si="349"/>
        <v>154020171.18869942</v>
      </c>
      <c r="AY862" s="350">
        <f t="shared" si="350"/>
        <v>457114116.79368532</v>
      </c>
      <c r="AZ862" s="365"/>
      <c r="BA862" s="377">
        <f t="shared" si="351"/>
        <v>0</v>
      </c>
      <c r="BB862" s="377">
        <f t="shared" si="352"/>
        <v>0</v>
      </c>
      <c r="BC862" s="377">
        <f t="shared" si="353"/>
        <v>0</v>
      </c>
      <c r="BD862" s="377">
        <f t="shared" si="354"/>
        <v>0</v>
      </c>
      <c r="BE862" s="377">
        <f t="shared" si="355"/>
        <v>0</v>
      </c>
      <c r="BF862" s="377">
        <f t="shared" si="356"/>
        <v>0</v>
      </c>
      <c r="BG862" s="328"/>
    </row>
    <row r="863" spans="2:59">
      <c r="B863" s="332">
        <v>848</v>
      </c>
      <c r="C863" s="350">
        <v>145613885.35607031</v>
      </c>
      <c r="D863" s="350">
        <v>146808210.51261464</v>
      </c>
      <c r="E863" s="350">
        <v>147952491.70090988</v>
      </c>
      <c r="F863" s="350">
        <v>149099492.01564693</v>
      </c>
      <c r="G863" s="350">
        <v>150252774.38903099</v>
      </c>
      <c r="H863" s="348">
        <v>739726853.97427273</v>
      </c>
      <c r="I863" s="369"/>
      <c r="J863" s="350">
        <v>182327187.70481256</v>
      </c>
      <c r="K863" s="350">
        <v>220960390.66188467</v>
      </c>
      <c r="L863" s="350">
        <v>260109864.84851095</v>
      </c>
      <c r="M863" s="350">
        <v>299843739.95470887</v>
      </c>
      <c r="N863" s="350">
        <v>340172146.01037788</v>
      </c>
      <c r="O863" s="348">
        <v>1303413329.180295</v>
      </c>
      <c r="P863" s="369"/>
      <c r="Q863" s="350">
        <f t="shared" si="357"/>
        <v>36713302.348742247</v>
      </c>
      <c r="R863" s="350">
        <f t="shared" si="358"/>
        <v>74152180.149270028</v>
      </c>
      <c r="S863" s="350">
        <f t="shared" si="359"/>
        <v>112157373.14760107</v>
      </c>
      <c r="T863" s="350">
        <f t="shared" si="360"/>
        <v>150744247.93906194</v>
      </c>
      <c r="U863" s="350">
        <f t="shared" si="361"/>
        <v>189919371.62134689</v>
      </c>
      <c r="V863" s="350">
        <f t="shared" si="362"/>
        <v>563686475.20602226</v>
      </c>
      <c r="W863" s="365"/>
      <c r="X863" s="377">
        <f t="shared" si="340"/>
        <v>0</v>
      </c>
      <c r="Y863" s="377">
        <f t="shared" si="341"/>
        <v>0</v>
      </c>
      <c r="Z863" s="377">
        <f t="shared" si="342"/>
        <v>0</v>
      </c>
      <c r="AA863" s="377">
        <f t="shared" si="343"/>
        <v>0</v>
      </c>
      <c r="AB863" s="377">
        <f t="shared" si="344"/>
        <v>0</v>
      </c>
      <c r="AC863" s="377">
        <f t="shared" si="345"/>
        <v>0</v>
      </c>
      <c r="AD863" s="376"/>
      <c r="AE863" s="332">
        <v>848</v>
      </c>
      <c r="AF863" s="350">
        <v>127933996.75094414</v>
      </c>
      <c r="AG863" s="350">
        <v>128983311.45278923</v>
      </c>
      <c r="AH863" s="350">
        <v>129988658.33621009</v>
      </c>
      <c r="AI863" s="350">
        <v>130996394.19999862</v>
      </c>
      <c r="AJ863" s="350">
        <v>132009649.37857339</v>
      </c>
      <c r="AK863" s="348">
        <v>649912010.11851549</v>
      </c>
      <c r="AL863" s="369"/>
      <c r="AM863" s="350">
        <v>161071522.94204423</v>
      </c>
      <c r="AN863" s="350">
        <v>195935369.56306198</v>
      </c>
      <c r="AO863" s="350">
        <v>231266750.50014609</v>
      </c>
      <c r="AP863" s="350">
        <v>267125893.71062088</v>
      </c>
      <c r="AQ863" s="350">
        <v>303521860.3823719</v>
      </c>
      <c r="AR863" s="348">
        <v>1158921397.0982451</v>
      </c>
      <c r="AS863" s="369"/>
      <c r="AT863" s="350">
        <f t="shared" si="363"/>
        <v>33137526.191100091</v>
      </c>
      <c r="AU863" s="350">
        <f t="shared" si="346"/>
        <v>66952058.11027275</v>
      </c>
      <c r="AV863" s="350">
        <f t="shared" si="347"/>
        <v>101278092.163936</v>
      </c>
      <c r="AW863" s="350">
        <f t="shared" si="348"/>
        <v>136129499.51062226</v>
      </c>
      <c r="AX863" s="350">
        <f t="shared" si="349"/>
        <v>171512211.00379851</v>
      </c>
      <c r="AY863" s="350">
        <f t="shared" si="350"/>
        <v>509009386.97972965</v>
      </c>
      <c r="AZ863" s="365"/>
      <c r="BA863" s="377">
        <f t="shared" si="351"/>
        <v>0</v>
      </c>
      <c r="BB863" s="377">
        <f t="shared" si="352"/>
        <v>0</v>
      </c>
      <c r="BC863" s="377">
        <f t="shared" si="353"/>
        <v>0</v>
      </c>
      <c r="BD863" s="377">
        <f t="shared" si="354"/>
        <v>0</v>
      </c>
      <c r="BE863" s="377">
        <f t="shared" si="355"/>
        <v>0</v>
      </c>
      <c r="BF863" s="377">
        <f t="shared" si="356"/>
        <v>0</v>
      </c>
      <c r="BG863" s="328"/>
    </row>
    <row r="864" spans="2:59">
      <c r="B864" s="332">
        <v>849</v>
      </c>
      <c r="C864" s="350">
        <v>121492905.01688799</v>
      </c>
      <c r="D864" s="350">
        <v>122489389.88128468</v>
      </c>
      <c r="E864" s="350">
        <v>123444120.57459879</v>
      </c>
      <c r="F864" s="350">
        <v>124401119.97030844</v>
      </c>
      <c r="G864" s="350">
        <v>125363360.7999146</v>
      </c>
      <c r="H864" s="348">
        <v>617190896.24299455</v>
      </c>
      <c r="I864" s="369"/>
      <c r="J864" s="350">
        <v>155636148.27767855</v>
      </c>
      <c r="K864" s="350">
        <v>191463484.77129698</v>
      </c>
      <c r="L864" s="350">
        <v>227775938.19208321</v>
      </c>
      <c r="M864" s="350">
        <v>264631823.00628555</v>
      </c>
      <c r="N864" s="350">
        <v>302040221.2811237</v>
      </c>
      <c r="O864" s="348">
        <v>1141547615.5284679</v>
      </c>
      <c r="P864" s="369"/>
      <c r="Q864" s="350">
        <f t="shared" si="357"/>
        <v>34143243.260790557</v>
      </c>
      <c r="R864" s="350">
        <f t="shared" si="358"/>
        <v>68974094.890012294</v>
      </c>
      <c r="S864" s="350">
        <f t="shared" si="359"/>
        <v>104331817.61748442</v>
      </c>
      <c r="T864" s="350">
        <f t="shared" si="360"/>
        <v>140230703.03597713</v>
      </c>
      <c r="U864" s="350">
        <f t="shared" si="361"/>
        <v>176676860.4812091</v>
      </c>
      <c r="V864" s="350">
        <f t="shared" si="362"/>
        <v>524356719.28547335</v>
      </c>
      <c r="W864" s="365"/>
      <c r="X864" s="377">
        <f t="shared" si="340"/>
        <v>0</v>
      </c>
      <c r="Y864" s="377">
        <f t="shared" si="341"/>
        <v>0</v>
      </c>
      <c r="Z864" s="377">
        <f t="shared" si="342"/>
        <v>0</v>
      </c>
      <c r="AA864" s="377">
        <f t="shared" si="343"/>
        <v>0</v>
      </c>
      <c r="AB864" s="377">
        <f t="shared" si="344"/>
        <v>0</v>
      </c>
      <c r="AC864" s="377">
        <f t="shared" si="345"/>
        <v>0</v>
      </c>
      <c r="AD864" s="376"/>
      <c r="AE864" s="332">
        <v>849</v>
      </c>
      <c r="AF864" s="350">
        <v>151560885.54697618</v>
      </c>
      <c r="AG864" s="350">
        <v>152803988.00189841</v>
      </c>
      <c r="AH864" s="350">
        <v>153995002.64853519</v>
      </c>
      <c r="AI864" s="350">
        <v>155188847.4731487</v>
      </c>
      <c r="AJ864" s="350">
        <v>156389230.92125452</v>
      </c>
      <c r="AK864" s="348">
        <v>769937954.59181297</v>
      </c>
      <c r="AL864" s="369"/>
      <c r="AM864" s="350">
        <v>190379871.16080198</v>
      </c>
      <c r="AN864" s="350">
        <v>231195363.66131759</v>
      </c>
      <c r="AO864" s="350">
        <v>272557349.52239716</v>
      </c>
      <c r="AP864" s="350">
        <v>314536993.9072454</v>
      </c>
      <c r="AQ864" s="350">
        <v>357144946.90913522</v>
      </c>
      <c r="AR864" s="348">
        <v>1365814525.1608973</v>
      </c>
      <c r="AS864" s="369"/>
      <c r="AT864" s="350">
        <f t="shared" si="363"/>
        <v>38818985.613825798</v>
      </c>
      <c r="AU864" s="350">
        <f t="shared" si="346"/>
        <v>78391375.659419179</v>
      </c>
      <c r="AV864" s="350">
        <f t="shared" si="347"/>
        <v>118562346.87386197</v>
      </c>
      <c r="AW864" s="350">
        <f t="shared" si="348"/>
        <v>159348146.43409669</v>
      </c>
      <c r="AX864" s="350">
        <f t="shared" si="349"/>
        <v>200755715.98788071</v>
      </c>
      <c r="AY864" s="350">
        <f t="shared" si="350"/>
        <v>595876570.56908429</v>
      </c>
      <c r="AZ864" s="365"/>
      <c r="BA864" s="377">
        <f t="shared" si="351"/>
        <v>0</v>
      </c>
      <c r="BB864" s="377">
        <f t="shared" si="352"/>
        <v>0</v>
      </c>
      <c r="BC864" s="377">
        <f t="shared" si="353"/>
        <v>0</v>
      </c>
      <c r="BD864" s="377">
        <f t="shared" si="354"/>
        <v>0</v>
      </c>
      <c r="BE864" s="377">
        <f t="shared" si="355"/>
        <v>0</v>
      </c>
      <c r="BF864" s="377">
        <f t="shared" si="356"/>
        <v>0</v>
      </c>
      <c r="BG864" s="328"/>
    </row>
    <row r="865" spans="2:59">
      <c r="B865" s="332">
        <v>850</v>
      </c>
      <c r="C865" s="350">
        <v>160346728.10619023</v>
      </c>
      <c r="D865" s="350">
        <v>161661892.04593751</v>
      </c>
      <c r="E865" s="350">
        <v>162921948.69594675</v>
      </c>
      <c r="F865" s="350">
        <v>164184999.58669886</v>
      </c>
      <c r="G865" s="350">
        <v>165454968.13882205</v>
      </c>
      <c r="H865" s="348">
        <v>814570536.5735954</v>
      </c>
      <c r="I865" s="369"/>
      <c r="J865" s="350">
        <v>196519907.66573831</v>
      </c>
      <c r="K865" s="350">
        <v>234750072.18672276</v>
      </c>
      <c r="L865" s="350">
        <v>273483532.6906029</v>
      </c>
      <c r="M865" s="350">
        <v>312793532.72703892</v>
      </c>
      <c r="N865" s="350">
        <v>352690470.30895489</v>
      </c>
      <c r="O865" s="348">
        <v>1370237515.5790579</v>
      </c>
      <c r="P865" s="369"/>
      <c r="Q865" s="350">
        <f t="shared" si="357"/>
        <v>36173179.55954808</v>
      </c>
      <c r="R865" s="350">
        <f t="shared" si="358"/>
        <v>73088180.140785247</v>
      </c>
      <c r="S865" s="350">
        <f t="shared" si="359"/>
        <v>110561583.99465615</v>
      </c>
      <c r="T865" s="350">
        <f t="shared" si="360"/>
        <v>148608533.14034006</v>
      </c>
      <c r="U865" s="350">
        <f t="shared" si="361"/>
        <v>187235502.17013285</v>
      </c>
      <c r="V865" s="350">
        <f t="shared" si="362"/>
        <v>555666979.00546253</v>
      </c>
      <c r="W865" s="365"/>
      <c r="X865" s="377">
        <f t="shared" si="340"/>
        <v>0</v>
      </c>
      <c r="Y865" s="377">
        <f t="shared" si="341"/>
        <v>0</v>
      </c>
      <c r="Z865" s="377">
        <f t="shared" si="342"/>
        <v>0</v>
      </c>
      <c r="AA865" s="377">
        <f t="shared" si="343"/>
        <v>0</v>
      </c>
      <c r="AB865" s="377">
        <f t="shared" si="344"/>
        <v>0</v>
      </c>
      <c r="AC865" s="377">
        <f t="shared" si="345"/>
        <v>0</v>
      </c>
      <c r="AD865" s="376"/>
      <c r="AE865" s="332">
        <v>850</v>
      </c>
      <c r="AF865" s="350">
        <v>130146884.29015225</v>
      </c>
      <c r="AG865" s="350">
        <v>131214349.09664032</v>
      </c>
      <c r="AH865" s="350">
        <v>132237085.56881322</v>
      </c>
      <c r="AI865" s="350">
        <v>133262252.34379365</v>
      </c>
      <c r="AJ865" s="350">
        <v>134293033.90171754</v>
      </c>
      <c r="AK865" s="348">
        <v>661153605.20111704</v>
      </c>
      <c r="AL865" s="369"/>
      <c r="AM865" s="350">
        <v>168231446.59356639</v>
      </c>
      <c r="AN865" s="350">
        <v>208121192.68993804</v>
      </c>
      <c r="AO865" s="350">
        <v>248553444.63925049</v>
      </c>
      <c r="AP865" s="350">
        <v>289591300.79278177</v>
      </c>
      <c r="AQ865" s="350">
        <v>331244755.72962302</v>
      </c>
      <c r="AR865" s="348">
        <v>1245742140.4451597</v>
      </c>
      <c r="AS865" s="369"/>
      <c r="AT865" s="350">
        <f t="shared" si="363"/>
        <v>38084562.303414136</v>
      </c>
      <c r="AU865" s="350">
        <f t="shared" si="346"/>
        <v>76906843.59329772</v>
      </c>
      <c r="AV865" s="350">
        <f t="shared" si="347"/>
        <v>116316359.07043727</v>
      </c>
      <c r="AW865" s="350">
        <f t="shared" si="348"/>
        <v>156329048.44898814</v>
      </c>
      <c r="AX865" s="350">
        <f t="shared" si="349"/>
        <v>196951721.82790548</v>
      </c>
      <c r="AY865" s="350">
        <f t="shared" si="350"/>
        <v>584588535.24404263</v>
      </c>
      <c r="AZ865" s="365"/>
      <c r="BA865" s="377">
        <f t="shared" si="351"/>
        <v>0</v>
      </c>
      <c r="BB865" s="377">
        <f t="shared" si="352"/>
        <v>0</v>
      </c>
      <c r="BC865" s="377">
        <f t="shared" si="353"/>
        <v>0</v>
      </c>
      <c r="BD865" s="377">
        <f t="shared" si="354"/>
        <v>0</v>
      </c>
      <c r="BE865" s="377">
        <f t="shared" si="355"/>
        <v>0</v>
      </c>
      <c r="BF865" s="377">
        <f t="shared" si="356"/>
        <v>0</v>
      </c>
      <c r="BG865" s="328"/>
    </row>
    <row r="866" spans="2:59">
      <c r="B866" s="332">
        <v>851</v>
      </c>
      <c r="C866" s="350">
        <v>112902686.93871132</v>
      </c>
      <c r="D866" s="350">
        <v>113828714.83036891</v>
      </c>
      <c r="E866" s="350">
        <v>114715940.80099691</v>
      </c>
      <c r="F866" s="350">
        <v>115605275.06425549</v>
      </c>
      <c r="G866" s="350">
        <v>116499480.16314226</v>
      </c>
      <c r="H866" s="348">
        <v>573552097.79747486</v>
      </c>
      <c r="I866" s="369"/>
      <c r="J866" s="350">
        <v>148074908.9580124</v>
      </c>
      <c r="K866" s="350">
        <v>184847615.97160253</v>
      </c>
      <c r="L866" s="350">
        <v>222123742.48439872</v>
      </c>
      <c r="M866" s="350">
        <v>259958919.1279752</v>
      </c>
      <c r="N866" s="350">
        <v>298362196.72821915</v>
      </c>
      <c r="O866" s="348">
        <v>1113367383.2702079</v>
      </c>
      <c r="P866" s="369"/>
      <c r="Q866" s="350">
        <f t="shared" si="357"/>
        <v>35172222.019301087</v>
      </c>
      <c r="R866" s="350">
        <f t="shared" si="358"/>
        <v>71018901.141233623</v>
      </c>
      <c r="S866" s="350">
        <f t="shared" si="359"/>
        <v>107407801.68340181</v>
      </c>
      <c r="T866" s="350">
        <f t="shared" si="360"/>
        <v>144353644.06371969</v>
      </c>
      <c r="U866" s="350">
        <f t="shared" si="361"/>
        <v>181862716.56507689</v>
      </c>
      <c r="V866" s="350">
        <f t="shared" si="362"/>
        <v>539815285.47273302</v>
      </c>
      <c r="W866" s="365"/>
      <c r="X866" s="377">
        <f t="shared" si="340"/>
        <v>0</v>
      </c>
      <c r="Y866" s="377">
        <f t="shared" si="341"/>
        <v>0</v>
      </c>
      <c r="Z866" s="377">
        <f t="shared" si="342"/>
        <v>0</v>
      </c>
      <c r="AA866" s="377">
        <f t="shared" si="343"/>
        <v>0</v>
      </c>
      <c r="AB866" s="377">
        <f t="shared" si="344"/>
        <v>0</v>
      </c>
      <c r="AC866" s="377">
        <f t="shared" si="345"/>
        <v>0</v>
      </c>
      <c r="AD866" s="376"/>
      <c r="AE866" s="332">
        <v>851</v>
      </c>
      <c r="AF866" s="350">
        <v>164674977.64159179</v>
      </c>
      <c r="AG866" s="350">
        <v>166025641.88607502</v>
      </c>
      <c r="AH866" s="350">
        <v>167319711.32620728</v>
      </c>
      <c r="AI866" s="350">
        <v>168616855.83081514</v>
      </c>
      <c r="AJ866" s="350">
        <v>169921104.72567192</v>
      </c>
      <c r="AK866" s="348">
        <v>836558291.41036117</v>
      </c>
      <c r="AL866" s="369"/>
      <c r="AM866" s="350">
        <v>205585511.14253697</v>
      </c>
      <c r="AN866" s="350">
        <v>248656259.9894428</v>
      </c>
      <c r="AO866" s="350">
        <v>292301488.92230058</v>
      </c>
      <c r="AP866" s="350">
        <v>336597991.24103081</v>
      </c>
      <c r="AQ866" s="350">
        <v>381557114.30587244</v>
      </c>
      <c r="AR866" s="348">
        <v>1464698365.6011834</v>
      </c>
      <c r="AS866" s="369"/>
      <c r="AT866" s="350">
        <f t="shared" si="363"/>
        <v>40910533.500945181</v>
      </c>
      <c r="AU866" s="350">
        <f t="shared" si="346"/>
        <v>82630618.103367776</v>
      </c>
      <c r="AV866" s="350">
        <f t="shared" si="347"/>
        <v>124981777.5960933</v>
      </c>
      <c r="AW866" s="350">
        <f t="shared" si="348"/>
        <v>167981135.41021568</v>
      </c>
      <c r="AX866" s="350">
        <f t="shared" si="349"/>
        <v>211636009.58020052</v>
      </c>
      <c r="AY866" s="350">
        <f t="shared" si="350"/>
        <v>628140074.19082224</v>
      </c>
      <c r="AZ866" s="365"/>
      <c r="BA866" s="377">
        <f t="shared" si="351"/>
        <v>0</v>
      </c>
      <c r="BB866" s="377">
        <f t="shared" si="352"/>
        <v>0</v>
      </c>
      <c r="BC866" s="377">
        <f t="shared" si="353"/>
        <v>0</v>
      </c>
      <c r="BD866" s="377">
        <f t="shared" si="354"/>
        <v>0</v>
      </c>
      <c r="BE866" s="377">
        <f t="shared" si="355"/>
        <v>0</v>
      </c>
      <c r="BF866" s="377">
        <f t="shared" si="356"/>
        <v>0</v>
      </c>
      <c r="BG866" s="328"/>
    </row>
    <row r="867" spans="2:59">
      <c r="B867" s="332">
        <v>852</v>
      </c>
      <c r="C867" s="350">
        <v>136985500.13669938</v>
      </c>
      <c r="D867" s="350">
        <v>138109055.27359447</v>
      </c>
      <c r="E867" s="350">
        <v>139185531.80941615</v>
      </c>
      <c r="F867" s="350">
        <v>140264566.34919921</v>
      </c>
      <c r="G867" s="350">
        <v>141349510.70275819</v>
      </c>
      <c r="H867" s="348">
        <v>695894164.27166736</v>
      </c>
      <c r="I867" s="369"/>
      <c r="J867" s="350">
        <v>176287110.3279579</v>
      </c>
      <c r="K867" s="350">
        <v>217479497.45202547</v>
      </c>
      <c r="L867" s="350">
        <v>259230898.49867642</v>
      </c>
      <c r="M867" s="350">
        <v>301607399.49336296</v>
      </c>
      <c r="N867" s="350">
        <v>344619380.87637705</v>
      </c>
      <c r="O867" s="348">
        <v>1299224286.6483998</v>
      </c>
      <c r="P867" s="369"/>
      <c r="Q867" s="350">
        <f t="shared" si="357"/>
        <v>39301610.19125852</v>
      </c>
      <c r="R867" s="350">
        <f t="shared" si="358"/>
        <v>79370442.178431004</v>
      </c>
      <c r="S867" s="350">
        <f t="shared" si="359"/>
        <v>120045366.68926027</v>
      </c>
      <c r="T867" s="350">
        <f t="shared" si="360"/>
        <v>161342833.14416376</v>
      </c>
      <c r="U867" s="350">
        <f t="shared" si="361"/>
        <v>203269870.17361885</v>
      </c>
      <c r="V867" s="350">
        <f t="shared" si="362"/>
        <v>603330122.37673247</v>
      </c>
      <c r="W867" s="365"/>
      <c r="X867" s="377">
        <f t="shared" si="340"/>
        <v>0</v>
      </c>
      <c r="Y867" s="377">
        <f t="shared" si="341"/>
        <v>0</v>
      </c>
      <c r="Z867" s="377">
        <f t="shared" si="342"/>
        <v>0</v>
      </c>
      <c r="AA867" s="377">
        <f t="shared" si="343"/>
        <v>0</v>
      </c>
      <c r="AB867" s="377">
        <f t="shared" si="344"/>
        <v>0</v>
      </c>
      <c r="AC867" s="377">
        <f t="shared" si="345"/>
        <v>0</v>
      </c>
      <c r="AD867" s="376"/>
      <c r="AE867" s="332">
        <v>852</v>
      </c>
      <c r="AF867" s="350">
        <v>146237632.53179571</v>
      </c>
      <c r="AG867" s="350">
        <v>147437073.6629703</v>
      </c>
      <c r="AH867" s="350">
        <v>148586256.45908743</v>
      </c>
      <c r="AI867" s="350">
        <v>149738170.02921301</v>
      </c>
      <c r="AJ867" s="350">
        <v>150896392.56761947</v>
      </c>
      <c r="AK867" s="348">
        <v>742895525.25068593</v>
      </c>
      <c r="AL867" s="369"/>
      <c r="AM867" s="350">
        <v>186752035.29252172</v>
      </c>
      <c r="AN867" s="350">
        <v>229253348.03047982</v>
      </c>
      <c r="AO867" s="350">
        <v>272329144.67861617</v>
      </c>
      <c r="AP867" s="350">
        <v>316049371.18196243</v>
      </c>
      <c r="AQ867" s="350">
        <v>360424850.73563874</v>
      </c>
      <c r="AR867" s="348">
        <v>1364808749.919219</v>
      </c>
      <c r="AS867" s="369"/>
      <c r="AT867" s="350">
        <f t="shared" si="363"/>
        <v>40514402.760726005</v>
      </c>
      <c r="AU867" s="350">
        <f t="shared" si="346"/>
        <v>81816274.367509514</v>
      </c>
      <c r="AV867" s="350">
        <f t="shared" si="347"/>
        <v>123742888.21952873</v>
      </c>
      <c r="AW867" s="350">
        <f t="shared" si="348"/>
        <v>166311201.15274942</v>
      </c>
      <c r="AX867" s="350">
        <f t="shared" si="349"/>
        <v>209528458.16801926</v>
      </c>
      <c r="AY867" s="350">
        <f t="shared" si="350"/>
        <v>621913224.66853309</v>
      </c>
      <c r="AZ867" s="365"/>
      <c r="BA867" s="377">
        <f t="shared" si="351"/>
        <v>0</v>
      </c>
      <c r="BB867" s="377">
        <f t="shared" si="352"/>
        <v>0</v>
      </c>
      <c r="BC867" s="377">
        <f t="shared" si="353"/>
        <v>0</v>
      </c>
      <c r="BD867" s="377">
        <f t="shared" si="354"/>
        <v>0</v>
      </c>
      <c r="BE867" s="377">
        <f t="shared" si="355"/>
        <v>0</v>
      </c>
      <c r="BF867" s="377">
        <f t="shared" si="356"/>
        <v>0</v>
      </c>
      <c r="BG867" s="328"/>
    </row>
    <row r="868" spans="2:59">
      <c r="B868" s="332">
        <v>853</v>
      </c>
      <c r="C868" s="350">
        <v>118421585.36063355</v>
      </c>
      <c r="D868" s="350">
        <v>119392879.25975735</v>
      </c>
      <c r="E868" s="350">
        <v>120323474.52603239</v>
      </c>
      <c r="F868" s="350">
        <v>121256281.14229813</v>
      </c>
      <c r="G868" s="350">
        <v>122194196.68991679</v>
      </c>
      <c r="H868" s="348">
        <v>601588416.97863817</v>
      </c>
      <c r="I868" s="369"/>
      <c r="J868" s="350">
        <v>153120857.76998699</v>
      </c>
      <c r="K868" s="350">
        <v>189470743.99446654</v>
      </c>
      <c r="L868" s="350">
        <v>226315079.11184251</v>
      </c>
      <c r="M868" s="350">
        <v>263711296.35625234</v>
      </c>
      <c r="N868" s="350">
        <v>301668499.16203332</v>
      </c>
      <c r="O868" s="348">
        <v>1134286476.3945818</v>
      </c>
      <c r="P868" s="369"/>
      <c r="Q868" s="350">
        <f t="shared" si="357"/>
        <v>34699272.409353435</v>
      </c>
      <c r="R868" s="350">
        <f t="shared" si="358"/>
        <v>70077864.734709188</v>
      </c>
      <c r="S868" s="350">
        <f t="shared" si="359"/>
        <v>105991604.58581012</v>
      </c>
      <c r="T868" s="350">
        <f t="shared" si="360"/>
        <v>142455015.21395421</v>
      </c>
      <c r="U868" s="350">
        <f t="shared" si="361"/>
        <v>179474302.47211653</v>
      </c>
      <c r="V868" s="350">
        <f t="shared" si="362"/>
        <v>532698059.41594362</v>
      </c>
      <c r="W868" s="365"/>
      <c r="X868" s="377">
        <f t="shared" si="340"/>
        <v>0</v>
      </c>
      <c r="Y868" s="377">
        <f t="shared" si="341"/>
        <v>0</v>
      </c>
      <c r="Z868" s="377">
        <f t="shared" si="342"/>
        <v>0</v>
      </c>
      <c r="AA868" s="377">
        <f t="shared" si="343"/>
        <v>0</v>
      </c>
      <c r="AB868" s="377">
        <f t="shared" si="344"/>
        <v>0</v>
      </c>
      <c r="AC868" s="377">
        <f t="shared" si="345"/>
        <v>0</v>
      </c>
      <c r="AD868" s="376"/>
      <c r="AE868" s="332">
        <v>853</v>
      </c>
      <c r="AF868" s="350">
        <v>120790710.38073415</v>
      </c>
      <c r="AG868" s="350">
        <v>121781435.84439307</v>
      </c>
      <c r="AH868" s="350">
        <v>122730648.46427134</v>
      </c>
      <c r="AI868" s="350">
        <v>123682116.67408684</v>
      </c>
      <c r="AJ868" s="350">
        <v>124638796.02379304</v>
      </c>
      <c r="AK868" s="348">
        <v>613623707.38727832</v>
      </c>
      <c r="AL868" s="369"/>
      <c r="AM868" s="350">
        <v>149678885.56857121</v>
      </c>
      <c r="AN868" s="350">
        <v>180133573.25912836</v>
      </c>
      <c r="AO868" s="350">
        <v>210992433.84069517</v>
      </c>
      <c r="AP868" s="350">
        <v>242311327.35377407</v>
      </c>
      <c r="AQ868" s="350">
        <v>274098377.46728516</v>
      </c>
      <c r="AR868" s="348">
        <v>1057214597.4894539</v>
      </c>
      <c r="AS868" s="369"/>
      <c r="AT868" s="350">
        <f t="shared" si="363"/>
        <v>28888175.187837064</v>
      </c>
      <c r="AU868" s="350">
        <f t="shared" si="346"/>
        <v>58352137.414735287</v>
      </c>
      <c r="AV868" s="350">
        <f t="shared" si="347"/>
        <v>88261785.376423836</v>
      </c>
      <c r="AW868" s="350">
        <f t="shared" si="348"/>
        <v>118629210.67968723</v>
      </c>
      <c r="AX868" s="350">
        <f t="shared" si="349"/>
        <v>149459581.44349211</v>
      </c>
      <c r="AY868" s="350">
        <f t="shared" si="350"/>
        <v>443590890.10217559</v>
      </c>
      <c r="AZ868" s="365"/>
      <c r="BA868" s="377">
        <f t="shared" si="351"/>
        <v>0</v>
      </c>
      <c r="BB868" s="377">
        <f t="shared" si="352"/>
        <v>0</v>
      </c>
      <c r="BC868" s="377">
        <f t="shared" si="353"/>
        <v>0</v>
      </c>
      <c r="BD868" s="377">
        <f t="shared" si="354"/>
        <v>0</v>
      </c>
      <c r="BE868" s="377">
        <f t="shared" si="355"/>
        <v>0</v>
      </c>
      <c r="BF868" s="377">
        <f t="shared" si="356"/>
        <v>0</v>
      </c>
      <c r="BG868" s="328"/>
    </row>
    <row r="869" spans="2:59">
      <c r="B869" s="332">
        <v>854</v>
      </c>
      <c r="C869" s="350">
        <v>112283248.27044317</v>
      </c>
      <c r="D869" s="350">
        <v>113204195.52585073</v>
      </c>
      <c r="E869" s="350">
        <v>114086553.74630731</v>
      </c>
      <c r="F869" s="350">
        <v>114971008.69228289</v>
      </c>
      <c r="G869" s="350">
        <v>115860307.75013001</v>
      </c>
      <c r="H869" s="348">
        <v>570405313.9850142</v>
      </c>
      <c r="I869" s="369"/>
      <c r="J869" s="350">
        <v>144491460.77614704</v>
      </c>
      <c r="K869" s="350">
        <v>178255319.53709495</v>
      </c>
      <c r="L869" s="350">
        <v>212477383.21489692</v>
      </c>
      <c r="M869" s="350">
        <v>247211818.42792344</v>
      </c>
      <c r="N869" s="350">
        <v>282467133.53054565</v>
      </c>
      <c r="O869" s="348">
        <v>1064903115.486608</v>
      </c>
      <c r="P869" s="369"/>
      <c r="Q869" s="350">
        <f t="shared" si="357"/>
        <v>32208212.505703866</v>
      </c>
      <c r="R869" s="350">
        <f t="shared" si="358"/>
        <v>65051124.011244223</v>
      </c>
      <c r="S869" s="350">
        <f t="shared" si="359"/>
        <v>98390829.468589604</v>
      </c>
      <c r="T869" s="350">
        <f t="shared" si="360"/>
        <v>132240809.73564056</v>
      </c>
      <c r="U869" s="350">
        <f t="shared" si="361"/>
        <v>166606825.78041565</v>
      </c>
      <c r="V869" s="350">
        <f t="shared" si="362"/>
        <v>494497801.50159383</v>
      </c>
      <c r="W869" s="365"/>
      <c r="X869" s="377">
        <f t="shared" si="340"/>
        <v>0</v>
      </c>
      <c r="Y869" s="377">
        <f t="shared" si="341"/>
        <v>0</v>
      </c>
      <c r="Z869" s="377">
        <f t="shared" si="342"/>
        <v>0</v>
      </c>
      <c r="AA869" s="377">
        <f t="shared" si="343"/>
        <v>0</v>
      </c>
      <c r="AB869" s="377">
        <f t="shared" si="344"/>
        <v>0</v>
      </c>
      <c r="AC869" s="377">
        <f t="shared" si="345"/>
        <v>0</v>
      </c>
      <c r="AD869" s="376"/>
      <c r="AE869" s="332">
        <v>854</v>
      </c>
      <c r="AF869" s="350">
        <v>138520973.07023561</v>
      </c>
      <c r="AG869" s="350">
        <v>139657122.15685761</v>
      </c>
      <c r="AH869" s="350">
        <v>140745664.9375205</v>
      </c>
      <c r="AI869" s="350">
        <v>141836794.39485714</v>
      </c>
      <c r="AJ869" s="350">
        <v>142933899.90917856</v>
      </c>
      <c r="AK869" s="348">
        <v>703694454.46864939</v>
      </c>
      <c r="AL869" s="369"/>
      <c r="AM869" s="350">
        <v>173479625.60562816</v>
      </c>
      <c r="AN869" s="350">
        <v>210262712.26578367</v>
      </c>
      <c r="AO869" s="350">
        <v>247537401.01664591</v>
      </c>
      <c r="AP869" s="350">
        <v>285368516.87072057</v>
      </c>
      <c r="AQ869" s="350">
        <v>323765702.04393494</v>
      </c>
      <c r="AR869" s="348">
        <v>1240413957.8027134</v>
      </c>
      <c r="AS869" s="369"/>
      <c r="AT869" s="350">
        <f t="shared" si="363"/>
        <v>34958652.535392553</v>
      </c>
      <c r="AU869" s="350">
        <f t="shared" si="346"/>
        <v>70605590.108926058</v>
      </c>
      <c r="AV869" s="350">
        <f t="shared" si="347"/>
        <v>106791736.0791254</v>
      </c>
      <c r="AW869" s="350">
        <f t="shared" si="348"/>
        <v>143531722.47586343</v>
      </c>
      <c r="AX869" s="350">
        <f t="shared" si="349"/>
        <v>180831802.13475639</v>
      </c>
      <c r="AY869" s="350">
        <f t="shared" si="350"/>
        <v>536719503.33406401</v>
      </c>
      <c r="AZ869" s="365"/>
      <c r="BA869" s="377">
        <f t="shared" si="351"/>
        <v>0</v>
      </c>
      <c r="BB869" s="377">
        <f t="shared" si="352"/>
        <v>0</v>
      </c>
      <c r="BC869" s="377">
        <f t="shared" si="353"/>
        <v>0</v>
      </c>
      <c r="BD869" s="377">
        <f t="shared" si="354"/>
        <v>0</v>
      </c>
      <c r="BE869" s="377">
        <f t="shared" si="355"/>
        <v>0</v>
      </c>
      <c r="BF869" s="377">
        <f t="shared" si="356"/>
        <v>0</v>
      </c>
      <c r="BG869" s="328"/>
    </row>
    <row r="870" spans="2:59">
      <c r="B870" s="332">
        <v>855</v>
      </c>
      <c r="C870" s="350">
        <v>128567180.25268897</v>
      </c>
      <c r="D870" s="350">
        <v>129621688.32591477</v>
      </c>
      <c r="E870" s="350">
        <v>130632010.97087109</v>
      </c>
      <c r="F870" s="350">
        <v>131644734.41997141</v>
      </c>
      <c r="G870" s="350">
        <v>132663004.50059275</v>
      </c>
      <c r="H870" s="348">
        <v>653128618.47003901</v>
      </c>
      <c r="I870" s="369"/>
      <c r="J870" s="350">
        <v>164542899.41890305</v>
      </c>
      <c r="K870" s="350">
        <v>202251626.99214149</v>
      </c>
      <c r="L870" s="350">
        <v>240470600.25770915</v>
      </c>
      <c r="M870" s="350">
        <v>279261461.51728058</v>
      </c>
      <c r="N870" s="350">
        <v>318633786.80005002</v>
      </c>
      <c r="O870" s="348">
        <v>1205160374.9860842</v>
      </c>
      <c r="P870" s="369"/>
      <c r="Q870" s="350">
        <f t="shared" si="357"/>
        <v>35975719.166214079</v>
      </c>
      <c r="R870" s="350">
        <f t="shared" si="358"/>
        <v>72629938.666226715</v>
      </c>
      <c r="S870" s="350">
        <f t="shared" si="359"/>
        <v>109838589.28683805</v>
      </c>
      <c r="T870" s="350">
        <f t="shared" si="360"/>
        <v>147616727.09730917</v>
      </c>
      <c r="U870" s="350">
        <f t="shared" si="361"/>
        <v>185970782.29945725</v>
      </c>
      <c r="V870" s="350">
        <f t="shared" si="362"/>
        <v>552031756.51604521</v>
      </c>
      <c r="W870" s="365"/>
      <c r="X870" s="377">
        <f t="shared" si="340"/>
        <v>0</v>
      </c>
      <c r="Y870" s="377">
        <f t="shared" si="341"/>
        <v>0</v>
      </c>
      <c r="Z870" s="377">
        <f t="shared" si="342"/>
        <v>0</v>
      </c>
      <c r="AA870" s="377">
        <f t="shared" si="343"/>
        <v>0</v>
      </c>
      <c r="AB870" s="377">
        <f t="shared" si="344"/>
        <v>0</v>
      </c>
      <c r="AC870" s="377">
        <f t="shared" si="345"/>
        <v>0</v>
      </c>
      <c r="AD870" s="376"/>
      <c r="AE870" s="332">
        <v>855</v>
      </c>
      <c r="AF870" s="350">
        <v>137087313.23401412</v>
      </c>
      <c r="AG870" s="350">
        <v>138211703.44198155</v>
      </c>
      <c r="AH870" s="350">
        <v>139288980.0581781</v>
      </c>
      <c r="AI870" s="350">
        <v>140368816.57954675</v>
      </c>
      <c r="AJ870" s="350">
        <v>141454567.3071011</v>
      </c>
      <c r="AK870" s="348">
        <v>696411380.6208216</v>
      </c>
      <c r="AL870" s="369"/>
      <c r="AM870" s="350">
        <v>175690522.36790526</v>
      </c>
      <c r="AN870" s="350">
        <v>216168858.60751468</v>
      </c>
      <c r="AO870" s="350">
        <v>257195358.89249948</v>
      </c>
      <c r="AP870" s="350">
        <v>298835853.67080563</v>
      </c>
      <c r="AQ870" s="350">
        <v>341100600.53790981</v>
      </c>
      <c r="AR870" s="348">
        <v>1288991194.0766349</v>
      </c>
      <c r="AS870" s="369"/>
      <c r="AT870" s="350">
        <f t="shared" si="363"/>
        <v>38603209.133891135</v>
      </c>
      <c r="AU870" s="350">
        <f t="shared" si="346"/>
        <v>77957155.165533125</v>
      </c>
      <c r="AV870" s="350">
        <f t="shared" si="347"/>
        <v>117906378.83432138</v>
      </c>
      <c r="AW870" s="350">
        <f t="shared" si="348"/>
        <v>158467037.09125888</v>
      </c>
      <c r="AX870" s="350">
        <f t="shared" si="349"/>
        <v>199646033.23080871</v>
      </c>
      <c r="AY870" s="350">
        <f t="shared" si="350"/>
        <v>592579813.45581329</v>
      </c>
      <c r="AZ870" s="365"/>
      <c r="BA870" s="377">
        <f t="shared" si="351"/>
        <v>0</v>
      </c>
      <c r="BB870" s="377">
        <f t="shared" si="352"/>
        <v>0</v>
      </c>
      <c r="BC870" s="377">
        <f t="shared" si="353"/>
        <v>0</v>
      </c>
      <c r="BD870" s="377">
        <f t="shared" si="354"/>
        <v>0</v>
      </c>
      <c r="BE870" s="377">
        <f t="shared" si="355"/>
        <v>0</v>
      </c>
      <c r="BF870" s="377">
        <f t="shared" si="356"/>
        <v>0</v>
      </c>
      <c r="BG870" s="328"/>
    </row>
    <row r="871" spans="2:59">
      <c r="B871" s="332">
        <v>856</v>
      </c>
      <c r="C871" s="350">
        <v>114798921.72726309</v>
      </c>
      <c r="D871" s="350">
        <v>115740502.53755301</v>
      </c>
      <c r="E871" s="350">
        <v>116642629.73680919</v>
      </c>
      <c r="F871" s="350">
        <v>117546900.63810864</v>
      </c>
      <c r="G871" s="350">
        <v>118456124.18219444</v>
      </c>
      <c r="H871" s="348">
        <v>583185078.82192838</v>
      </c>
      <c r="I871" s="369"/>
      <c r="J871" s="350">
        <v>144797654.89155039</v>
      </c>
      <c r="K871" s="350">
        <v>176322060.72118449</v>
      </c>
      <c r="L871" s="350">
        <v>208269616.72475788</v>
      </c>
      <c r="M871" s="350">
        <v>240694475.89541554</v>
      </c>
      <c r="N871" s="350">
        <v>273604811.86153293</v>
      </c>
      <c r="O871" s="348">
        <v>1043688620.0944413</v>
      </c>
      <c r="P871" s="369"/>
      <c r="Q871" s="350">
        <f t="shared" si="357"/>
        <v>29998733.164287299</v>
      </c>
      <c r="R871" s="350">
        <f t="shared" si="358"/>
        <v>60581558.18363148</v>
      </c>
      <c r="S871" s="350">
        <f t="shared" si="359"/>
        <v>91626986.987948686</v>
      </c>
      <c r="T871" s="350">
        <f t="shared" si="360"/>
        <v>123147575.2573069</v>
      </c>
      <c r="U871" s="350">
        <f t="shared" si="361"/>
        <v>155148687.67933849</v>
      </c>
      <c r="V871" s="350">
        <f t="shared" si="362"/>
        <v>460503541.27251291</v>
      </c>
      <c r="W871" s="365"/>
      <c r="X871" s="377">
        <f t="shared" si="340"/>
        <v>0</v>
      </c>
      <c r="Y871" s="377">
        <f t="shared" si="341"/>
        <v>0</v>
      </c>
      <c r="Z871" s="377">
        <f t="shared" si="342"/>
        <v>0</v>
      </c>
      <c r="AA871" s="377">
        <f t="shared" si="343"/>
        <v>0</v>
      </c>
      <c r="AB871" s="377">
        <f t="shared" si="344"/>
        <v>0</v>
      </c>
      <c r="AC871" s="377">
        <f t="shared" si="345"/>
        <v>0</v>
      </c>
      <c r="AD871" s="376"/>
      <c r="AE871" s="332">
        <v>856</v>
      </c>
      <c r="AF871" s="350">
        <v>132942107.59687182</v>
      </c>
      <c r="AG871" s="350">
        <v>134032498.82624331</v>
      </c>
      <c r="AH871" s="350">
        <v>135077201.07069916</v>
      </c>
      <c r="AI871" s="350">
        <v>136124385.81467155</v>
      </c>
      <c r="AJ871" s="350">
        <v>137177305.93281195</v>
      </c>
      <c r="AK871" s="348">
        <v>675353499.24129784</v>
      </c>
      <c r="AL871" s="369"/>
      <c r="AM871" s="350">
        <v>169166386.87761125</v>
      </c>
      <c r="AN871" s="350">
        <v>207179406.7309199</v>
      </c>
      <c r="AO871" s="350">
        <v>245705235.68859276</v>
      </c>
      <c r="AP871" s="350">
        <v>284807206.17075437</v>
      </c>
      <c r="AQ871" s="350">
        <v>324495047.99506319</v>
      </c>
      <c r="AR871" s="348">
        <v>1231353283.4629416</v>
      </c>
      <c r="AS871" s="369"/>
      <c r="AT871" s="350">
        <f t="shared" si="363"/>
        <v>36224279.280739427</v>
      </c>
      <c r="AU871" s="350">
        <f t="shared" si="346"/>
        <v>73146907.904676586</v>
      </c>
      <c r="AV871" s="350">
        <f t="shared" si="347"/>
        <v>110628034.61789361</v>
      </c>
      <c r="AW871" s="350">
        <f t="shared" si="348"/>
        <v>148682820.35608283</v>
      </c>
      <c r="AX871" s="350">
        <f t="shared" si="349"/>
        <v>187317742.06225124</v>
      </c>
      <c r="AY871" s="350">
        <f t="shared" si="350"/>
        <v>555999784.22164381</v>
      </c>
      <c r="AZ871" s="365"/>
      <c r="BA871" s="377">
        <f t="shared" si="351"/>
        <v>0</v>
      </c>
      <c r="BB871" s="377">
        <f t="shared" si="352"/>
        <v>0</v>
      </c>
      <c r="BC871" s="377">
        <f t="shared" si="353"/>
        <v>0</v>
      </c>
      <c r="BD871" s="377">
        <f t="shared" si="354"/>
        <v>0</v>
      </c>
      <c r="BE871" s="377">
        <f t="shared" si="355"/>
        <v>0</v>
      </c>
      <c r="BF871" s="377">
        <f t="shared" si="356"/>
        <v>0</v>
      </c>
      <c r="BG871" s="328"/>
    </row>
    <row r="872" spans="2:59">
      <c r="B872" s="332">
        <v>857</v>
      </c>
      <c r="C872" s="350">
        <v>150869047.00498918</v>
      </c>
      <c r="D872" s="350">
        <v>152106474.99986285</v>
      </c>
      <c r="E872" s="350">
        <v>153292052.9546141</v>
      </c>
      <c r="F872" s="350">
        <v>154480448.16826874</v>
      </c>
      <c r="G872" s="350">
        <v>155675352.15819135</v>
      </c>
      <c r="H872" s="348">
        <v>766423375.28592622</v>
      </c>
      <c r="I872" s="369"/>
      <c r="J872" s="350">
        <v>194918952.21498236</v>
      </c>
      <c r="K872" s="350">
        <v>241075628.22006521</v>
      </c>
      <c r="L872" s="350">
        <v>287859919.83831125</v>
      </c>
      <c r="M872" s="350">
        <v>335344931.67945081</v>
      </c>
      <c r="N872" s="350">
        <v>383542234.50707805</v>
      </c>
      <c r="O872" s="348">
        <v>1442741666.4598875</v>
      </c>
      <c r="P872" s="369"/>
      <c r="Q872" s="350">
        <f t="shared" si="357"/>
        <v>44049905.209993184</v>
      </c>
      <c r="R872" s="350">
        <f t="shared" si="358"/>
        <v>88969153.220202357</v>
      </c>
      <c r="S872" s="350">
        <f t="shared" si="359"/>
        <v>134567866.88369715</v>
      </c>
      <c r="T872" s="350">
        <f t="shared" si="360"/>
        <v>180864483.51118207</v>
      </c>
      <c r="U872" s="350">
        <f t="shared" si="361"/>
        <v>227866882.3488867</v>
      </c>
      <c r="V872" s="350">
        <f t="shared" si="362"/>
        <v>676318291.17396128</v>
      </c>
      <c r="W872" s="365"/>
      <c r="X872" s="377">
        <f t="shared" si="340"/>
        <v>0</v>
      </c>
      <c r="Y872" s="377">
        <f t="shared" si="341"/>
        <v>0</v>
      </c>
      <c r="Z872" s="377">
        <f t="shared" si="342"/>
        <v>0</v>
      </c>
      <c r="AA872" s="377">
        <f t="shared" si="343"/>
        <v>0</v>
      </c>
      <c r="AB872" s="377">
        <f t="shared" si="344"/>
        <v>0</v>
      </c>
      <c r="AC872" s="377">
        <f t="shared" si="345"/>
        <v>0</v>
      </c>
      <c r="AD872" s="376"/>
      <c r="AE872" s="332">
        <v>857</v>
      </c>
      <c r="AF872" s="350">
        <v>124554487.49822557</v>
      </c>
      <c r="AG872" s="350">
        <v>125576083.46358187</v>
      </c>
      <c r="AH872" s="350">
        <v>126554873.06605315</v>
      </c>
      <c r="AI872" s="350">
        <v>127535988.54149726</v>
      </c>
      <c r="AJ872" s="350">
        <v>128522477.53330135</v>
      </c>
      <c r="AK872" s="348">
        <v>632743910.10265923</v>
      </c>
      <c r="AL872" s="369"/>
      <c r="AM872" s="350">
        <v>154841358.09431863</v>
      </c>
      <c r="AN872" s="350">
        <v>186768409.55776486</v>
      </c>
      <c r="AO872" s="350">
        <v>219120151.99520588</v>
      </c>
      <c r="AP872" s="350">
        <v>251954395.52457914</v>
      </c>
      <c r="AQ872" s="350">
        <v>285279608.41339558</v>
      </c>
      <c r="AR872" s="348">
        <v>1097963923.5852642</v>
      </c>
      <c r="AS872" s="369"/>
      <c r="AT872" s="350">
        <f t="shared" si="363"/>
        <v>30286870.596093059</v>
      </c>
      <c r="AU872" s="350">
        <f t="shared" si="346"/>
        <v>61192326.094182983</v>
      </c>
      <c r="AV872" s="350">
        <f t="shared" si="347"/>
        <v>92565278.929152727</v>
      </c>
      <c r="AW872" s="350">
        <f t="shared" si="348"/>
        <v>124418406.98308188</v>
      </c>
      <c r="AX872" s="350">
        <f t="shared" si="349"/>
        <v>156757130.88009423</v>
      </c>
      <c r="AY872" s="350">
        <f t="shared" si="350"/>
        <v>465220013.48260498</v>
      </c>
      <c r="AZ872" s="365"/>
      <c r="BA872" s="377">
        <f t="shared" si="351"/>
        <v>0</v>
      </c>
      <c r="BB872" s="377">
        <f t="shared" si="352"/>
        <v>0</v>
      </c>
      <c r="BC872" s="377">
        <f t="shared" si="353"/>
        <v>0</v>
      </c>
      <c r="BD872" s="377">
        <f t="shared" si="354"/>
        <v>0</v>
      </c>
      <c r="BE872" s="377">
        <f t="shared" si="355"/>
        <v>0</v>
      </c>
      <c r="BF872" s="377">
        <f t="shared" si="356"/>
        <v>0</v>
      </c>
      <c r="BG872" s="328"/>
    </row>
    <row r="873" spans="2:59">
      <c r="B873" s="332">
        <v>858</v>
      </c>
      <c r="C873" s="350">
        <v>147138596.27121374</v>
      </c>
      <c r="D873" s="350">
        <v>148345427.10740507</v>
      </c>
      <c r="E873" s="350">
        <v>149501689.96910676</v>
      </c>
      <c r="F873" s="350">
        <v>150660700.42899773</v>
      </c>
      <c r="G873" s="350">
        <v>151826058.72645068</v>
      </c>
      <c r="H873" s="348">
        <v>747472472.50317407</v>
      </c>
      <c r="I873" s="369"/>
      <c r="J873" s="350">
        <v>187618767.1551832</v>
      </c>
      <c r="K873" s="350">
        <v>230101522.15254241</v>
      </c>
      <c r="L873" s="350">
        <v>273158063.07289481</v>
      </c>
      <c r="M873" s="350">
        <v>316858648.49482167</v>
      </c>
      <c r="N873" s="350">
        <v>361214118.90313148</v>
      </c>
      <c r="O873" s="348">
        <v>1368951119.7785735</v>
      </c>
      <c r="P873" s="369"/>
      <c r="Q873" s="350">
        <f t="shared" si="357"/>
        <v>40480170.883969456</v>
      </c>
      <c r="R873" s="350">
        <f t="shared" si="358"/>
        <v>81756095.045137346</v>
      </c>
      <c r="S873" s="350">
        <f t="shared" si="359"/>
        <v>123656373.10378805</v>
      </c>
      <c r="T873" s="350">
        <f t="shared" si="360"/>
        <v>166197948.06582394</v>
      </c>
      <c r="U873" s="350">
        <f t="shared" si="361"/>
        <v>209388060.1766808</v>
      </c>
      <c r="V873" s="350">
        <f t="shared" si="362"/>
        <v>621478647.27539945</v>
      </c>
      <c r="W873" s="365"/>
      <c r="X873" s="377">
        <f t="shared" si="340"/>
        <v>0</v>
      </c>
      <c r="Y873" s="377">
        <f t="shared" si="341"/>
        <v>0</v>
      </c>
      <c r="Z873" s="377">
        <f t="shared" si="342"/>
        <v>0</v>
      </c>
      <c r="AA873" s="377">
        <f t="shared" si="343"/>
        <v>0</v>
      </c>
      <c r="AB873" s="377">
        <f t="shared" si="344"/>
        <v>0</v>
      </c>
      <c r="AC873" s="377">
        <f t="shared" si="345"/>
        <v>0</v>
      </c>
      <c r="AD873" s="376"/>
      <c r="AE873" s="332">
        <v>858</v>
      </c>
      <c r="AF873" s="350">
        <v>108932500.96463846</v>
      </c>
      <c r="AG873" s="350">
        <v>109825965.38905942</v>
      </c>
      <c r="AH873" s="350">
        <v>110681992.34928358</v>
      </c>
      <c r="AI873" s="350">
        <v>111540053.46471915</v>
      </c>
      <c r="AJ873" s="350">
        <v>112402814.1344448</v>
      </c>
      <c r="AK873" s="348">
        <v>553383326.30214548</v>
      </c>
      <c r="AL873" s="369"/>
      <c r="AM873" s="350">
        <v>138287100.38087016</v>
      </c>
      <c r="AN873" s="350">
        <v>169123258.29749864</v>
      </c>
      <c r="AO873" s="350">
        <v>200374907.39054576</v>
      </c>
      <c r="AP873" s="350">
        <v>232093806.28278559</v>
      </c>
      <c r="AQ873" s="350">
        <v>264287872.39547539</v>
      </c>
      <c r="AR873" s="348">
        <v>1004166944.7471755</v>
      </c>
      <c r="AS873" s="369"/>
      <c r="AT873" s="350">
        <f t="shared" si="363"/>
        <v>29354599.416231707</v>
      </c>
      <c r="AU873" s="350">
        <f t="shared" si="346"/>
        <v>59297292.908439219</v>
      </c>
      <c r="AV873" s="350">
        <f t="shared" si="347"/>
        <v>89692915.04126218</v>
      </c>
      <c r="AW873" s="350">
        <f t="shared" si="348"/>
        <v>120553752.81806645</v>
      </c>
      <c r="AX873" s="350">
        <f t="shared" si="349"/>
        <v>151885058.26103058</v>
      </c>
      <c r="AY873" s="350">
        <f t="shared" si="350"/>
        <v>450783618.44502997</v>
      </c>
      <c r="AZ873" s="365"/>
      <c r="BA873" s="377">
        <f t="shared" si="351"/>
        <v>0</v>
      </c>
      <c r="BB873" s="377">
        <f t="shared" si="352"/>
        <v>0</v>
      </c>
      <c r="BC873" s="377">
        <f t="shared" si="353"/>
        <v>0</v>
      </c>
      <c r="BD873" s="377">
        <f t="shared" si="354"/>
        <v>0</v>
      </c>
      <c r="BE873" s="377">
        <f t="shared" si="355"/>
        <v>0</v>
      </c>
      <c r="BF873" s="377">
        <f t="shared" si="356"/>
        <v>0</v>
      </c>
      <c r="BG873" s="328"/>
    </row>
    <row r="874" spans="2:59">
      <c r="B874" s="332">
        <v>859</v>
      </c>
      <c r="C874" s="350">
        <v>143491415.88258764</v>
      </c>
      <c r="D874" s="350">
        <v>144668332.54350683</v>
      </c>
      <c r="E874" s="350">
        <v>145795934.67756698</v>
      </c>
      <c r="F874" s="350">
        <v>146926216.30405429</v>
      </c>
      <c r="G874" s="350">
        <v>148062688.42183787</v>
      </c>
      <c r="H874" s="348">
        <v>728944587.8295536</v>
      </c>
      <c r="I874" s="369"/>
      <c r="J874" s="350">
        <v>180215562.1921851</v>
      </c>
      <c r="K874" s="350">
        <v>218862562.14228117</v>
      </c>
      <c r="L874" s="350">
        <v>258027044.10582602</v>
      </c>
      <c r="M874" s="350">
        <v>297776374.355721</v>
      </c>
      <c r="N874" s="350">
        <v>338120636.00355715</v>
      </c>
      <c r="O874" s="348">
        <v>1293002178.7995706</v>
      </c>
      <c r="P874" s="369"/>
      <c r="Q874" s="350">
        <f t="shared" si="357"/>
        <v>36724146.309597462</v>
      </c>
      <c r="R874" s="350">
        <f t="shared" si="358"/>
        <v>74194229.598774344</v>
      </c>
      <c r="S874" s="350">
        <f t="shared" si="359"/>
        <v>112231109.42825904</v>
      </c>
      <c r="T874" s="350">
        <f t="shared" si="360"/>
        <v>150850158.05166671</v>
      </c>
      <c r="U874" s="350">
        <f t="shared" si="361"/>
        <v>190057947.58171928</v>
      </c>
      <c r="V874" s="350">
        <f t="shared" si="362"/>
        <v>564057590.97001696</v>
      </c>
      <c r="W874" s="365"/>
      <c r="X874" s="377">
        <f t="shared" si="340"/>
        <v>0</v>
      </c>
      <c r="Y874" s="377">
        <f t="shared" si="341"/>
        <v>0</v>
      </c>
      <c r="Z874" s="377">
        <f t="shared" si="342"/>
        <v>0</v>
      </c>
      <c r="AA874" s="377">
        <f t="shared" si="343"/>
        <v>0</v>
      </c>
      <c r="AB874" s="377">
        <f t="shared" si="344"/>
        <v>0</v>
      </c>
      <c r="AC874" s="377">
        <f t="shared" si="345"/>
        <v>0</v>
      </c>
      <c r="AD874" s="376"/>
      <c r="AE874" s="332">
        <v>859</v>
      </c>
      <c r="AF874" s="350">
        <v>109352454.16734384</v>
      </c>
      <c r="AG874" s="350">
        <v>110249363.04813196</v>
      </c>
      <c r="AH874" s="350">
        <v>111108690.13697124</v>
      </c>
      <c r="AI874" s="350">
        <v>111970059.22303407</v>
      </c>
      <c r="AJ874" s="350">
        <v>112836145.98096307</v>
      </c>
      <c r="AK874" s="348">
        <v>555516712.55644417</v>
      </c>
      <c r="AL874" s="369"/>
      <c r="AM874" s="350">
        <v>134134619.92742938</v>
      </c>
      <c r="AN874" s="350">
        <v>160327612.79237491</v>
      </c>
      <c r="AO874" s="350">
        <v>186865673.5485402</v>
      </c>
      <c r="AP874" s="350">
        <v>213798800.06575927</v>
      </c>
      <c r="AQ874" s="350">
        <v>241134104.6174134</v>
      </c>
      <c r="AR874" s="348">
        <v>936260810.95151722</v>
      </c>
      <c r="AS874" s="369"/>
      <c r="AT874" s="350">
        <f t="shared" si="363"/>
        <v>24782165.760085538</v>
      </c>
      <c r="AU874" s="350">
        <f t="shared" si="346"/>
        <v>50078249.744242951</v>
      </c>
      <c r="AV874" s="350">
        <f t="shared" si="347"/>
        <v>75756983.411568969</v>
      </c>
      <c r="AW874" s="350">
        <f t="shared" si="348"/>
        <v>101828740.8427252</v>
      </c>
      <c r="AX874" s="350">
        <f t="shared" si="349"/>
        <v>128297958.63645034</v>
      </c>
      <c r="AY874" s="350">
        <f t="shared" si="350"/>
        <v>380744098.39507306</v>
      </c>
      <c r="AZ874" s="365"/>
      <c r="BA874" s="377">
        <f t="shared" si="351"/>
        <v>0</v>
      </c>
      <c r="BB874" s="377">
        <f t="shared" si="352"/>
        <v>0</v>
      </c>
      <c r="BC874" s="377">
        <f t="shared" si="353"/>
        <v>0</v>
      </c>
      <c r="BD874" s="377">
        <f t="shared" si="354"/>
        <v>0</v>
      </c>
      <c r="BE874" s="377">
        <f t="shared" si="355"/>
        <v>0</v>
      </c>
      <c r="BF874" s="377">
        <f t="shared" si="356"/>
        <v>0</v>
      </c>
      <c r="BG874" s="328"/>
    </row>
    <row r="875" spans="2:59">
      <c r="B875" s="332">
        <v>860</v>
      </c>
      <c r="C875" s="350">
        <v>104270084.50020406</v>
      </c>
      <c r="D875" s="350">
        <v>105125307.78257906</v>
      </c>
      <c r="E875" s="350">
        <v>105944695.96045631</v>
      </c>
      <c r="F875" s="350">
        <v>106766031.22973329</v>
      </c>
      <c r="G875" s="350">
        <v>107591864.9078286</v>
      </c>
      <c r="H875" s="348">
        <v>529697984.38080132</v>
      </c>
      <c r="I875" s="369"/>
      <c r="J875" s="350">
        <v>130480363.508127</v>
      </c>
      <c r="K875" s="350">
        <v>158074246.79869926</v>
      </c>
      <c r="L875" s="350">
        <v>186036759.27729589</v>
      </c>
      <c r="M875" s="350">
        <v>214416654.20206162</v>
      </c>
      <c r="N875" s="350">
        <v>243221172.84256074</v>
      </c>
      <c r="O875" s="348">
        <v>932229196.62874448</v>
      </c>
      <c r="P875" s="369"/>
      <c r="Q875" s="350">
        <f t="shared" si="357"/>
        <v>26210279.007922947</v>
      </c>
      <c r="R875" s="350">
        <f t="shared" si="358"/>
        <v>52948939.016120195</v>
      </c>
      <c r="S875" s="350">
        <f t="shared" si="359"/>
        <v>80092063.316839576</v>
      </c>
      <c r="T875" s="350">
        <f t="shared" si="360"/>
        <v>107650622.97232834</v>
      </c>
      <c r="U875" s="350">
        <f t="shared" si="361"/>
        <v>135629307.93473214</v>
      </c>
      <c r="V875" s="350">
        <f t="shared" si="362"/>
        <v>402531212.24794316</v>
      </c>
      <c r="W875" s="365"/>
      <c r="X875" s="377">
        <f t="shared" si="340"/>
        <v>0</v>
      </c>
      <c r="Y875" s="377">
        <f t="shared" si="341"/>
        <v>0</v>
      </c>
      <c r="Z875" s="377">
        <f t="shared" si="342"/>
        <v>0</v>
      </c>
      <c r="AA875" s="377">
        <f t="shared" si="343"/>
        <v>0</v>
      </c>
      <c r="AB875" s="377">
        <f t="shared" si="344"/>
        <v>0</v>
      </c>
      <c r="AC875" s="377">
        <f t="shared" si="345"/>
        <v>0</v>
      </c>
      <c r="AD875" s="376"/>
      <c r="AE875" s="332">
        <v>860</v>
      </c>
      <c r="AF875" s="350">
        <v>158456793.84468544</v>
      </c>
      <c r="AG875" s="350">
        <v>159756456.54272622</v>
      </c>
      <c r="AH875" s="350">
        <v>161001661.47569442</v>
      </c>
      <c r="AI875" s="350">
        <v>162249825.35764599</v>
      </c>
      <c r="AJ875" s="350">
        <v>163504825.36562705</v>
      </c>
      <c r="AK875" s="348">
        <v>804969562.58637905</v>
      </c>
      <c r="AL875" s="369"/>
      <c r="AM875" s="350">
        <v>203686102.78492808</v>
      </c>
      <c r="AN875" s="350">
        <v>251134435.12300545</v>
      </c>
      <c r="AO875" s="350">
        <v>299226384.41479975</v>
      </c>
      <c r="AP875" s="350">
        <v>348038299.8163799</v>
      </c>
      <c r="AQ875" s="350">
        <v>397582152.79396582</v>
      </c>
      <c r="AR875" s="348">
        <v>1499667374.933079</v>
      </c>
      <c r="AS875" s="369"/>
      <c r="AT875" s="350">
        <f t="shared" si="363"/>
        <v>45229308.940242648</v>
      </c>
      <c r="AU875" s="350">
        <f t="shared" si="346"/>
        <v>91377978.580279231</v>
      </c>
      <c r="AV875" s="350">
        <f t="shared" si="347"/>
        <v>138224722.93910533</v>
      </c>
      <c r="AW875" s="350">
        <f t="shared" si="348"/>
        <v>185788474.45873392</v>
      </c>
      <c r="AX875" s="350">
        <f t="shared" si="349"/>
        <v>234077327.42833877</v>
      </c>
      <c r="AY875" s="350">
        <f t="shared" si="350"/>
        <v>694697812.34669995</v>
      </c>
      <c r="AZ875" s="365"/>
      <c r="BA875" s="377">
        <f t="shared" si="351"/>
        <v>0</v>
      </c>
      <c r="BB875" s="377">
        <f t="shared" si="352"/>
        <v>0</v>
      </c>
      <c r="BC875" s="377">
        <f t="shared" si="353"/>
        <v>0</v>
      </c>
      <c r="BD875" s="377">
        <f t="shared" si="354"/>
        <v>0</v>
      </c>
      <c r="BE875" s="377">
        <f t="shared" si="355"/>
        <v>0</v>
      </c>
      <c r="BF875" s="377">
        <f t="shared" si="356"/>
        <v>0</v>
      </c>
      <c r="BG875" s="328"/>
    </row>
    <row r="876" spans="2:59">
      <c r="B876" s="332">
        <v>861</v>
      </c>
      <c r="C876" s="350">
        <v>147297369.89995211</v>
      </c>
      <c r="D876" s="350">
        <v>148505502.99752143</v>
      </c>
      <c r="E876" s="350">
        <v>149663013.55394757</v>
      </c>
      <c r="F876" s="350">
        <v>150823274.67342842</v>
      </c>
      <c r="G876" s="350">
        <v>151989890.48026609</v>
      </c>
      <c r="H876" s="348">
        <v>748279051.60511565</v>
      </c>
      <c r="I876" s="369"/>
      <c r="J876" s="350">
        <v>177082041.64650735</v>
      </c>
      <c r="K876" s="350">
        <v>208708390.30063993</v>
      </c>
      <c r="L876" s="350">
        <v>240744255.07370469</v>
      </c>
      <c r="M876" s="350">
        <v>273255478.1360082</v>
      </c>
      <c r="N876" s="350">
        <v>306250998.20342511</v>
      </c>
      <c r="O876" s="348">
        <v>1206041163.3602853</v>
      </c>
      <c r="P876" s="369"/>
      <c r="Q876" s="350">
        <f t="shared" si="357"/>
        <v>29784671.746555239</v>
      </c>
      <c r="R876" s="350">
        <f t="shared" si="358"/>
        <v>60202887.303118497</v>
      </c>
      <c r="S876" s="350">
        <f t="shared" si="359"/>
        <v>91081241.519757122</v>
      </c>
      <c r="T876" s="350">
        <f t="shared" si="360"/>
        <v>122432203.46257979</v>
      </c>
      <c r="U876" s="350">
        <f t="shared" si="361"/>
        <v>154261107.72315902</v>
      </c>
      <c r="V876" s="350">
        <f t="shared" si="362"/>
        <v>457762111.75516963</v>
      </c>
      <c r="W876" s="365"/>
      <c r="X876" s="377">
        <f t="shared" si="340"/>
        <v>0</v>
      </c>
      <c r="Y876" s="377">
        <f t="shared" si="341"/>
        <v>0</v>
      </c>
      <c r="Z876" s="377">
        <f t="shared" si="342"/>
        <v>0</v>
      </c>
      <c r="AA876" s="377">
        <f t="shared" si="343"/>
        <v>0</v>
      </c>
      <c r="AB876" s="377">
        <f t="shared" si="344"/>
        <v>0</v>
      </c>
      <c r="AC876" s="377">
        <f t="shared" si="345"/>
        <v>0</v>
      </c>
      <c r="AD876" s="376"/>
      <c r="AE876" s="332">
        <v>861</v>
      </c>
      <c r="AF876" s="350">
        <v>122435335.43568352</v>
      </c>
      <c r="AG876" s="350">
        <v>123439550.11482081</v>
      </c>
      <c r="AH876" s="350">
        <v>124401686.73234928</v>
      </c>
      <c r="AI876" s="350">
        <v>125366109.65078366</v>
      </c>
      <c r="AJ876" s="350">
        <v>126335814.66134672</v>
      </c>
      <c r="AK876" s="348">
        <v>621978496.59498394</v>
      </c>
      <c r="AL876" s="369"/>
      <c r="AM876" s="350">
        <v>156958695.72754535</v>
      </c>
      <c r="AN876" s="350">
        <v>193173165.47693503</v>
      </c>
      <c r="AO876" s="350">
        <v>229878163.4650588</v>
      </c>
      <c r="AP876" s="350">
        <v>267132504.2906231</v>
      </c>
      <c r="AQ876" s="350">
        <v>304945359.81843638</v>
      </c>
      <c r="AR876" s="348">
        <v>1152087888.7785988</v>
      </c>
      <c r="AS876" s="369"/>
      <c r="AT876" s="350">
        <f t="shared" si="363"/>
        <v>34523360.291861832</v>
      </c>
      <c r="AU876" s="350">
        <f t="shared" si="346"/>
        <v>69733615.362114221</v>
      </c>
      <c r="AV876" s="350">
        <f t="shared" si="347"/>
        <v>105476476.73270953</v>
      </c>
      <c r="AW876" s="350">
        <f t="shared" si="348"/>
        <v>141766394.63983944</v>
      </c>
      <c r="AX876" s="350">
        <f t="shared" si="349"/>
        <v>178609545.15708965</v>
      </c>
      <c r="AY876" s="350">
        <f t="shared" si="350"/>
        <v>530109392.18361485</v>
      </c>
      <c r="AZ876" s="365"/>
      <c r="BA876" s="377">
        <f t="shared" si="351"/>
        <v>0</v>
      </c>
      <c r="BB876" s="377">
        <f t="shared" si="352"/>
        <v>0</v>
      </c>
      <c r="BC876" s="377">
        <f t="shared" si="353"/>
        <v>0</v>
      </c>
      <c r="BD876" s="377">
        <f t="shared" si="354"/>
        <v>0</v>
      </c>
      <c r="BE876" s="377">
        <f t="shared" si="355"/>
        <v>0</v>
      </c>
      <c r="BF876" s="377">
        <f t="shared" si="356"/>
        <v>0</v>
      </c>
      <c r="BG876" s="328"/>
    </row>
    <row r="877" spans="2:59">
      <c r="B877" s="332">
        <v>862</v>
      </c>
      <c r="C877" s="350">
        <v>140031093.44443297</v>
      </c>
      <c r="D877" s="350">
        <v>141179628.53907821</v>
      </c>
      <c r="E877" s="350">
        <v>142280038.33593959</v>
      </c>
      <c r="F877" s="350">
        <v>143383063.00876519</v>
      </c>
      <c r="G877" s="350">
        <v>144492128.88802701</v>
      </c>
      <c r="H877" s="348">
        <v>711365952.21624303</v>
      </c>
      <c r="I877" s="369"/>
      <c r="J877" s="350">
        <v>173711953.16180283</v>
      </c>
      <c r="K877" s="350">
        <v>209200549.81158674</v>
      </c>
      <c r="L877" s="350">
        <v>245160459.46844867</v>
      </c>
      <c r="M877" s="350">
        <v>281656519.29457766</v>
      </c>
      <c r="N877" s="350">
        <v>318698179.30608076</v>
      </c>
      <c r="O877" s="348">
        <v>1228427661.0424967</v>
      </c>
      <c r="P877" s="369"/>
      <c r="Q877" s="350">
        <f t="shared" si="357"/>
        <v>33680859.717369854</v>
      </c>
      <c r="R877" s="350">
        <f t="shared" si="358"/>
        <v>68020921.272508532</v>
      </c>
      <c r="S877" s="350">
        <f t="shared" si="359"/>
        <v>102880421.13250908</v>
      </c>
      <c r="T877" s="350">
        <f t="shared" si="360"/>
        <v>138273456.28581247</v>
      </c>
      <c r="U877" s="350">
        <f t="shared" si="361"/>
        <v>174206050.41805375</v>
      </c>
      <c r="V877" s="350">
        <f t="shared" si="362"/>
        <v>517061708.82625365</v>
      </c>
      <c r="W877" s="365"/>
      <c r="X877" s="377">
        <f t="shared" si="340"/>
        <v>0</v>
      </c>
      <c r="Y877" s="377">
        <f t="shared" si="341"/>
        <v>0</v>
      </c>
      <c r="Z877" s="377">
        <f t="shared" si="342"/>
        <v>0</v>
      </c>
      <c r="AA877" s="377">
        <f t="shared" si="343"/>
        <v>0</v>
      </c>
      <c r="AB877" s="377">
        <f t="shared" si="344"/>
        <v>0</v>
      </c>
      <c r="AC877" s="377">
        <f t="shared" si="345"/>
        <v>0</v>
      </c>
      <c r="AD877" s="376"/>
      <c r="AE877" s="332">
        <v>862</v>
      </c>
      <c r="AF877" s="350">
        <v>126779438.78391305</v>
      </c>
      <c r="AG877" s="350">
        <v>127819283.80076662</v>
      </c>
      <c r="AH877" s="350">
        <v>128815557.79282665</v>
      </c>
      <c r="AI877" s="350">
        <v>129814199.20557207</v>
      </c>
      <c r="AJ877" s="350">
        <v>130818310.12328759</v>
      </c>
      <c r="AK877" s="348">
        <v>644046789.70636594</v>
      </c>
      <c r="AL877" s="369"/>
      <c r="AM877" s="350">
        <v>159529419.05754197</v>
      </c>
      <c r="AN877" s="350">
        <v>193955022.37832442</v>
      </c>
      <c r="AO877" s="350">
        <v>228842055.48840952</v>
      </c>
      <c r="AP877" s="350">
        <v>264250163.9166733</v>
      </c>
      <c r="AQ877" s="350">
        <v>300188306.15456313</v>
      </c>
      <c r="AR877" s="348">
        <v>1146764966.9955122</v>
      </c>
      <c r="AS877" s="369"/>
      <c r="AT877" s="350">
        <f t="shared" si="363"/>
        <v>32749980.27362892</v>
      </c>
      <c r="AU877" s="350">
        <f t="shared" si="346"/>
        <v>66135738.577557802</v>
      </c>
      <c r="AV877" s="350">
        <f t="shared" si="347"/>
        <v>100026497.69558287</v>
      </c>
      <c r="AW877" s="350">
        <f t="shared" si="348"/>
        <v>134435964.71110123</v>
      </c>
      <c r="AX877" s="350">
        <f t="shared" si="349"/>
        <v>169369996.03127554</v>
      </c>
      <c r="AY877" s="350">
        <f t="shared" si="350"/>
        <v>502718177.2891463</v>
      </c>
      <c r="AZ877" s="365"/>
      <c r="BA877" s="377">
        <f t="shared" si="351"/>
        <v>0</v>
      </c>
      <c r="BB877" s="377">
        <f t="shared" si="352"/>
        <v>0</v>
      </c>
      <c r="BC877" s="377">
        <f t="shared" si="353"/>
        <v>0</v>
      </c>
      <c r="BD877" s="377">
        <f t="shared" si="354"/>
        <v>0</v>
      </c>
      <c r="BE877" s="377">
        <f t="shared" si="355"/>
        <v>0</v>
      </c>
      <c r="BF877" s="377">
        <f t="shared" si="356"/>
        <v>0</v>
      </c>
      <c r="BG877" s="328"/>
    </row>
    <row r="878" spans="2:59">
      <c r="B878" s="332">
        <v>863</v>
      </c>
      <c r="C878" s="350">
        <v>138181431.49122077</v>
      </c>
      <c r="D878" s="350">
        <v>139314795.65765122</v>
      </c>
      <c r="E878" s="350">
        <v>140400670.21034554</v>
      </c>
      <c r="F878" s="350">
        <v>141489125.09927103</v>
      </c>
      <c r="G878" s="350">
        <v>142583541.39671487</v>
      </c>
      <c r="H878" s="348">
        <v>701969563.85520339</v>
      </c>
      <c r="I878" s="369"/>
      <c r="J878" s="350">
        <v>168264291.70050174</v>
      </c>
      <c r="K878" s="350">
        <v>200092614.06089443</v>
      </c>
      <c r="L878" s="350">
        <v>232337758.94419345</v>
      </c>
      <c r="M878" s="350">
        <v>265062388.65613818</v>
      </c>
      <c r="N878" s="350">
        <v>298275268.0260129</v>
      </c>
      <c r="O878" s="348">
        <v>1164032321.3877406</v>
      </c>
      <c r="P878" s="369"/>
      <c r="Q878" s="350">
        <f t="shared" si="357"/>
        <v>30082860.209280968</v>
      </c>
      <c r="R878" s="350">
        <f t="shared" si="358"/>
        <v>60777818.403243214</v>
      </c>
      <c r="S878" s="350">
        <f t="shared" si="359"/>
        <v>91937088.733847916</v>
      </c>
      <c r="T878" s="350">
        <f t="shared" si="360"/>
        <v>123573263.55686715</v>
      </c>
      <c r="U878" s="350">
        <f t="shared" si="361"/>
        <v>155691726.62929803</v>
      </c>
      <c r="V878" s="350">
        <f t="shared" si="362"/>
        <v>462062757.53253722</v>
      </c>
      <c r="W878" s="365"/>
      <c r="X878" s="377">
        <f t="shared" si="340"/>
        <v>0</v>
      </c>
      <c r="Y878" s="377">
        <f t="shared" si="341"/>
        <v>0</v>
      </c>
      <c r="Z878" s="377">
        <f t="shared" si="342"/>
        <v>0</v>
      </c>
      <c r="AA878" s="377">
        <f t="shared" si="343"/>
        <v>0</v>
      </c>
      <c r="AB878" s="377">
        <f t="shared" si="344"/>
        <v>0</v>
      </c>
      <c r="AC878" s="377">
        <f t="shared" si="345"/>
        <v>0</v>
      </c>
      <c r="AD878" s="376"/>
      <c r="AE878" s="332">
        <v>863</v>
      </c>
      <c r="AF878" s="350">
        <v>118446710.66771868</v>
      </c>
      <c r="AG878" s="350">
        <v>119418210.64462307</v>
      </c>
      <c r="AH878" s="350">
        <v>120349003.35371873</v>
      </c>
      <c r="AI878" s="350">
        <v>121282007.88198352</v>
      </c>
      <c r="AJ878" s="350">
        <v>122220122.42555445</v>
      </c>
      <c r="AK878" s="348">
        <v>601716054.97359848</v>
      </c>
      <c r="AL878" s="369"/>
      <c r="AM878" s="350">
        <v>145772972.35639495</v>
      </c>
      <c r="AN878" s="350">
        <v>174608649.80852613</v>
      </c>
      <c r="AO878" s="350">
        <v>203825103.51594028</v>
      </c>
      <c r="AP878" s="350">
        <v>233476690.03407785</v>
      </c>
      <c r="AQ878" s="350">
        <v>263571195.22161284</v>
      </c>
      <c r="AR878" s="348">
        <v>1021254610.936552</v>
      </c>
      <c r="AS878" s="369"/>
      <c r="AT878" s="350">
        <f t="shared" si="363"/>
        <v>27326261.688676268</v>
      </c>
      <c r="AU878" s="350">
        <f t="shared" si="346"/>
        <v>55190439.163903058</v>
      </c>
      <c r="AV878" s="350">
        <f t="shared" si="347"/>
        <v>83476100.162221551</v>
      </c>
      <c r="AW878" s="350">
        <f t="shared" si="348"/>
        <v>112194682.15209433</v>
      </c>
      <c r="AX878" s="350">
        <f t="shared" si="349"/>
        <v>141351072.79605839</v>
      </c>
      <c r="AY878" s="350">
        <f t="shared" si="350"/>
        <v>419538555.96295357</v>
      </c>
      <c r="AZ878" s="365"/>
      <c r="BA878" s="377">
        <f t="shared" si="351"/>
        <v>0</v>
      </c>
      <c r="BB878" s="377">
        <f t="shared" si="352"/>
        <v>0</v>
      </c>
      <c r="BC878" s="377">
        <f t="shared" si="353"/>
        <v>0</v>
      </c>
      <c r="BD878" s="377">
        <f t="shared" si="354"/>
        <v>0</v>
      </c>
      <c r="BE878" s="377">
        <f t="shared" si="355"/>
        <v>0</v>
      </c>
      <c r="BF878" s="377">
        <f t="shared" si="356"/>
        <v>0</v>
      </c>
      <c r="BG878" s="328"/>
    </row>
    <row r="879" spans="2:59">
      <c r="B879" s="332">
        <v>864</v>
      </c>
      <c r="C879" s="350">
        <v>115260582.24545625</v>
      </c>
      <c r="D879" s="350">
        <v>116205949.59553471</v>
      </c>
      <c r="E879" s="350">
        <v>117111704.67303243</v>
      </c>
      <c r="F879" s="350">
        <v>118019612.07340868</v>
      </c>
      <c r="G879" s="350">
        <v>118932492.03347993</v>
      </c>
      <c r="H879" s="348">
        <v>585530340.62091208</v>
      </c>
      <c r="I879" s="369"/>
      <c r="J879" s="350">
        <v>141569855.7514278</v>
      </c>
      <c r="K879" s="350">
        <v>169365645.39663523</v>
      </c>
      <c r="L879" s="350">
        <v>197527982.62123793</v>
      </c>
      <c r="M879" s="350">
        <v>226109645.11847404</v>
      </c>
      <c r="N879" s="350">
        <v>255118162.43522602</v>
      </c>
      <c r="O879" s="348">
        <v>989691291.32300115</v>
      </c>
      <c r="P879" s="369"/>
      <c r="Q879" s="350">
        <f t="shared" si="357"/>
        <v>26309273.505971551</v>
      </c>
      <c r="R879" s="350">
        <f t="shared" si="358"/>
        <v>53159695.801100522</v>
      </c>
      <c r="S879" s="350">
        <f t="shared" si="359"/>
        <v>80416277.948205501</v>
      </c>
      <c r="T879" s="350">
        <f t="shared" si="360"/>
        <v>108090033.04506536</v>
      </c>
      <c r="U879" s="350">
        <f t="shared" si="361"/>
        <v>136185670.40174609</v>
      </c>
      <c r="V879" s="350">
        <f t="shared" si="362"/>
        <v>404160950.70208907</v>
      </c>
      <c r="W879" s="365"/>
      <c r="X879" s="377">
        <f t="shared" si="340"/>
        <v>0</v>
      </c>
      <c r="Y879" s="377">
        <f t="shared" si="341"/>
        <v>0</v>
      </c>
      <c r="Z879" s="377">
        <f t="shared" si="342"/>
        <v>0</v>
      </c>
      <c r="AA879" s="377">
        <f t="shared" si="343"/>
        <v>0</v>
      </c>
      <c r="AB879" s="377">
        <f t="shared" si="344"/>
        <v>0</v>
      </c>
      <c r="AC879" s="377">
        <f t="shared" si="345"/>
        <v>0</v>
      </c>
      <c r="AD879" s="376"/>
      <c r="AE879" s="332">
        <v>864</v>
      </c>
      <c r="AF879" s="350">
        <v>133571780.43016864</v>
      </c>
      <c r="AG879" s="350">
        <v>134667336.23641658</v>
      </c>
      <c r="AH879" s="350">
        <v>135716986.6544354</v>
      </c>
      <c r="AI879" s="350">
        <v>136769131.33019042</v>
      </c>
      <c r="AJ879" s="350">
        <v>137827038.54539138</v>
      </c>
      <c r="AK879" s="348">
        <v>678552273.19660234</v>
      </c>
      <c r="AL879" s="369"/>
      <c r="AM879" s="350">
        <v>164707058.20249927</v>
      </c>
      <c r="AN879" s="350">
        <v>197564828.7101593</v>
      </c>
      <c r="AO879" s="350">
        <v>230857146.95211479</v>
      </c>
      <c r="AP879" s="350">
        <v>264645445.09524685</v>
      </c>
      <c r="AQ879" s="350">
        <v>298938562.51982868</v>
      </c>
      <c r="AR879" s="348">
        <v>1156713041.4798489</v>
      </c>
      <c r="AS879" s="369"/>
      <c r="AT879" s="350">
        <f t="shared" si="363"/>
        <v>31135277.772330627</v>
      </c>
      <c r="AU879" s="350">
        <f t="shared" si="346"/>
        <v>62897492.473742723</v>
      </c>
      <c r="AV879" s="350">
        <f t="shared" si="347"/>
        <v>95140160.297679394</v>
      </c>
      <c r="AW879" s="350">
        <f t="shared" si="348"/>
        <v>127876313.76505643</v>
      </c>
      <c r="AX879" s="350">
        <f t="shared" si="349"/>
        <v>161111523.9744373</v>
      </c>
      <c r="AY879" s="350">
        <f t="shared" si="350"/>
        <v>478160768.28324652</v>
      </c>
      <c r="AZ879" s="365"/>
      <c r="BA879" s="377">
        <f t="shared" si="351"/>
        <v>0</v>
      </c>
      <c r="BB879" s="377">
        <f t="shared" si="352"/>
        <v>0</v>
      </c>
      <c r="BC879" s="377">
        <f t="shared" si="353"/>
        <v>0</v>
      </c>
      <c r="BD879" s="377">
        <f t="shared" si="354"/>
        <v>0</v>
      </c>
      <c r="BE879" s="377">
        <f t="shared" si="355"/>
        <v>0</v>
      </c>
      <c r="BF879" s="377">
        <f t="shared" si="356"/>
        <v>0</v>
      </c>
      <c r="BG879" s="328"/>
    </row>
    <row r="880" spans="2:59">
      <c r="B880" s="332">
        <v>865</v>
      </c>
      <c r="C880" s="350">
        <v>117961707.90826158</v>
      </c>
      <c r="D880" s="350">
        <v>118929229.89230365</v>
      </c>
      <c r="E880" s="350">
        <v>119856211.29224724</v>
      </c>
      <c r="F880" s="350">
        <v>120785395.45464247</v>
      </c>
      <c r="G880" s="350">
        <v>121719668.70840673</v>
      </c>
      <c r="H880" s="348">
        <v>599252213.25586164</v>
      </c>
      <c r="I880" s="369"/>
      <c r="J880" s="350">
        <v>148967211.05263558</v>
      </c>
      <c r="K880" s="350">
        <v>181561718.76215309</v>
      </c>
      <c r="L880" s="350">
        <v>214594092.14726442</v>
      </c>
      <c r="M880" s="350">
        <v>248120052.59684852</v>
      </c>
      <c r="N880" s="350">
        <v>282148033.88385862</v>
      </c>
      <c r="O880" s="348">
        <v>1075391108.4427602</v>
      </c>
      <c r="P880" s="369"/>
      <c r="Q880" s="350">
        <f t="shared" si="357"/>
        <v>31005503.144373998</v>
      </c>
      <c r="R880" s="350">
        <f t="shared" si="358"/>
        <v>62632488.869849443</v>
      </c>
      <c r="S880" s="350">
        <f t="shared" si="359"/>
        <v>94737880.855017185</v>
      </c>
      <c r="T880" s="350">
        <f t="shared" si="360"/>
        <v>127334657.14220604</v>
      </c>
      <c r="U880" s="350">
        <f t="shared" si="361"/>
        <v>160428365.17545187</v>
      </c>
      <c r="V880" s="350">
        <f t="shared" si="362"/>
        <v>476138895.18689859</v>
      </c>
      <c r="W880" s="365"/>
      <c r="X880" s="377">
        <f t="shared" si="340"/>
        <v>0</v>
      </c>
      <c r="Y880" s="377">
        <f t="shared" si="341"/>
        <v>0</v>
      </c>
      <c r="Z880" s="377">
        <f t="shared" si="342"/>
        <v>0</v>
      </c>
      <c r="AA880" s="377">
        <f t="shared" si="343"/>
        <v>0</v>
      </c>
      <c r="AB880" s="377">
        <f t="shared" si="344"/>
        <v>0</v>
      </c>
      <c r="AC880" s="377">
        <f t="shared" si="345"/>
        <v>0</v>
      </c>
      <c r="AD880" s="376"/>
      <c r="AE880" s="332">
        <v>865</v>
      </c>
      <c r="AF880" s="350">
        <v>148758268.33257174</v>
      </c>
      <c r="AG880" s="350">
        <v>149978383.71977615</v>
      </c>
      <c r="AH880" s="350">
        <v>151147374.49040282</v>
      </c>
      <c r="AI880" s="350">
        <v>152319143.1042268</v>
      </c>
      <c r="AJ880" s="350">
        <v>153497329.43133131</v>
      </c>
      <c r="AK880" s="348">
        <v>755700499.07830882</v>
      </c>
      <c r="AL880" s="369"/>
      <c r="AM880" s="350">
        <v>187710113.94125706</v>
      </c>
      <c r="AN880" s="350">
        <v>228658673.97838277</v>
      </c>
      <c r="AO880" s="350">
        <v>270157060.62210315</v>
      </c>
      <c r="AP880" s="350">
        <v>312275480.26147074</v>
      </c>
      <c r="AQ880" s="350">
        <v>355024541.31935149</v>
      </c>
      <c r="AR880" s="348">
        <v>1353825870.1225653</v>
      </c>
      <c r="AS880" s="369"/>
      <c r="AT880" s="350">
        <f t="shared" si="363"/>
        <v>38951845.608685315</v>
      </c>
      <c r="AU880" s="350">
        <f t="shared" si="346"/>
        <v>78680290.258606613</v>
      </c>
      <c r="AV880" s="350">
        <f t="shared" si="347"/>
        <v>119009686.13170034</v>
      </c>
      <c r="AW880" s="350">
        <f t="shared" si="348"/>
        <v>159956337.15724394</v>
      </c>
      <c r="AX880" s="350">
        <f t="shared" si="349"/>
        <v>201527211.88802019</v>
      </c>
      <c r="AY880" s="350">
        <f t="shared" si="350"/>
        <v>598125371.04425645</v>
      </c>
      <c r="AZ880" s="365"/>
      <c r="BA880" s="377">
        <f t="shared" si="351"/>
        <v>0</v>
      </c>
      <c r="BB880" s="377">
        <f t="shared" si="352"/>
        <v>0</v>
      </c>
      <c r="BC880" s="377">
        <f t="shared" si="353"/>
        <v>0</v>
      </c>
      <c r="BD880" s="377">
        <f t="shared" si="354"/>
        <v>0</v>
      </c>
      <c r="BE880" s="377">
        <f t="shared" si="355"/>
        <v>0</v>
      </c>
      <c r="BF880" s="377">
        <f t="shared" si="356"/>
        <v>0</v>
      </c>
      <c r="BG880" s="328"/>
    </row>
    <row r="881" spans="2:59">
      <c r="B881" s="332">
        <v>866</v>
      </c>
      <c r="C881" s="350">
        <v>122752040.09615836</v>
      </c>
      <c r="D881" s="350">
        <v>123758852.38707063</v>
      </c>
      <c r="E881" s="350">
        <v>124723477.77264714</v>
      </c>
      <c r="F881" s="350">
        <v>125690395.3731261</v>
      </c>
      <c r="G881" s="350">
        <v>126662608.72897236</v>
      </c>
      <c r="H881" s="348">
        <v>623587374.35797453</v>
      </c>
      <c r="I881" s="369"/>
      <c r="J881" s="350">
        <v>150437989.2901656</v>
      </c>
      <c r="K881" s="350">
        <v>179680853.04289198</v>
      </c>
      <c r="L881" s="350">
        <v>209308640.87361971</v>
      </c>
      <c r="M881" s="350">
        <v>239377420.20278341</v>
      </c>
      <c r="N881" s="350">
        <v>269895147.34764081</v>
      </c>
      <c r="O881" s="348">
        <v>1048700050.7571015</v>
      </c>
      <c r="P881" s="369"/>
      <c r="Q881" s="350">
        <f t="shared" si="357"/>
        <v>27685949.194007248</v>
      </c>
      <c r="R881" s="350">
        <f t="shared" si="358"/>
        <v>55922000.655821353</v>
      </c>
      <c r="S881" s="350">
        <f t="shared" si="359"/>
        <v>84585163.100972563</v>
      </c>
      <c r="T881" s="350">
        <f t="shared" si="360"/>
        <v>113687024.8296573</v>
      </c>
      <c r="U881" s="350">
        <f t="shared" si="361"/>
        <v>143232538.61866844</v>
      </c>
      <c r="V881" s="350">
        <f t="shared" si="362"/>
        <v>425112676.39912701</v>
      </c>
      <c r="W881" s="365"/>
      <c r="X881" s="377">
        <f t="shared" si="340"/>
        <v>0</v>
      </c>
      <c r="Y881" s="377">
        <f t="shared" si="341"/>
        <v>0</v>
      </c>
      <c r="Z881" s="377">
        <f t="shared" si="342"/>
        <v>0</v>
      </c>
      <c r="AA881" s="377">
        <f t="shared" si="343"/>
        <v>0</v>
      </c>
      <c r="AB881" s="377">
        <f t="shared" si="344"/>
        <v>0</v>
      </c>
      <c r="AC881" s="377">
        <f t="shared" si="345"/>
        <v>0</v>
      </c>
      <c r="AD881" s="376"/>
      <c r="AE881" s="332">
        <v>866</v>
      </c>
      <c r="AF881" s="350">
        <v>116183416.88337016</v>
      </c>
      <c r="AG881" s="350">
        <v>117136353.32358509</v>
      </c>
      <c r="AH881" s="350">
        <v>118049360.33528873</v>
      </c>
      <c r="AI881" s="350">
        <v>118964536.90245874</v>
      </c>
      <c r="AJ881" s="350">
        <v>119884725.84215684</v>
      </c>
      <c r="AK881" s="348">
        <v>590218393.28685951</v>
      </c>
      <c r="AL881" s="369"/>
      <c r="AM881" s="350">
        <v>144757759.13038564</v>
      </c>
      <c r="AN881" s="350">
        <v>174853450.17033777</v>
      </c>
      <c r="AO881" s="350">
        <v>205350038.26153007</v>
      </c>
      <c r="AP881" s="350">
        <v>236301582.57273388</v>
      </c>
      <c r="AQ881" s="350">
        <v>267716037.72411615</v>
      </c>
      <c r="AR881" s="348">
        <v>1028978867.8591034</v>
      </c>
      <c r="AS881" s="369"/>
      <c r="AT881" s="350">
        <f t="shared" si="363"/>
        <v>28574342.247015476</v>
      </c>
      <c r="AU881" s="350">
        <f t="shared" si="346"/>
        <v>57717096.846752673</v>
      </c>
      <c r="AV881" s="350">
        <f t="shared" si="347"/>
        <v>87300677.926241338</v>
      </c>
      <c r="AW881" s="350">
        <f t="shared" si="348"/>
        <v>117337045.67027514</v>
      </c>
      <c r="AX881" s="350">
        <f t="shared" si="349"/>
        <v>147831311.88195932</v>
      </c>
      <c r="AY881" s="350">
        <f t="shared" si="350"/>
        <v>438760474.57224393</v>
      </c>
      <c r="AZ881" s="365"/>
      <c r="BA881" s="377">
        <f t="shared" si="351"/>
        <v>0</v>
      </c>
      <c r="BB881" s="377">
        <f t="shared" si="352"/>
        <v>0</v>
      </c>
      <c r="BC881" s="377">
        <f t="shared" si="353"/>
        <v>0</v>
      </c>
      <c r="BD881" s="377">
        <f t="shared" si="354"/>
        <v>0</v>
      </c>
      <c r="BE881" s="377">
        <f t="shared" si="355"/>
        <v>0</v>
      </c>
      <c r="BF881" s="377">
        <f t="shared" si="356"/>
        <v>0</v>
      </c>
      <c r="BG881" s="328"/>
    </row>
    <row r="882" spans="2:59">
      <c r="B882" s="332">
        <v>867</v>
      </c>
      <c r="C882" s="350">
        <v>125404499.05647253</v>
      </c>
      <c r="D882" s="350">
        <v>126433066.81703153</v>
      </c>
      <c r="E882" s="350">
        <v>127418536.08630489</v>
      </c>
      <c r="F882" s="350">
        <v>128406347.10127431</v>
      </c>
      <c r="G882" s="350">
        <v>129399568.30371134</v>
      </c>
      <c r="H882" s="348">
        <v>637062017.36479461</v>
      </c>
      <c r="I882" s="369"/>
      <c r="J882" s="350">
        <v>162325270.01487929</v>
      </c>
      <c r="K882" s="350">
        <v>200997323.04031923</v>
      </c>
      <c r="L882" s="350">
        <v>240195684.52636516</v>
      </c>
      <c r="M882" s="350">
        <v>279981247.7558732</v>
      </c>
      <c r="N882" s="350">
        <v>320363684.3166855</v>
      </c>
      <c r="O882" s="348">
        <v>1203863209.6541224</v>
      </c>
      <c r="P882" s="369"/>
      <c r="Q882" s="350">
        <f t="shared" si="357"/>
        <v>36920770.958406761</v>
      </c>
      <c r="R882" s="350">
        <f t="shared" si="358"/>
        <v>74564256.223287702</v>
      </c>
      <c r="S882" s="350">
        <f t="shared" si="359"/>
        <v>112777148.44006027</v>
      </c>
      <c r="T882" s="350">
        <f t="shared" si="360"/>
        <v>151574900.65459889</v>
      </c>
      <c r="U882" s="350">
        <f t="shared" si="361"/>
        <v>190964116.01297414</v>
      </c>
      <c r="V882" s="350">
        <f t="shared" si="362"/>
        <v>566801192.28932774</v>
      </c>
      <c r="W882" s="365"/>
      <c r="X882" s="377">
        <f t="shared" si="340"/>
        <v>0</v>
      </c>
      <c r="Y882" s="377">
        <f t="shared" si="341"/>
        <v>0</v>
      </c>
      <c r="Z882" s="377">
        <f t="shared" si="342"/>
        <v>0</v>
      </c>
      <c r="AA882" s="377">
        <f t="shared" si="343"/>
        <v>0</v>
      </c>
      <c r="AB882" s="377">
        <f t="shared" si="344"/>
        <v>0</v>
      </c>
      <c r="AC882" s="377">
        <f t="shared" si="345"/>
        <v>0</v>
      </c>
      <c r="AD882" s="376"/>
      <c r="AE882" s="332">
        <v>867</v>
      </c>
      <c r="AF882" s="350">
        <v>138125158.77314243</v>
      </c>
      <c r="AG882" s="350">
        <v>139258061.3907125</v>
      </c>
      <c r="AH882" s="350">
        <v>140343493.73411787</v>
      </c>
      <c r="AI882" s="350">
        <v>141431505.36294359</v>
      </c>
      <c r="AJ882" s="350">
        <v>142525475.97257614</v>
      </c>
      <c r="AK882" s="348">
        <v>701683695.23349261</v>
      </c>
      <c r="AL882" s="369"/>
      <c r="AM882" s="350">
        <v>172051880.64922255</v>
      </c>
      <c r="AN882" s="350">
        <v>207788321.88556007</v>
      </c>
      <c r="AO882" s="350">
        <v>244000722.50860393</v>
      </c>
      <c r="AP882" s="350">
        <v>280753332.68238944</v>
      </c>
      <c r="AQ882" s="350">
        <v>318055601.713651</v>
      </c>
      <c r="AR882" s="348">
        <v>1222649859.4394269</v>
      </c>
      <c r="AS882" s="369"/>
      <c r="AT882" s="350">
        <f t="shared" si="363"/>
        <v>33926721.876080126</v>
      </c>
      <c r="AU882" s="350">
        <f t="shared" si="346"/>
        <v>68530260.494847566</v>
      </c>
      <c r="AV882" s="350">
        <f t="shared" si="347"/>
        <v>103657228.77448606</v>
      </c>
      <c r="AW882" s="350">
        <f t="shared" si="348"/>
        <v>139321827.31944585</v>
      </c>
      <c r="AX882" s="350">
        <f t="shared" si="349"/>
        <v>175530125.74107486</v>
      </c>
      <c r="AY882" s="350">
        <f t="shared" si="350"/>
        <v>520966164.20593429</v>
      </c>
      <c r="AZ882" s="365"/>
      <c r="BA882" s="377">
        <f t="shared" si="351"/>
        <v>0</v>
      </c>
      <c r="BB882" s="377">
        <f t="shared" si="352"/>
        <v>0</v>
      </c>
      <c r="BC882" s="377">
        <f t="shared" si="353"/>
        <v>0</v>
      </c>
      <c r="BD882" s="377">
        <f t="shared" si="354"/>
        <v>0</v>
      </c>
      <c r="BE882" s="377">
        <f t="shared" si="355"/>
        <v>0</v>
      </c>
      <c r="BF882" s="377">
        <f t="shared" si="356"/>
        <v>0</v>
      </c>
      <c r="BG882" s="328"/>
    </row>
    <row r="883" spans="2:59">
      <c r="B883" s="332">
        <v>868</v>
      </c>
      <c r="C883" s="350">
        <v>117316263.79966281</v>
      </c>
      <c r="D883" s="350">
        <v>118278491.85082093</v>
      </c>
      <c r="E883" s="350">
        <v>119200401.14139971</v>
      </c>
      <c r="F883" s="350">
        <v>120124501.14170495</v>
      </c>
      <c r="G883" s="350">
        <v>121053662.38769861</v>
      </c>
      <c r="H883" s="348">
        <v>595973320.32128704</v>
      </c>
      <c r="I883" s="369"/>
      <c r="J883" s="350">
        <v>145226807.1047256</v>
      </c>
      <c r="K883" s="350">
        <v>174645812.53531587</v>
      </c>
      <c r="L883" s="350">
        <v>204454945.13466221</v>
      </c>
      <c r="M883" s="350">
        <v>234708396.21704397</v>
      </c>
      <c r="N883" s="350">
        <v>265414028.00153846</v>
      </c>
      <c r="O883" s="348">
        <v>1024449988.9932861</v>
      </c>
      <c r="P883" s="369"/>
      <c r="Q883" s="350">
        <f t="shared" si="357"/>
        <v>27910543.305062786</v>
      </c>
      <c r="R883" s="350">
        <f t="shared" si="358"/>
        <v>56367320.684494942</v>
      </c>
      <c r="S883" s="350">
        <f t="shared" si="359"/>
        <v>85254543.9932625</v>
      </c>
      <c r="T883" s="350">
        <f t="shared" si="360"/>
        <v>114583895.07533902</v>
      </c>
      <c r="U883" s="350">
        <f t="shared" si="361"/>
        <v>144360365.61383986</v>
      </c>
      <c r="V883" s="350">
        <f t="shared" si="362"/>
        <v>428476668.6719991</v>
      </c>
      <c r="W883" s="365"/>
      <c r="X883" s="377">
        <f t="shared" si="340"/>
        <v>0</v>
      </c>
      <c r="Y883" s="377">
        <f t="shared" si="341"/>
        <v>0</v>
      </c>
      <c r="Z883" s="377">
        <f t="shared" si="342"/>
        <v>0</v>
      </c>
      <c r="AA883" s="377">
        <f t="shared" si="343"/>
        <v>0</v>
      </c>
      <c r="AB883" s="377">
        <f t="shared" si="344"/>
        <v>0</v>
      </c>
      <c r="AC883" s="377">
        <f t="shared" si="345"/>
        <v>0</v>
      </c>
      <c r="AD883" s="376"/>
      <c r="AE883" s="332">
        <v>868</v>
      </c>
      <c r="AF883" s="350">
        <v>132037583.38471484</v>
      </c>
      <c r="AG883" s="350">
        <v>133120555.70607054</v>
      </c>
      <c r="AH883" s="350">
        <v>134158149.90559098</v>
      </c>
      <c r="AI883" s="350">
        <v>135198209.71396062</v>
      </c>
      <c r="AJ883" s="350">
        <v>136243965.87361157</v>
      </c>
      <c r="AK883" s="348">
        <v>670758464.58394861</v>
      </c>
      <c r="AL883" s="369"/>
      <c r="AM883" s="350">
        <v>162710976.93075407</v>
      </c>
      <c r="AN883" s="350">
        <v>195073142.44936591</v>
      </c>
      <c r="AO883" s="350">
        <v>227863071.04243881</v>
      </c>
      <c r="AP883" s="350">
        <v>261141444.96960309</v>
      </c>
      <c r="AQ883" s="350">
        <v>294916981.61917359</v>
      </c>
      <c r="AR883" s="348">
        <v>1141705617.0113354</v>
      </c>
      <c r="AS883" s="369"/>
      <c r="AT883" s="350">
        <f t="shared" si="363"/>
        <v>30673393.546039224</v>
      </c>
      <c r="AU883" s="350">
        <f t="shared" si="346"/>
        <v>61952586.743295372</v>
      </c>
      <c r="AV883" s="350">
        <f t="shared" si="347"/>
        <v>93704921.136847824</v>
      </c>
      <c r="AW883" s="350">
        <f t="shared" si="348"/>
        <v>125943235.25564247</v>
      </c>
      <c r="AX883" s="350">
        <f t="shared" si="349"/>
        <v>158673015.74556202</v>
      </c>
      <c r="AY883" s="350">
        <f t="shared" si="350"/>
        <v>470947152.42738676</v>
      </c>
      <c r="AZ883" s="365"/>
      <c r="BA883" s="377">
        <f t="shared" si="351"/>
        <v>0</v>
      </c>
      <c r="BB883" s="377">
        <f t="shared" si="352"/>
        <v>0</v>
      </c>
      <c r="BC883" s="377">
        <f t="shared" si="353"/>
        <v>0</v>
      </c>
      <c r="BD883" s="377">
        <f t="shared" si="354"/>
        <v>0</v>
      </c>
      <c r="BE883" s="377">
        <f t="shared" si="355"/>
        <v>0</v>
      </c>
      <c r="BF883" s="377">
        <f t="shared" si="356"/>
        <v>0</v>
      </c>
      <c r="BG883" s="328"/>
    </row>
    <row r="884" spans="2:59">
      <c r="B884" s="332">
        <v>869</v>
      </c>
      <c r="C884" s="350">
        <v>138565476.97800767</v>
      </c>
      <c r="D884" s="350">
        <v>139701991.0857023</v>
      </c>
      <c r="E884" s="350">
        <v>140790883.59252173</v>
      </c>
      <c r="F884" s="350">
        <v>141882363.60706031</v>
      </c>
      <c r="G884" s="350">
        <v>142979821.59856653</v>
      </c>
      <c r="H884" s="348">
        <v>703920536.86185861</v>
      </c>
      <c r="I884" s="369"/>
      <c r="J884" s="350">
        <v>174296185.98849759</v>
      </c>
      <c r="K884" s="350">
        <v>211877533.7423102</v>
      </c>
      <c r="L884" s="350">
        <v>249962542.47460192</v>
      </c>
      <c r="M884" s="350">
        <v>288616377.0611245</v>
      </c>
      <c r="N884" s="350">
        <v>327848820.52360487</v>
      </c>
      <c r="O884" s="348">
        <v>1252601459.7901392</v>
      </c>
      <c r="P884" s="369"/>
      <c r="Q884" s="350">
        <f t="shared" si="357"/>
        <v>35730709.010489911</v>
      </c>
      <c r="R884" s="350">
        <f t="shared" si="358"/>
        <v>72175542.656607896</v>
      </c>
      <c r="S884" s="350">
        <f t="shared" si="359"/>
        <v>109171658.8820802</v>
      </c>
      <c r="T884" s="350">
        <f t="shared" si="360"/>
        <v>146734013.45406419</v>
      </c>
      <c r="U884" s="350">
        <f t="shared" si="361"/>
        <v>184868998.92503834</v>
      </c>
      <c r="V884" s="350">
        <f t="shared" si="362"/>
        <v>548680922.92828059</v>
      </c>
      <c r="W884" s="365"/>
      <c r="X884" s="377">
        <f t="shared" si="340"/>
        <v>0</v>
      </c>
      <c r="Y884" s="377">
        <f t="shared" si="341"/>
        <v>0</v>
      </c>
      <c r="Z884" s="377">
        <f t="shared" si="342"/>
        <v>0</v>
      </c>
      <c r="AA884" s="377">
        <f t="shared" si="343"/>
        <v>0</v>
      </c>
      <c r="AB884" s="377">
        <f t="shared" si="344"/>
        <v>0</v>
      </c>
      <c r="AC884" s="377">
        <f t="shared" si="345"/>
        <v>0</v>
      </c>
      <c r="AD884" s="376"/>
      <c r="AE884" s="332">
        <v>869</v>
      </c>
      <c r="AF884" s="350">
        <v>136732150.33474174</v>
      </c>
      <c r="AG884" s="350">
        <v>137853627.49644142</v>
      </c>
      <c r="AH884" s="350">
        <v>138928113.12726298</v>
      </c>
      <c r="AI884" s="350">
        <v>140005152.0311088</v>
      </c>
      <c r="AJ884" s="350">
        <v>141088089.81874043</v>
      </c>
      <c r="AK884" s="348">
        <v>694607132.80829525</v>
      </c>
      <c r="AL884" s="369"/>
      <c r="AM884" s="350">
        <v>173686665.58021092</v>
      </c>
      <c r="AN884" s="350">
        <v>212482080.76959425</v>
      </c>
      <c r="AO884" s="350">
        <v>251800370.19010347</v>
      </c>
      <c r="AP884" s="350">
        <v>291706545.59546036</v>
      </c>
      <c r="AQ884" s="350">
        <v>332210561.1742903</v>
      </c>
      <c r="AR884" s="348">
        <v>1261886223.3096595</v>
      </c>
      <c r="AS884" s="369"/>
      <c r="AT884" s="350">
        <f t="shared" si="363"/>
        <v>36954515.245469183</v>
      </c>
      <c r="AU884" s="350">
        <f t="shared" si="346"/>
        <v>74628453.273152828</v>
      </c>
      <c r="AV884" s="350">
        <f t="shared" si="347"/>
        <v>112872257.06284049</v>
      </c>
      <c r="AW884" s="350">
        <f t="shared" si="348"/>
        <v>151701393.56435156</v>
      </c>
      <c r="AX884" s="350">
        <f t="shared" si="349"/>
        <v>191122471.35554987</v>
      </c>
      <c r="AY884" s="350">
        <f t="shared" si="350"/>
        <v>567279090.50136423</v>
      </c>
      <c r="AZ884" s="365"/>
      <c r="BA884" s="377">
        <f t="shared" si="351"/>
        <v>0</v>
      </c>
      <c r="BB884" s="377">
        <f t="shared" si="352"/>
        <v>0</v>
      </c>
      <c r="BC884" s="377">
        <f t="shared" si="353"/>
        <v>0</v>
      </c>
      <c r="BD884" s="377">
        <f t="shared" si="354"/>
        <v>0</v>
      </c>
      <c r="BE884" s="377">
        <f t="shared" si="355"/>
        <v>0</v>
      </c>
      <c r="BF884" s="377">
        <f t="shared" si="356"/>
        <v>0</v>
      </c>
      <c r="BG884" s="328"/>
    </row>
    <row r="885" spans="2:59">
      <c r="B885" s="332">
        <v>870</v>
      </c>
      <c r="C885" s="350">
        <v>120731065.44060262</v>
      </c>
      <c r="D885" s="350">
        <v>121721301.69643441</v>
      </c>
      <c r="E885" s="350">
        <v>122670045.60700792</v>
      </c>
      <c r="F885" s="350">
        <v>123621043.99373657</v>
      </c>
      <c r="G885" s="350">
        <v>124577250.94716029</v>
      </c>
      <c r="H885" s="348">
        <v>613320707.68494177</v>
      </c>
      <c r="I885" s="369"/>
      <c r="J885" s="350">
        <v>150622350.38437372</v>
      </c>
      <c r="K885" s="350">
        <v>182099467.6805599</v>
      </c>
      <c r="L885" s="350">
        <v>213996251.43151557</v>
      </c>
      <c r="M885" s="350">
        <v>246368959.92278466</v>
      </c>
      <c r="N885" s="350">
        <v>279225894.79289365</v>
      </c>
      <c r="O885" s="348">
        <v>1072312924.2121276</v>
      </c>
      <c r="P885" s="369"/>
      <c r="Q885" s="350">
        <f t="shared" si="357"/>
        <v>29891284.943771109</v>
      </c>
      <c r="R885" s="350">
        <f t="shared" si="358"/>
        <v>60378165.984125495</v>
      </c>
      <c r="S885" s="350">
        <f t="shared" si="359"/>
        <v>91326205.824507654</v>
      </c>
      <c r="T885" s="350">
        <f t="shared" si="360"/>
        <v>122747915.92904809</v>
      </c>
      <c r="U885" s="350">
        <f t="shared" si="361"/>
        <v>154648643.84573334</v>
      </c>
      <c r="V885" s="350">
        <f t="shared" si="362"/>
        <v>458992216.5271858</v>
      </c>
      <c r="W885" s="365"/>
      <c r="X885" s="377">
        <f t="shared" si="340"/>
        <v>0</v>
      </c>
      <c r="Y885" s="377">
        <f t="shared" si="341"/>
        <v>0</v>
      </c>
      <c r="Z885" s="377">
        <f t="shared" si="342"/>
        <v>0</v>
      </c>
      <c r="AA885" s="377">
        <f t="shared" si="343"/>
        <v>0</v>
      </c>
      <c r="AB885" s="377">
        <f t="shared" si="344"/>
        <v>0</v>
      </c>
      <c r="AC885" s="377">
        <f t="shared" si="345"/>
        <v>0</v>
      </c>
      <c r="AD885" s="376"/>
      <c r="AE885" s="332">
        <v>870</v>
      </c>
      <c r="AF885" s="350">
        <v>143666856.3317745</v>
      </c>
      <c r="AG885" s="350">
        <v>144845211.95534092</v>
      </c>
      <c r="AH885" s="350">
        <v>145974192.75741187</v>
      </c>
      <c r="AI885" s="350">
        <v>147105856.32800391</v>
      </c>
      <c r="AJ885" s="350">
        <v>148243717.9587253</v>
      </c>
      <c r="AK885" s="348">
        <v>729835835.33125651</v>
      </c>
      <c r="AL885" s="369"/>
      <c r="AM885" s="350">
        <v>176795642.10946652</v>
      </c>
      <c r="AN885" s="350">
        <v>211747194.49735388</v>
      </c>
      <c r="AO885" s="350">
        <v>247160233.95459554</v>
      </c>
      <c r="AP885" s="350">
        <v>283100683.76985842</v>
      </c>
      <c r="AQ885" s="350">
        <v>319577983.57581347</v>
      </c>
      <c r="AR885" s="348">
        <v>1238381737.9070878</v>
      </c>
      <c r="AS885" s="369"/>
      <c r="AT885" s="350">
        <f t="shared" si="363"/>
        <v>33128785.77769202</v>
      </c>
      <c r="AU885" s="350">
        <f t="shared" si="346"/>
        <v>66901982.54201296</v>
      </c>
      <c r="AV885" s="350">
        <f t="shared" si="347"/>
        <v>101186041.19718367</v>
      </c>
      <c r="AW885" s="350">
        <f t="shared" si="348"/>
        <v>135994827.44185451</v>
      </c>
      <c r="AX885" s="350">
        <f t="shared" si="349"/>
        <v>171334265.61708817</v>
      </c>
      <c r="AY885" s="350">
        <f t="shared" si="350"/>
        <v>508545902.57583129</v>
      </c>
      <c r="AZ885" s="365"/>
      <c r="BA885" s="377">
        <f t="shared" si="351"/>
        <v>0</v>
      </c>
      <c r="BB885" s="377">
        <f t="shared" si="352"/>
        <v>0</v>
      </c>
      <c r="BC885" s="377">
        <f t="shared" si="353"/>
        <v>0</v>
      </c>
      <c r="BD885" s="377">
        <f t="shared" si="354"/>
        <v>0</v>
      </c>
      <c r="BE885" s="377">
        <f t="shared" si="355"/>
        <v>0</v>
      </c>
      <c r="BF885" s="377">
        <f t="shared" si="356"/>
        <v>0</v>
      </c>
      <c r="BG885" s="328"/>
    </row>
    <row r="886" spans="2:59">
      <c r="B886" s="332">
        <v>871</v>
      </c>
      <c r="C886" s="350">
        <v>128393580.94516602</v>
      </c>
      <c r="D886" s="350">
        <v>129446665.15678948</v>
      </c>
      <c r="E886" s="350">
        <v>130455623.60202396</v>
      </c>
      <c r="F886" s="350">
        <v>131466979.60968912</v>
      </c>
      <c r="G886" s="350">
        <v>132483874.75947259</v>
      </c>
      <c r="H886" s="348">
        <v>652246724.07314122</v>
      </c>
      <c r="I886" s="369"/>
      <c r="J886" s="350">
        <v>156148066.35019046</v>
      </c>
      <c r="K886" s="350">
        <v>185518251.87018922</v>
      </c>
      <c r="L886" s="350">
        <v>215272653.75895429</v>
      </c>
      <c r="M886" s="350">
        <v>245469412.95184141</v>
      </c>
      <c r="N886" s="350">
        <v>276116637.76811028</v>
      </c>
      <c r="O886" s="348">
        <v>1078525022.6992857</v>
      </c>
      <c r="P886" s="369"/>
      <c r="Q886" s="350">
        <f t="shared" si="357"/>
        <v>27754485.405024439</v>
      </c>
      <c r="R886" s="350">
        <f t="shared" si="358"/>
        <v>56071586.713399738</v>
      </c>
      <c r="S886" s="350">
        <f t="shared" si="359"/>
        <v>84817030.156930327</v>
      </c>
      <c r="T886" s="350">
        <f t="shared" si="360"/>
        <v>114002433.3421523</v>
      </c>
      <c r="U886" s="350">
        <f t="shared" si="361"/>
        <v>143632763.00863767</v>
      </c>
      <c r="V886" s="350">
        <f t="shared" si="362"/>
        <v>426278298.62614453</v>
      </c>
      <c r="W886" s="365"/>
      <c r="X886" s="377">
        <f t="shared" si="340"/>
        <v>0</v>
      </c>
      <c r="Y886" s="377">
        <f t="shared" si="341"/>
        <v>0</v>
      </c>
      <c r="Z886" s="377">
        <f t="shared" si="342"/>
        <v>0</v>
      </c>
      <c r="AA886" s="377">
        <f t="shared" si="343"/>
        <v>0</v>
      </c>
      <c r="AB886" s="377">
        <f t="shared" si="344"/>
        <v>0</v>
      </c>
      <c r="AC886" s="377">
        <f t="shared" si="345"/>
        <v>0</v>
      </c>
      <c r="AD886" s="376"/>
      <c r="AE886" s="332">
        <v>871</v>
      </c>
      <c r="AF886" s="350">
        <v>171557756.61331099</v>
      </c>
      <c r="AG886" s="350">
        <v>172964873.4141748</v>
      </c>
      <c r="AH886" s="350">
        <v>174313029.96613207</v>
      </c>
      <c r="AI886" s="350">
        <v>175664390.10840061</v>
      </c>
      <c r="AJ886" s="350">
        <v>177023151.5770314</v>
      </c>
      <c r="AK886" s="348">
        <v>871523201.67904985</v>
      </c>
      <c r="AL886" s="369"/>
      <c r="AM886" s="350">
        <v>215015868.16134331</v>
      </c>
      <c r="AN886" s="350">
        <v>260718503.64845008</v>
      </c>
      <c r="AO886" s="350">
        <v>307032200.40589476</v>
      </c>
      <c r="AP886" s="350">
        <v>354037310.75982577</v>
      </c>
      <c r="AQ886" s="350">
        <v>401745802.74588335</v>
      </c>
      <c r="AR886" s="348">
        <v>1538549685.7213974</v>
      </c>
      <c r="AS886" s="369"/>
      <c r="AT886" s="350">
        <f t="shared" si="363"/>
        <v>43458111.548032314</v>
      </c>
      <c r="AU886" s="350">
        <f t="shared" si="346"/>
        <v>87753630.234275281</v>
      </c>
      <c r="AV886" s="350">
        <f t="shared" si="347"/>
        <v>132719170.43976268</v>
      </c>
      <c r="AW886" s="350">
        <f t="shared" si="348"/>
        <v>178372920.65142515</v>
      </c>
      <c r="AX886" s="350">
        <f t="shared" si="349"/>
        <v>224722651.16885194</v>
      </c>
      <c r="AY886" s="350">
        <f t="shared" si="350"/>
        <v>667026484.04234755</v>
      </c>
      <c r="AZ886" s="365"/>
      <c r="BA886" s="377">
        <f t="shared" si="351"/>
        <v>0</v>
      </c>
      <c r="BB886" s="377">
        <f t="shared" si="352"/>
        <v>0</v>
      </c>
      <c r="BC886" s="377">
        <f t="shared" si="353"/>
        <v>0</v>
      </c>
      <c r="BD886" s="377">
        <f t="shared" si="354"/>
        <v>0</v>
      </c>
      <c r="BE886" s="377">
        <f t="shared" si="355"/>
        <v>0</v>
      </c>
      <c r="BF886" s="377">
        <f t="shared" si="356"/>
        <v>0</v>
      </c>
      <c r="BG886" s="328"/>
    </row>
    <row r="887" spans="2:59">
      <c r="B887" s="332">
        <v>872</v>
      </c>
      <c r="C887" s="350">
        <v>129372855.31529731</v>
      </c>
      <c r="D887" s="350">
        <v>130433971.53576761</v>
      </c>
      <c r="E887" s="350">
        <v>131450625.43694834</v>
      </c>
      <c r="F887" s="350">
        <v>132469695.18707702</v>
      </c>
      <c r="G887" s="350">
        <v>133494346.32707407</v>
      </c>
      <c r="H887" s="348">
        <v>657221493.80216432</v>
      </c>
      <c r="I887" s="369"/>
      <c r="J887" s="350">
        <v>159895403.10373738</v>
      </c>
      <c r="K887" s="350">
        <v>192092597.99265319</v>
      </c>
      <c r="L887" s="350">
        <v>224716311.90529156</v>
      </c>
      <c r="M887" s="350">
        <v>257826198.99658206</v>
      </c>
      <c r="N887" s="350">
        <v>291430886.10593796</v>
      </c>
      <c r="O887" s="348">
        <v>1125961398.1042023</v>
      </c>
      <c r="P887" s="369"/>
      <c r="Q887" s="350">
        <f t="shared" si="357"/>
        <v>30522547.788440078</v>
      </c>
      <c r="R887" s="350">
        <f t="shared" si="358"/>
        <v>61658626.456885576</v>
      </c>
      <c r="S887" s="350">
        <f t="shared" si="359"/>
        <v>93265686.468343213</v>
      </c>
      <c r="T887" s="350">
        <f t="shared" si="360"/>
        <v>125356503.80950505</v>
      </c>
      <c r="U887" s="350">
        <f t="shared" si="361"/>
        <v>157936539.77886391</v>
      </c>
      <c r="V887" s="350">
        <f t="shared" si="362"/>
        <v>468739904.30203795</v>
      </c>
      <c r="W887" s="365"/>
      <c r="X887" s="377">
        <f t="shared" si="340"/>
        <v>0</v>
      </c>
      <c r="Y887" s="377">
        <f t="shared" si="341"/>
        <v>0</v>
      </c>
      <c r="Z887" s="377">
        <f t="shared" si="342"/>
        <v>0</v>
      </c>
      <c r="AA887" s="377">
        <f t="shared" si="343"/>
        <v>0</v>
      </c>
      <c r="AB887" s="377">
        <f t="shared" si="344"/>
        <v>0</v>
      </c>
      <c r="AC887" s="377">
        <f t="shared" si="345"/>
        <v>0</v>
      </c>
      <c r="AD887" s="376"/>
      <c r="AE887" s="332">
        <v>872</v>
      </c>
      <c r="AF887" s="350">
        <v>118321161.81553383</v>
      </c>
      <c r="AG887" s="350">
        <v>119291632.04069328</v>
      </c>
      <c r="AH887" s="350">
        <v>120221438.14614588</v>
      </c>
      <c r="AI887" s="350">
        <v>121153453.72632636</v>
      </c>
      <c r="AJ887" s="350">
        <v>122090573.90539788</v>
      </c>
      <c r="AK887" s="348">
        <v>601078259.63409722</v>
      </c>
      <c r="AL887" s="369"/>
      <c r="AM887" s="350">
        <v>148270622.38078958</v>
      </c>
      <c r="AN887" s="350">
        <v>179772856.2001735</v>
      </c>
      <c r="AO887" s="350">
        <v>211696256.93274388</v>
      </c>
      <c r="AP887" s="350">
        <v>244096233.18434402</v>
      </c>
      <c r="AQ887" s="350">
        <v>276981035.82871675</v>
      </c>
      <c r="AR887" s="348">
        <v>1060817004.5267677</v>
      </c>
      <c r="AS887" s="369"/>
      <c r="AT887" s="350">
        <f t="shared" si="363"/>
        <v>29949460.565255746</v>
      </c>
      <c r="AU887" s="350">
        <f t="shared" si="346"/>
        <v>60481224.159480214</v>
      </c>
      <c r="AV887" s="350">
        <f t="shared" si="347"/>
        <v>91474818.786597997</v>
      </c>
      <c r="AW887" s="350">
        <f t="shared" si="348"/>
        <v>122942779.45801766</v>
      </c>
      <c r="AX887" s="350">
        <f t="shared" si="349"/>
        <v>154890461.92331886</v>
      </c>
      <c r="AY887" s="350">
        <f t="shared" si="350"/>
        <v>459738744.89267051</v>
      </c>
      <c r="AZ887" s="365"/>
      <c r="BA887" s="377">
        <f t="shared" si="351"/>
        <v>0</v>
      </c>
      <c r="BB887" s="377">
        <f t="shared" si="352"/>
        <v>0</v>
      </c>
      <c r="BC887" s="377">
        <f t="shared" si="353"/>
        <v>0</v>
      </c>
      <c r="BD887" s="377">
        <f t="shared" si="354"/>
        <v>0</v>
      </c>
      <c r="BE887" s="377">
        <f t="shared" si="355"/>
        <v>0</v>
      </c>
      <c r="BF887" s="377">
        <f t="shared" si="356"/>
        <v>0</v>
      </c>
      <c r="BG887" s="328"/>
    </row>
    <row r="888" spans="2:59">
      <c r="B888" s="332">
        <v>873</v>
      </c>
      <c r="C888" s="350">
        <v>132033386.86000469</v>
      </c>
      <c r="D888" s="350">
        <v>133116324.76146273</v>
      </c>
      <c r="E888" s="350">
        <v>134153885.98332945</v>
      </c>
      <c r="F888" s="350">
        <v>135193912.73568141</v>
      </c>
      <c r="G888" s="350">
        <v>136239635.65826875</v>
      </c>
      <c r="H888" s="348">
        <v>670737145.99874711</v>
      </c>
      <c r="I888" s="369"/>
      <c r="J888" s="350">
        <v>167549517.08707985</v>
      </c>
      <c r="K888" s="350">
        <v>204827519.22749743</v>
      </c>
      <c r="L888" s="350">
        <v>242607634.84623975</v>
      </c>
      <c r="M888" s="350">
        <v>280952570.38744879</v>
      </c>
      <c r="N888" s="350">
        <v>319871905.93629211</v>
      </c>
      <c r="O888" s="348">
        <v>1215809147.4845579</v>
      </c>
      <c r="P888" s="369"/>
      <c r="Q888" s="350">
        <f t="shared" si="357"/>
        <v>35516130.22707516</v>
      </c>
      <c r="R888" s="350">
        <f t="shared" si="358"/>
        <v>71711194.466034696</v>
      </c>
      <c r="S888" s="350">
        <f t="shared" si="359"/>
        <v>108453748.8629103</v>
      </c>
      <c r="T888" s="350">
        <f t="shared" si="360"/>
        <v>145758657.65176737</v>
      </c>
      <c r="U888" s="350">
        <f t="shared" si="361"/>
        <v>183632270.27802336</v>
      </c>
      <c r="V888" s="350">
        <f t="shared" si="362"/>
        <v>545072001.48581076</v>
      </c>
      <c r="W888" s="365"/>
      <c r="X888" s="377">
        <f t="shared" si="340"/>
        <v>0</v>
      </c>
      <c r="Y888" s="377">
        <f t="shared" si="341"/>
        <v>0</v>
      </c>
      <c r="Z888" s="377">
        <f t="shared" si="342"/>
        <v>0</v>
      </c>
      <c r="AA888" s="377">
        <f t="shared" si="343"/>
        <v>0</v>
      </c>
      <c r="AB888" s="377">
        <f t="shared" si="344"/>
        <v>0</v>
      </c>
      <c r="AC888" s="377">
        <f t="shared" si="345"/>
        <v>0</v>
      </c>
      <c r="AD888" s="376"/>
      <c r="AE888" s="332">
        <v>873</v>
      </c>
      <c r="AF888" s="350">
        <v>130898147.49881557</v>
      </c>
      <c r="AG888" s="350">
        <v>131971774.16649634</v>
      </c>
      <c r="AH888" s="350">
        <v>133000414.3088792</v>
      </c>
      <c r="AI888" s="350">
        <v>134031498.78281176</v>
      </c>
      <c r="AJ888" s="350">
        <v>135068230.45060471</v>
      </c>
      <c r="AK888" s="348">
        <v>664970065.20760751</v>
      </c>
      <c r="AL888" s="369"/>
      <c r="AM888" s="350">
        <v>165346385.58943495</v>
      </c>
      <c r="AN888" s="350">
        <v>201553449.52102658</v>
      </c>
      <c r="AO888" s="350">
        <v>238246971.15375701</v>
      </c>
      <c r="AP888" s="350">
        <v>275488800.12605083</v>
      </c>
      <c r="AQ888" s="350">
        <v>313288301.90411007</v>
      </c>
      <c r="AR888" s="348">
        <v>1193923908.2943795</v>
      </c>
      <c r="AS888" s="369"/>
      <c r="AT888" s="350">
        <f t="shared" si="363"/>
        <v>34448238.090619385</v>
      </c>
      <c r="AU888" s="350">
        <f t="shared" si="346"/>
        <v>69581675.354530245</v>
      </c>
      <c r="AV888" s="350">
        <f t="shared" si="347"/>
        <v>105246556.84487781</v>
      </c>
      <c r="AW888" s="350">
        <f t="shared" si="348"/>
        <v>141457301.34323907</v>
      </c>
      <c r="AX888" s="350">
        <f t="shared" si="349"/>
        <v>178220071.45350537</v>
      </c>
      <c r="AY888" s="350">
        <f t="shared" si="350"/>
        <v>528953843.08677197</v>
      </c>
      <c r="AZ888" s="365"/>
      <c r="BA888" s="377">
        <f t="shared" si="351"/>
        <v>0</v>
      </c>
      <c r="BB888" s="377">
        <f t="shared" si="352"/>
        <v>0</v>
      </c>
      <c r="BC888" s="377">
        <f t="shared" si="353"/>
        <v>0</v>
      </c>
      <c r="BD888" s="377">
        <f t="shared" si="354"/>
        <v>0</v>
      </c>
      <c r="BE888" s="377">
        <f t="shared" si="355"/>
        <v>0</v>
      </c>
      <c r="BF888" s="377">
        <f t="shared" si="356"/>
        <v>0</v>
      </c>
      <c r="BG888" s="328"/>
    </row>
    <row r="889" spans="2:59">
      <c r="B889" s="332">
        <v>874</v>
      </c>
      <c r="C889" s="350">
        <v>139356813.78832805</v>
      </c>
      <c r="D889" s="350">
        <v>140499818.44091508</v>
      </c>
      <c r="E889" s="350">
        <v>141594929.52931717</v>
      </c>
      <c r="F889" s="350">
        <v>142692642.90249655</v>
      </c>
      <c r="G889" s="350">
        <v>143796368.39241147</v>
      </c>
      <c r="H889" s="348">
        <v>707940573.05346835</v>
      </c>
      <c r="I889" s="369"/>
      <c r="J889" s="350">
        <v>178647211.6122303</v>
      </c>
      <c r="K889" s="350">
        <v>219823265.00099826</v>
      </c>
      <c r="L889" s="350">
        <v>261556964.81867394</v>
      </c>
      <c r="M889" s="350">
        <v>303915250.28866166</v>
      </c>
      <c r="N889" s="350">
        <v>346908554.15105695</v>
      </c>
      <c r="O889" s="348">
        <v>1310851245.8716211</v>
      </c>
      <c r="P889" s="369"/>
      <c r="Q889" s="350">
        <f t="shared" si="357"/>
        <v>39290397.823902249</v>
      </c>
      <c r="R889" s="350">
        <f t="shared" si="358"/>
        <v>79323446.560083181</v>
      </c>
      <c r="S889" s="350">
        <f t="shared" si="359"/>
        <v>119962035.28935677</v>
      </c>
      <c r="T889" s="350">
        <f t="shared" si="360"/>
        <v>161222607.38616511</v>
      </c>
      <c r="U889" s="350">
        <f t="shared" si="361"/>
        <v>203112185.75864547</v>
      </c>
      <c r="V889" s="350">
        <f t="shared" si="362"/>
        <v>602910672.81815279</v>
      </c>
      <c r="W889" s="365"/>
      <c r="X889" s="377">
        <f t="shared" si="340"/>
        <v>0</v>
      </c>
      <c r="Y889" s="377">
        <f t="shared" si="341"/>
        <v>0</v>
      </c>
      <c r="Z889" s="377">
        <f t="shared" si="342"/>
        <v>0</v>
      </c>
      <c r="AA889" s="377">
        <f t="shared" si="343"/>
        <v>0</v>
      </c>
      <c r="AB889" s="377">
        <f t="shared" si="344"/>
        <v>0</v>
      </c>
      <c r="AC889" s="377">
        <f t="shared" si="345"/>
        <v>0</v>
      </c>
      <c r="AD889" s="376"/>
      <c r="AE889" s="332">
        <v>874</v>
      </c>
      <c r="AF889" s="350">
        <v>152003244.28554547</v>
      </c>
      <c r="AG889" s="350">
        <v>153249974.96705052</v>
      </c>
      <c r="AH889" s="350">
        <v>154444465.81227776</v>
      </c>
      <c r="AI889" s="350">
        <v>155641795.09588447</v>
      </c>
      <c r="AJ889" s="350">
        <v>156845682.08717683</v>
      </c>
      <c r="AK889" s="348">
        <v>772185162.24793506</v>
      </c>
      <c r="AL889" s="369"/>
      <c r="AM889" s="350">
        <v>192825079.90293083</v>
      </c>
      <c r="AN889" s="350">
        <v>235690901.50518104</v>
      </c>
      <c r="AO889" s="350">
        <v>279134025.61631453</v>
      </c>
      <c r="AP889" s="350">
        <v>323226616.23118615</v>
      </c>
      <c r="AQ889" s="350">
        <v>367979693.17843944</v>
      </c>
      <c r="AR889" s="348">
        <v>1398856316.434052</v>
      </c>
      <c r="AS889" s="369"/>
      <c r="AT889" s="350">
        <f t="shared" si="363"/>
        <v>40821835.617385358</v>
      </c>
      <c r="AU889" s="350">
        <f t="shared" si="346"/>
        <v>82440926.538130522</v>
      </c>
      <c r="AV889" s="350">
        <f t="shared" si="347"/>
        <v>124689559.80403677</v>
      </c>
      <c r="AW889" s="350">
        <f t="shared" si="348"/>
        <v>167584821.13530168</v>
      </c>
      <c r="AX889" s="350">
        <f t="shared" si="349"/>
        <v>211134011.09126261</v>
      </c>
      <c r="AY889" s="350">
        <f t="shared" si="350"/>
        <v>626671154.18611693</v>
      </c>
      <c r="AZ889" s="365"/>
      <c r="BA889" s="377">
        <f t="shared" si="351"/>
        <v>0</v>
      </c>
      <c r="BB889" s="377">
        <f t="shared" si="352"/>
        <v>0</v>
      </c>
      <c r="BC889" s="377">
        <f t="shared" si="353"/>
        <v>0</v>
      </c>
      <c r="BD889" s="377">
        <f t="shared" si="354"/>
        <v>0</v>
      </c>
      <c r="BE889" s="377">
        <f t="shared" si="355"/>
        <v>0</v>
      </c>
      <c r="BF889" s="377">
        <f t="shared" si="356"/>
        <v>0</v>
      </c>
      <c r="BG889" s="328"/>
    </row>
    <row r="890" spans="2:59">
      <c r="B890" s="332">
        <v>875</v>
      </c>
      <c r="C890" s="350">
        <v>146801213.621867</v>
      </c>
      <c r="D890" s="350">
        <v>148005277.24540877</v>
      </c>
      <c r="E890" s="350">
        <v>149158888.84471229</v>
      </c>
      <c r="F890" s="350">
        <v>150315241.74207726</v>
      </c>
      <c r="G890" s="350">
        <v>151477927.9216781</v>
      </c>
      <c r="H890" s="348">
        <v>745758549.37574339</v>
      </c>
      <c r="I890" s="369"/>
      <c r="J890" s="350">
        <v>181817828.33214116</v>
      </c>
      <c r="K890" s="350">
        <v>218728756.65213114</v>
      </c>
      <c r="L890" s="350">
        <v>256129348.20469061</v>
      </c>
      <c r="M890" s="350">
        <v>294087452.64797467</v>
      </c>
      <c r="N890" s="350">
        <v>332612925.294846</v>
      </c>
      <c r="O890" s="348">
        <v>1283376311.1317837</v>
      </c>
      <c r="P890" s="369"/>
      <c r="Q890" s="350">
        <f t="shared" si="357"/>
        <v>35016614.71027416</v>
      </c>
      <c r="R890" s="350">
        <f t="shared" si="358"/>
        <v>70723479.406722367</v>
      </c>
      <c r="S890" s="350">
        <f t="shared" si="359"/>
        <v>106970459.35997832</v>
      </c>
      <c r="T890" s="350">
        <f t="shared" si="360"/>
        <v>143772210.90589741</v>
      </c>
      <c r="U890" s="350">
        <f t="shared" si="361"/>
        <v>181134997.3731679</v>
      </c>
      <c r="V890" s="350">
        <f t="shared" si="362"/>
        <v>537617761.75604033</v>
      </c>
      <c r="W890" s="365"/>
      <c r="X890" s="377">
        <f t="shared" si="340"/>
        <v>0</v>
      </c>
      <c r="Y890" s="377">
        <f t="shared" si="341"/>
        <v>0</v>
      </c>
      <c r="Z890" s="377">
        <f t="shared" si="342"/>
        <v>0</v>
      </c>
      <c r="AA890" s="377">
        <f t="shared" si="343"/>
        <v>0</v>
      </c>
      <c r="AB890" s="377">
        <f t="shared" si="344"/>
        <v>0</v>
      </c>
      <c r="AC890" s="377">
        <f t="shared" si="345"/>
        <v>0</v>
      </c>
      <c r="AD890" s="376"/>
      <c r="AE890" s="332">
        <v>875</v>
      </c>
      <c r="AF890" s="350">
        <v>120052184.29795539</v>
      </c>
      <c r="AG890" s="350">
        <v>121036852.37033418</v>
      </c>
      <c r="AH890" s="350">
        <v>121980261.41247313</v>
      </c>
      <c r="AI890" s="350">
        <v>122925912.25365433</v>
      </c>
      <c r="AJ890" s="350">
        <v>123876742.37331304</v>
      </c>
      <c r="AK890" s="348">
        <v>609871952.70773005</v>
      </c>
      <c r="AL890" s="369"/>
      <c r="AM890" s="350">
        <v>150440890.7502934</v>
      </c>
      <c r="AN890" s="350">
        <v>182413846.70210293</v>
      </c>
      <c r="AO890" s="350">
        <v>214814284.19798073</v>
      </c>
      <c r="AP890" s="350">
        <v>247698423.40560302</v>
      </c>
      <c r="AQ890" s="350">
        <v>281074637.43649465</v>
      </c>
      <c r="AR890" s="348">
        <v>1076442082.4924748</v>
      </c>
      <c r="AS890" s="369"/>
      <c r="AT890" s="350">
        <f t="shared" si="363"/>
        <v>30388706.45233801</v>
      </c>
      <c r="AU890" s="350">
        <f t="shared" si="346"/>
        <v>61376994.331768751</v>
      </c>
      <c r="AV890" s="350">
        <f t="shared" si="347"/>
        <v>92834022.785507604</v>
      </c>
      <c r="AW890" s="350">
        <f t="shared" si="348"/>
        <v>124772511.15194869</v>
      </c>
      <c r="AX890" s="350">
        <f t="shared" si="349"/>
        <v>157197895.06318161</v>
      </c>
      <c r="AY890" s="350">
        <f t="shared" si="350"/>
        <v>466570129.78474474</v>
      </c>
      <c r="AZ890" s="365"/>
      <c r="BA890" s="377">
        <f t="shared" si="351"/>
        <v>0</v>
      </c>
      <c r="BB890" s="377">
        <f t="shared" si="352"/>
        <v>0</v>
      </c>
      <c r="BC890" s="377">
        <f t="shared" si="353"/>
        <v>0</v>
      </c>
      <c r="BD890" s="377">
        <f t="shared" si="354"/>
        <v>0</v>
      </c>
      <c r="BE890" s="377">
        <f t="shared" si="355"/>
        <v>0</v>
      </c>
      <c r="BF890" s="377">
        <f t="shared" si="356"/>
        <v>0</v>
      </c>
      <c r="BG890" s="328"/>
    </row>
    <row r="891" spans="2:59">
      <c r="B891" s="332">
        <v>876</v>
      </c>
      <c r="C891" s="350">
        <v>131170125.58204687</v>
      </c>
      <c r="D891" s="350">
        <v>132245983.01409489</v>
      </c>
      <c r="E891" s="350">
        <v>133276760.44856019</v>
      </c>
      <c r="F891" s="350">
        <v>134309987.29336837</v>
      </c>
      <c r="G891" s="350">
        <v>135348873.0656862</v>
      </c>
      <c r="H891" s="348">
        <v>666351729.4037565</v>
      </c>
      <c r="I891" s="369"/>
      <c r="J891" s="350">
        <v>161931349.99397555</v>
      </c>
      <c r="K891" s="350">
        <v>194376044.30805331</v>
      </c>
      <c r="L891" s="350">
        <v>227250155.84209636</v>
      </c>
      <c r="M891" s="350">
        <v>260614089.29944369</v>
      </c>
      <c r="N891" s="350">
        <v>294476556.56565678</v>
      </c>
      <c r="O891" s="348">
        <v>1138648196.0092258</v>
      </c>
      <c r="P891" s="369"/>
      <c r="Q891" s="350">
        <f t="shared" si="357"/>
        <v>30761224.411928684</v>
      </c>
      <c r="R891" s="350">
        <f t="shared" si="358"/>
        <v>62130061.293958426</v>
      </c>
      <c r="S891" s="350">
        <f t="shared" si="359"/>
        <v>93973395.393536165</v>
      </c>
      <c r="T891" s="350">
        <f t="shared" si="360"/>
        <v>126304102.00607532</v>
      </c>
      <c r="U891" s="350">
        <f t="shared" si="361"/>
        <v>159127683.49997059</v>
      </c>
      <c r="V891" s="350">
        <f t="shared" si="362"/>
        <v>472296466.60546935</v>
      </c>
      <c r="W891" s="365"/>
      <c r="X891" s="377">
        <f t="shared" si="340"/>
        <v>0</v>
      </c>
      <c r="Y891" s="377">
        <f t="shared" si="341"/>
        <v>0</v>
      </c>
      <c r="Z891" s="377">
        <f t="shared" si="342"/>
        <v>0</v>
      </c>
      <c r="AA891" s="377">
        <f t="shared" si="343"/>
        <v>0</v>
      </c>
      <c r="AB891" s="377">
        <f t="shared" si="344"/>
        <v>0</v>
      </c>
      <c r="AC891" s="377">
        <f t="shared" si="345"/>
        <v>0</v>
      </c>
      <c r="AD891" s="376"/>
      <c r="AE891" s="332">
        <v>876</v>
      </c>
      <c r="AF891" s="350">
        <v>149637891.00407535</v>
      </c>
      <c r="AG891" s="350">
        <v>150865221.05684736</v>
      </c>
      <c r="AH891" s="350">
        <v>152041124.18801808</v>
      </c>
      <c r="AI891" s="350">
        <v>153219821.58805355</v>
      </c>
      <c r="AJ891" s="350">
        <v>154404974.64995676</v>
      </c>
      <c r="AK891" s="348">
        <v>760169032.48695111</v>
      </c>
      <c r="AL891" s="369"/>
      <c r="AM891" s="350">
        <v>184318984.87716961</v>
      </c>
      <c r="AN891" s="350">
        <v>220934696.98190737</v>
      </c>
      <c r="AO891" s="350">
        <v>258034290.87259933</v>
      </c>
      <c r="AP891" s="350">
        <v>295686504.95627856</v>
      </c>
      <c r="AQ891" s="350">
        <v>333901207.5512073</v>
      </c>
      <c r="AR891" s="348">
        <v>1292875685.2391622</v>
      </c>
      <c r="AS891" s="369"/>
      <c r="AT891" s="350">
        <f t="shared" si="363"/>
        <v>34681093.873094261</v>
      </c>
      <c r="AU891" s="350">
        <f t="shared" si="346"/>
        <v>70069475.925060004</v>
      </c>
      <c r="AV891" s="350">
        <f t="shared" si="347"/>
        <v>105993166.68458125</v>
      </c>
      <c r="AW891" s="350">
        <f t="shared" si="348"/>
        <v>142466683.36822501</v>
      </c>
      <c r="AX891" s="350">
        <f t="shared" si="349"/>
        <v>179496232.90125054</v>
      </c>
      <c r="AY891" s="350">
        <f t="shared" si="350"/>
        <v>532706652.75221109</v>
      </c>
      <c r="AZ891" s="365"/>
      <c r="BA891" s="377">
        <f t="shared" si="351"/>
        <v>0</v>
      </c>
      <c r="BB891" s="377">
        <f t="shared" si="352"/>
        <v>0</v>
      </c>
      <c r="BC891" s="377">
        <f t="shared" si="353"/>
        <v>0</v>
      </c>
      <c r="BD891" s="377">
        <f t="shared" si="354"/>
        <v>0</v>
      </c>
      <c r="BE891" s="377">
        <f t="shared" si="355"/>
        <v>0</v>
      </c>
      <c r="BF891" s="377">
        <f t="shared" si="356"/>
        <v>0</v>
      </c>
      <c r="BG891" s="328"/>
    </row>
    <row r="892" spans="2:59">
      <c r="B892" s="332">
        <v>877</v>
      </c>
      <c r="C892" s="350">
        <v>120614109.38520586</v>
      </c>
      <c r="D892" s="350">
        <v>121603386.36741596</v>
      </c>
      <c r="E892" s="350">
        <v>122551211.19933349</v>
      </c>
      <c r="F892" s="350">
        <v>123501288.32342279</v>
      </c>
      <c r="G892" s="350">
        <v>124456568.96850155</v>
      </c>
      <c r="H892" s="348">
        <v>612726564.24387968</v>
      </c>
      <c r="I892" s="369"/>
      <c r="J892" s="350">
        <v>156371700.74412462</v>
      </c>
      <c r="K892" s="350">
        <v>193788016.31688073</v>
      </c>
      <c r="L892" s="350">
        <v>231713872.23934278</v>
      </c>
      <c r="M892" s="350">
        <v>270207937.46090227</v>
      </c>
      <c r="N892" s="350">
        <v>309279553.67069256</v>
      </c>
      <c r="O892" s="348">
        <v>1161361080.4319429</v>
      </c>
      <c r="P892" s="369"/>
      <c r="Q892" s="350">
        <f t="shared" si="357"/>
        <v>35757591.358918756</v>
      </c>
      <c r="R892" s="350">
        <f t="shared" si="358"/>
        <v>72184629.949464768</v>
      </c>
      <c r="S892" s="350">
        <f t="shared" si="359"/>
        <v>109162661.04000929</v>
      </c>
      <c r="T892" s="350">
        <f t="shared" si="360"/>
        <v>146706649.13747948</v>
      </c>
      <c r="U892" s="350">
        <f t="shared" si="361"/>
        <v>184822984.702191</v>
      </c>
      <c r="V892" s="350">
        <f t="shared" si="362"/>
        <v>548634516.18806326</v>
      </c>
      <c r="W892" s="365"/>
      <c r="X892" s="377">
        <f t="shared" si="340"/>
        <v>0</v>
      </c>
      <c r="Y892" s="377">
        <f t="shared" si="341"/>
        <v>0</v>
      </c>
      <c r="Z892" s="377">
        <f t="shared" si="342"/>
        <v>0</v>
      </c>
      <c r="AA892" s="377">
        <f t="shared" si="343"/>
        <v>0</v>
      </c>
      <c r="AB892" s="377">
        <f t="shared" si="344"/>
        <v>0</v>
      </c>
      <c r="AC892" s="377">
        <f t="shared" si="345"/>
        <v>0</v>
      </c>
      <c r="AD892" s="376"/>
      <c r="AE892" s="332">
        <v>877</v>
      </c>
      <c r="AF892" s="350">
        <v>129296665.89754614</v>
      </c>
      <c r="AG892" s="350">
        <v>130357157.21237601</v>
      </c>
      <c r="AH892" s="350">
        <v>131373212.39237529</v>
      </c>
      <c r="AI892" s="350">
        <v>132391681.9985965</v>
      </c>
      <c r="AJ892" s="350">
        <v>133415729.70773043</v>
      </c>
      <c r="AK892" s="348">
        <v>656834447.20862436</v>
      </c>
      <c r="AL892" s="369"/>
      <c r="AM892" s="350">
        <v>157184974.73707926</v>
      </c>
      <c r="AN892" s="350">
        <v>186687223.58254451</v>
      </c>
      <c r="AO892" s="350">
        <v>216575258.56557465</v>
      </c>
      <c r="AP892" s="350">
        <v>246907603.21010903</v>
      </c>
      <c r="AQ892" s="350">
        <v>277692410.06708944</v>
      </c>
      <c r="AR892" s="348">
        <v>1085047470.1623969</v>
      </c>
      <c r="AS892" s="369"/>
      <c r="AT892" s="350">
        <f t="shared" si="363"/>
        <v>27888308.83953312</v>
      </c>
      <c r="AU892" s="350">
        <f t="shared" si="346"/>
        <v>56330066.370168492</v>
      </c>
      <c r="AV892" s="350">
        <f t="shared" si="347"/>
        <v>85202046.173199356</v>
      </c>
      <c r="AW892" s="350">
        <f t="shared" si="348"/>
        <v>114515921.21151252</v>
      </c>
      <c r="AX892" s="350">
        <f t="shared" si="349"/>
        <v>144276680.35935903</v>
      </c>
      <c r="AY892" s="350">
        <f t="shared" si="350"/>
        <v>428213022.95377254</v>
      </c>
      <c r="AZ892" s="365"/>
      <c r="BA892" s="377">
        <f t="shared" si="351"/>
        <v>0</v>
      </c>
      <c r="BB892" s="377">
        <f t="shared" si="352"/>
        <v>0</v>
      </c>
      <c r="BC892" s="377">
        <f t="shared" si="353"/>
        <v>0</v>
      </c>
      <c r="BD892" s="377">
        <f t="shared" si="354"/>
        <v>0</v>
      </c>
      <c r="BE892" s="377">
        <f t="shared" si="355"/>
        <v>0</v>
      </c>
      <c r="BF892" s="377">
        <f t="shared" si="356"/>
        <v>0</v>
      </c>
      <c r="BG892" s="328"/>
    </row>
    <row r="893" spans="2:59">
      <c r="B893" s="332">
        <v>878</v>
      </c>
      <c r="C893" s="350">
        <v>118476586.08280706</v>
      </c>
      <c r="D893" s="350">
        <v>119448331.09788018</v>
      </c>
      <c r="E893" s="350">
        <v>120379358.57768738</v>
      </c>
      <c r="F893" s="350">
        <v>121312598.43454343</v>
      </c>
      <c r="G893" s="350">
        <v>122250949.59558758</v>
      </c>
      <c r="H893" s="348">
        <v>601867823.78850567</v>
      </c>
      <c r="I893" s="369"/>
      <c r="J893" s="350">
        <v>146083264.05204332</v>
      </c>
      <c r="K893" s="350">
        <v>175209606.27247053</v>
      </c>
      <c r="L893" s="350">
        <v>204721109.54682526</v>
      </c>
      <c r="M893" s="350">
        <v>234672258.87387499</v>
      </c>
      <c r="N893" s="350">
        <v>265070891.68381491</v>
      </c>
      <c r="O893" s="348">
        <v>1025757130.429029</v>
      </c>
      <c r="P893" s="369"/>
      <c r="Q893" s="350">
        <f t="shared" si="357"/>
        <v>27606677.969236255</v>
      </c>
      <c r="R893" s="350">
        <f t="shared" si="358"/>
        <v>55761275.174590349</v>
      </c>
      <c r="S893" s="350">
        <f t="shared" si="359"/>
        <v>84341750.969137877</v>
      </c>
      <c r="T893" s="350">
        <f t="shared" si="360"/>
        <v>113359660.43933156</v>
      </c>
      <c r="U893" s="350">
        <f t="shared" si="361"/>
        <v>142819942.08822733</v>
      </c>
      <c r="V893" s="350">
        <f t="shared" si="362"/>
        <v>423889306.64052331</v>
      </c>
      <c r="W893" s="365"/>
      <c r="X893" s="377">
        <f t="shared" si="340"/>
        <v>0</v>
      </c>
      <c r="Y893" s="377">
        <f t="shared" si="341"/>
        <v>0</v>
      </c>
      <c r="Z893" s="377">
        <f t="shared" si="342"/>
        <v>0</v>
      </c>
      <c r="AA893" s="377">
        <f t="shared" si="343"/>
        <v>0</v>
      </c>
      <c r="AB893" s="377">
        <f t="shared" si="344"/>
        <v>0</v>
      </c>
      <c r="AC893" s="377">
        <f t="shared" si="345"/>
        <v>0</v>
      </c>
      <c r="AD893" s="376"/>
      <c r="AE893" s="332">
        <v>878</v>
      </c>
      <c r="AF893" s="350">
        <v>143299178.68301192</v>
      </c>
      <c r="AG893" s="350">
        <v>144474518.61432928</v>
      </c>
      <c r="AH893" s="350">
        <v>145600610.08606055</v>
      </c>
      <c r="AI893" s="350">
        <v>146729377.46047035</v>
      </c>
      <c r="AJ893" s="350">
        <v>147864327.03269973</v>
      </c>
      <c r="AK893" s="348">
        <v>727968011.87657177</v>
      </c>
      <c r="AL893" s="369"/>
      <c r="AM893" s="350">
        <v>180775083.5081329</v>
      </c>
      <c r="AN893" s="350">
        <v>220177827.00864437</v>
      </c>
      <c r="AO893" s="350">
        <v>260109569.81625256</v>
      </c>
      <c r="AP893" s="350">
        <v>300637922.68383157</v>
      </c>
      <c r="AQ893" s="350">
        <v>341773097.07128924</v>
      </c>
      <c r="AR893" s="348">
        <v>1303473500.0881507</v>
      </c>
      <c r="AS893" s="369"/>
      <c r="AT893" s="350">
        <f t="shared" si="363"/>
        <v>37475904.825120986</v>
      </c>
      <c r="AU893" s="350">
        <f t="shared" si="346"/>
        <v>75703308.394315094</v>
      </c>
      <c r="AV893" s="350">
        <f t="shared" si="347"/>
        <v>114508959.73019201</v>
      </c>
      <c r="AW893" s="350">
        <f t="shared" si="348"/>
        <v>153908545.22336122</v>
      </c>
      <c r="AX893" s="350">
        <f t="shared" si="349"/>
        <v>193908770.03858951</v>
      </c>
      <c r="AY893" s="350">
        <f t="shared" si="350"/>
        <v>575505488.21157897</v>
      </c>
      <c r="AZ893" s="365"/>
      <c r="BA893" s="377">
        <f t="shared" si="351"/>
        <v>0</v>
      </c>
      <c r="BB893" s="377">
        <f t="shared" si="352"/>
        <v>0</v>
      </c>
      <c r="BC893" s="377">
        <f t="shared" si="353"/>
        <v>0</v>
      </c>
      <c r="BD893" s="377">
        <f t="shared" si="354"/>
        <v>0</v>
      </c>
      <c r="BE893" s="377">
        <f t="shared" si="355"/>
        <v>0</v>
      </c>
      <c r="BF893" s="377">
        <f t="shared" si="356"/>
        <v>0</v>
      </c>
      <c r="BG893" s="328"/>
    </row>
    <row r="894" spans="2:59">
      <c r="B894" s="332">
        <v>879</v>
      </c>
      <c r="C894" s="350">
        <v>134854116.4987635</v>
      </c>
      <c r="D894" s="350">
        <v>135960190.02605242</v>
      </c>
      <c r="E894" s="350">
        <v>137019917.45724049</v>
      </c>
      <c r="F894" s="350">
        <v>138082163.09191632</v>
      </c>
      <c r="G894" s="350">
        <v>139150226.58844346</v>
      </c>
      <c r="H894" s="348">
        <v>685066613.66241622</v>
      </c>
      <c r="I894" s="369"/>
      <c r="J894" s="350">
        <v>171290723.63941613</v>
      </c>
      <c r="K894" s="350">
        <v>209586631.37372172</v>
      </c>
      <c r="L894" s="350">
        <v>248398756.39292035</v>
      </c>
      <c r="M894" s="350">
        <v>287791215.61962873</v>
      </c>
      <c r="N894" s="350">
        <v>327773831.37151432</v>
      </c>
      <c r="O894" s="348">
        <v>1244841158.3972013</v>
      </c>
      <c r="P894" s="369"/>
      <c r="Q894" s="350">
        <f t="shared" si="357"/>
        <v>36436607.140652627</v>
      </c>
      <c r="R894" s="350">
        <f t="shared" si="358"/>
        <v>73626441.347669303</v>
      </c>
      <c r="S894" s="350">
        <f t="shared" si="359"/>
        <v>111378838.93567985</v>
      </c>
      <c r="T894" s="350">
        <f t="shared" si="360"/>
        <v>149709052.5277124</v>
      </c>
      <c r="U894" s="350">
        <f t="shared" si="361"/>
        <v>188623604.78307086</v>
      </c>
      <c r="V894" s="350">
        <f t="shared" si="362"/>
        <v>559774544.73478508</v>
      </c>
      <c r="W894" s="365"/>
      <c r="X894" s="377">
        <f t="shared" si="340"/>
        <v>0</v>
      </c>
      <c r="Y894" s="377">
        <f t="shared" si="341"/>
        <v>0</v>
      </c>
      <c r="Z894" s="377">
        <f t="shared" si="342"/>
        <v>0</v>
      </c>
      <c r="AA894" s="377">
        <f t="shared" si="343"/>
        <v>0</v>
      </c>
      <c r="AB894" s="377">
        <f t="shared" si="344"/>
        <v>0</v>
      </c>
      <c r="AC894" s="377">
        <f t="shared" si="345"/>
        <v>0</v>
      </c>
      <c r="AD894" s="376"/>
      <c r="AE894" s="332">
        <v>879</v>
      </c>
      <c r="AF894" s="350">
        <v>133111179.18476638</v>
      </c>
      <c r="AG894" s="350">
        <v>134202957.13938174</v>
      </c>
      <c r="AH894" s="350">
        <v>135248988.00326854</v>
      </c>
      <c r="AI894" s="350">
        <v>136297504.52383664</v>
      </c>
      <c r="AJ894" s="350">
        <v>137351763.71264109</v>
      </c>
      <c r="AK894" s="348">
        <v>676212392.56389439</v>
      </c>
      <c r="AL894" s="369"/>
      <c r="AM894" s="350">
        <v>164720785.2062453</v>
      </c>
      <c r="AN894" s="350">
        <v>198045689.7938754</v>
      </c>
      <c r="AO894" s="350">
        <v>231812417.69815204</v>
      </c>
      <c r="AP894" s="350">
        <v>266082432.00991607</v>
      </c>
      <c r="AQ894" s="350">
        <v>300864643.73244202</v>
      </c>
      <c r="AR894" s="348">
        <v>1161525968.4406309</v>
      </c>
      <c r="AS894" s="369"/>
      <c r="AT894" s="350">
        <f t="shared" si="363"/>
        <v>31609606.021478921</v>
      </c>
      <c r="AU894" s="350">
        <f t="shared" si="346"/>
        <v>63842732.65449366</v>
      </c>
      <c r="AV894" s="350">
        <f t="shared" si="347"/>
        <v>96563429.694883496</v>
      </c>
      <c r="AW894" s="350">
        <f t="shared" si="348"/>
        <v>129784927.48607942</v>
      </c>
      <c r="AX894" s="350">
        <f t="shared" si="349"/>
        <v>163512880.01980093</v>
      </c>
      <c r="AY894" s="350">
        <f t="shared" si="350"/>
        <v>485313575.87673652</v>
      </c>
      <c r="AZ894" s="365"/>
      <c r="BA894" s="377">
        <f t="shared" si="351"/>
        <v>0</v>
      </c>
      <c r="BB894" s="377">
        <f t="shared" si="352"/>
        <v>0</v>
      </c>
      <c r="BC894" s="377">
        <f t="shared" si="353"/>
        <v>0</v>
      </c>
      <c r="BD894" s="377">
        <f t="shared" si="354"/>
        <v>0</v>
      </c>
      <c r="BE894" s="377">
        <f t="shared" si="355"/>
        <v>0</v>
      </c>
      <c r="BF894" s="377">
        <f t="shared" si="356"/>
        <v>0</v>
      </c>
      <c r="BG894" s="328"/>
    </row>
    <row r="895" spans="2:59">
      <c r="B895" s="332">
        <v>880</v>
      </c>
      <c r="C895" s="350">
        <v>124667916.35920346</v>
      </c>
      <c r="D895" s="350">
        <v>125690442.66813114</v>
      </c>
      <c r="E895" s="350">
        <v>126670123.63141949</v>
      </c>
      <c r="F895" s="350">
        <v>127652132.58579883</v>
      </c>
      <c r="G895" s="350">
        <v>128639519.95007388</v>
      </c>
      <c r="H895" s="348">
        <v>633320135.19462681</v>
      </c>
      <c r="I895" s="369"/>
      <c r="J895" s="350">
        <v>156558498.08747798</v>
      </c>
      <c r="K895" s="350">
        <v>190085258.77508771</v>
      </c>
      <c r="L895" s="350">
        <v>224060838.27627385</v>
      </c>
      <c r="M895" s="350">
        <v>258543757.01857299</v>
      </c>
      <c r="N895" s="350">
        <v>293542767.31819481</v>
      </c>
      <c r="O895" s="348">
        <v>1122791119.4756074</v>
      </c>
      <c r="P895" s="369"/>
      <c r="Q895" s="350">
        <f t="shared" si="357"/>
        <v>31890581.728274524</v>
      </c>
      <c r="R895" s="350">
        <f t="shared" si="358"/>
        <v>64394816.106956571</v>
      </c>
      <c r="S895" s="350">
        <f t="shared" si="359"/>
        <v>97390714.644854352</v>
      </c>
      <c r="T895" s="350">
        <f t="shared" si="360"/>
        <v>130891624.43277416</v>
      </c>
      <c r="U895" s="350">
        <f t="shared" si="361"/>
        <v>164903247.36812091</v>
      </c>
      <c r="V895" s="350">
        <f t="shared" si="362"/>
        <v>489470984.28098059</v>
      </c>
      <c r="W895" s="365"/>
      <c r="X895" s="377">
        <f t="shared" si="340"/>
        <v>0</v>
      </c>
      <c r="Y895" s="377">
        <f t="shared" si="341"/>
        <v>0</v>
      </c>
      <c r="Z895" s="377">
        <f t="shared" si="342"/>
        <v>0</v>
      </c>
      <c r="AA895" s="377">
        <f t="shared" si="343"/>
        <v>0</v>
      </c>
      <c r="AB895" s="377">
        <f t="shared" si="344"/>
        <v>0</v>
      </c>
      <c r="AC895" s="377">
        <f t="shared" si="345"/>
        <v>0</v>
      </c>
      <c r="AD895" s="376"/>
      <c r="AE895" s="332">
        <v>880</v>
      </c>
      <c r="AF895" s="350">
        <v>130420727.99293341</v>
      </c>
      <c r="AG895" s="350">
        <v>131490438.86560115</v>
      </c>
      <c r="AH895" s="350">
        <v>132515327.29050069</v>
      </c>
      <c r="AI895" s="350">
        <v>133542651.13183859</v>
      </c>
      <c r="AJ895" s="350">
        <v>134575601.57025564</v>
      </c>
      <c r="AK895" s="348">
        <v>662544746.85112953</v>
      </c>
      <c r="AL895" s="369"/>
      <c r="AM895" s="350">
        <v>159949668.62784895</v>
      </c>
      <c r="AN895" s="350">
        <v>191138240.01681572</v>
      </c>
      <c r="AO895" s="350">
        <v>222737581.62139112</v>
      </c>
      <c r="AP895" s="350">
        <v>254807311.1908156</v>
      </c>
      <c r="AQ895" s="350">
        <v>287355902.86597914</v>
      </c>
      <c r="AR895" s="348">
        <v>1115988704.3228505</v>
      </c>
      <c r="AS895" s="369"/>
      <c r="AT895" s="350">
        <f t="shared" si="363"/>
        <v>29528940.634915546</v>
      </c>
      <c r="AU895" s="350">
        <f t="shared" si="346"/>
        <v>59647801.15121457</v>
      </c>
      <c r="AV895" s="350">
        <f t="shared" si="347"/>
        <v>90222254.330890432</v>
      </c>
      <c r="AW895" s="350">
        <f t="shared" si="348"/>
        <v>121264660.05897701</v>
      </c>
      <c r="AX895" s="350">
        <f t="shared" si="349"/>
        <v>152780301.2957235</v>
      </c>
      <c r="AY895" s="350">
        <f t="shared" si="350"/>
        <v>453443957.47172093</v>
      </c>
      <c r="AZ895" s="365"/>
      <c r="BA895" s="377">
        <f t="shared" si="351"/>
        <v>0</v>
      </c>
      <c r="BB895" s="377">
        <f t="shared" si="352"/>
        <v>0</v>
      </c>
      <c r="BC895" s="377">
        <f t="shared" si="353"/>
        <v>0</v>
      </c>
      <c r="BD895" s="377">
        <f t="shared" si="354"/>
        <v>0</v>
      </c>
      <c r="BE895" s="377">
        <f t="shared" si="355"/>
        <v>0</v>
      </c>
      <c r="BF895" s="377">
        <f t="shared" si="356"/>
        <v>0</v>
      </c>
      <c r="BG895" s="328"/>
    </row>
    <row r="896" spans="2:59">
      <c r="B896" s="332">
        <v>881</v>
      </c>
      <c r="C896" s="350">
        <v>118243741.2628655</v>
      </c>
      <c r="D896" s="350">
        <v>119213576.48461531</v>
      </c>
      <c r="E896" s="350">
        <v>120142774.19422859</v>
      </c>
      <c r="F896" s="350">
        <v>121074179.93285401</v>
      </c>
      <c r="G896" s="350">
        <v>122010686.93030134</v>
      </c>
      <c r="H896" s="348">
        <v>600684958.80486476</v>
      </c>
      <c r="I896" s="369"/>
      <c r="J896" s="350">
        <v>150856722.78113002</v>
      </c>
      <c r="K896" s="350">
        <v>185084207.83712929</v>
      </c>
      <c r="L896" s="350">
        <v>219774123.73876268</v>
      </c>
      <c r="M896" s="350">
        <v>254982966.4132736</v>
      </c>
      <c r="N896" s="350">
        <v>290719462.76227736</v>
      </c>
      <c r="O896" s="348">
        <v>1101417483.532573</v>
      </c>
      <c r="P896" s="369"/>
      <c r="Q896" s="350">
        <f t="shared" si="357"/>
        <v>32612981.518264517</v>
      </c>
      <c r="R896" s="350">
        <f t="shared" si="358"/>
        <v>65870631.352513984</v>
      </c>
      <c r="S896" s="350">
        <f t="shared" si="359"/>
        <v>99631349.544534087</v>
      </c>
      <c r="T896" s="350">
        <f t="shared" si="360"/>
        <v>133908786.48041959</v>
      </c>
      <c r="U896" s="350">
        <f t="shared" si="361"/>
        <v>168708775.83197603</v>
      </c>
      <c r="V896" s="350">
        <f t="shared" si="362"/>
        <v>500732524.72770822</v>
      </c>
      <c r="W896" s="365"/>
      <c r="X896" s="377">
        <f t="shared" si="340"/>
        <v>0</v>
      </c>
      <c r="Y896" s="377">
        <f t="shared" si="341"/>
        <v>0</v>
      </c>
      <c r="Z896" s="377">
        <f t="shared" si="342"/>
        <v>0</v>
      </c>
      <c r="AA896" s="377">
        <f t="shared" si="343"/>
        <v>0</v>
      </c>
      <c r="AB896" s="377">
        <f t="shared" si="344"/>
        <v>0</v>
      </c>
      <c r="AC896" s="377">
        <f t="shared" si="345"/>
        <v>0</v>
      </c>
      <c r="AD896" s="376"/>
      <c r="AE896" s="332">
        <v>881</v>
      </c>
      <c r="AF896" s="350">
        <v>125227719.80043918</v>
      </c>
      <c r="AG896" s="350">
        <v>126254837.61745661</v>
      </c>
      <c r="AH896" s="350">
        <v>127238917.69794029</v>
      </c>
      <c r="AI896" s="350">
        <v>128225336.22302584</v>
      </c>
      <c r="AJ896" s="350">
        <v>129217157.30898726</v>
      </c>
      <c r="AK896" s="348">
        <v>636163968.6478492</v>
      </c>
      <c r="AL896" s="369"/>
      <c r="AM896" s="350">
        <v>164636341.86752453</v>
      </c>
      <c r="AN896" s="350">
        <v>205834221.32827884</v>
      </c>
      <c r="AO896" s="350">
        <v>247596694.0763244</v>
      </c>
      <c r="AP896" s="350">
        <v>289985630.10383487</v>
      </c>
      <c r="AQ896" s="350">
        <v>333011140.20074338</v>
      </c>
      <c r="AR896" s="348">
        <v>1241064027.5767062</v>
      </c>
      <c r="AS896" s="369"/>
      <c r="AT896" s="350">
        <f t="shared" si="363"/>
        <v>39408622.067085356</v>
      </c>
      <c r="AU896" s="350">
        <f t="shared" si="346"/>
        <v>79579383.710822225</v>
      </c>
      <c r="AV896" s="350">
        <f t="shared" si="347"/>
        <v>120357776.37838411</v>
      </c>
      <c r="AW896" s="350">
        <f t="shared" si="348"/>
        <v>161760293.88080901</v>
      </c>
      <c r="AX896" s="350">
        <f t="shared" si="349"/>
        <v>203793982.89175612</v>
      </c>
      <c r="AY896" s="350">
        <f t="shared" si="350"/>
        <v>604900058.92885697</v>
      </c>
      <c r="AZ896" s="365"/>
      <c r="BA896" s="377">
        <f t="shared" si="351"/>
        <v>0</v>
      </c>
      <c r="BB896" s="377">
        <f t="shared" si="352"/>
        <v>0</v>
      </c>
      <c r="BC896" s="377">
        <f t="shared" si="353"/>
        <v>0</v>
      </c>
      <c r="BD896" s="377">
        <f t="shared" si="354"/>
        <v>0</v>
      </c>
      <c r="BE896" s="377">
        <f t="shared" si="355"/>
        <v>0</v>
      </c>
      <c r="BF896" s="377">
        <f t="shared" si="356"/>
        <v>0</v>
      </c>
      <c r="BG896" s="328"/>
    </row>
    <row r="897" spans="2:59">
      <c r="B897" s="332">
        <v>882</v>
      </c>
      <c r="C897" s="350">
        <v>148094275.26331109</v>
      </c>
      <c r="D897" s="350">
        <v>149308944.57904744</v>
      </c>
      <c r="E897" s="350">
        <v>150472717.47655401</v>
      </c>
      <c r="F897" s="350">
        <v>151639255.81815791</v>
      </c>
      <c r="G897" s="350">
        <v>152812183.22712454</v>
      </c>
      <c r="H897" s="348">
        <v>752327376.36419499</v>
      </c>
      <c r="I897" s="369"/>
      <c r="J897" s="350">
        <v>179312727.70182419</v>
      </c>
      <c r="K897" s="350">
        <v>212397267.29640096</v>
      </c>
      <c r="L897" s="350">
        <v>245913002.59569919</v>
      </c>
      <c r="M897" s="350">
        <v>279926664.06520903</v>
      </c>
      <c r="N897" s="350">
        <v>314447464.79054368</v>
      </c>
      <c r="O897" s="348">
        <v>1231997126.449677</v>
      </c>
      <c r="P897" s="369"/>
      <c r="Q897" s="350">
        <f t="shared" si="357"/>
        <v>31218452.4385131</v>
      </c>
      <c r="R897" s="350">
        <f t="shared" si="358"/>
        <v>63088322.717353523</v>
      </c>
      <c r="S897" s="350">
        <f t="shared" si="359"/>
        <v>95440285.119145185</v>
      </c>
      <c r="T897" s="350">
        <f t="shared" si="360"/>
        <v>128287408.24705112</v>
      </c>
      <c r="U897" s="350">
        <f t="shared" si="361"/>
        <v>161635281.56341913</v>
      </c>
      <c r="V897" s="350">
        <f t="shared" si="362"/>
        <v>479669750.085482</v>
      </c>
      <c r="W897" s="365"/>
      <c r="X897" s="377">
        <f t="shared" si="340"/>
        <v>0</v>
      </c>
      <c r="Y897" s="377">
        <f t="shared" si="341"/>
        <v>0</v>
      </c>
      <c r="Z897" s="377">
        <f t="shared" si="342"/>
        <v>0</v>
      </c>
      <c r="AA897" s="377">
        <f t="shared" si="343"/>
        <v>0</v>
      </c>
      <c r="AB897" s="377">
        <f t="shared" si="344"/>
        <v>0</v>
      </c>
      <c r="AC897" s="377">
        <f t="shared" si="345"/>
        <v>0</v>
      </c>
      <c r="AD897" s="376"/>
      <c r="AE897" s="332">
        <v>882</v>
      </c>
      <c r="AF897" s="350">
        <v>109556737.02881444</v>
      </c>
      <c r="AG897" s="350">
        <v>110455321.4377289</v>
      </c>
      <c r="AH897" s="350">
        <v>111316253.8476191</v>
      </c>
      <c r="AI897" s="350">
        <v>112179232.0694167</v>
      </c>
      <c r="AJ897" s="350">
        <v>113046936.77622977</v>
      </c>
      <c r="AK897" s="348">
        <v>556554481.15980887</v>
      </c>
      <c r="AL897" s="369"/>
      <c r="AM897" s="350">
        <v>139137768.55238101</v>
      </c>
      <c r="AN897" s="350">
        <v>170224732.54892915</v>
      </c>
      <c r="AO897" s="350">
        <v>201730696.36535946</v>
      </c>
      <c r="AP897" s="350">
        <v>233707740.41181457</v>
      </c>
      <c r="AQ897" s="350">
        <v>266163840.14254856</v>
      </c>
      <c r="AR897" s="348">
        <v>1010964778.0210327</v>
      </c>
      <c r="AS897" s="369"/>
      <c r="AT897" s="350">
        <f t="shared" si="363"/>
        <v>29581031.523566574</v>
      </c>
      <c r="AU897" s="350">
        <f t="shared" si="346"/>
        <v>59769411.111200258</v>
      </c>
      <c r="AV897" s="350">
        <f t="shared" si="347"/>
        <v>90414442.517740354</v>
      </c>
      <c r="AW897" s="350">
        <f t="shared" si="348"/>
        <v>121528508.34239787</v>
      </c>
      <c r="AX897" s="350">
        <f t="shared" si="349"/>
        <v>153116903.36631879</v>
      </c>
      <c r="AY897" s="350">
        <f t="shared" si="350"/>
        <v>454410296.86122382</v>
      </c>
      <c r="AZ897" s="365"/>
      <c r="BA897" s="377">
        <f t="shared" si="351"/>
        <v>0</v>
      </c>
      <c r="BB897" s="377">
        <f t="shared" si="352"/>
        <v>0</v>
      </c>
      <c r="BC897" s="377">
        <f t="shared" si="353"/>
        <v>0</v>
      </c>
      <c r="BD897" s="377">
        <f t="shared" si="354"/>
        <v>0</v>
      </c>
      <c r="BE897" s="377">
        <f t="shared" si="355"/>
        <v>0</v>
      </c>
      <c r="BF897" s="377">
        <f t="shared" si="356"/>
        <v>0</v>
      </c>
      <c r="BG897" s="328"/>
    </row>
    <row r="898" spans="2:59">
      <c r="B898" s="332">
        <v>883</v>
      </c>
      <c r="C898" s="350">
        <v>139015374.61870071</v>
      </c>
      <c r="D898" s="350">
        <v>140155578.78705701</v>
      </c>
      <c r="E898" s="350">
        <v>141248006.73560745</v>
      </c>
      <c r="F898" s="350">
        <v>142343030.59305787</v>
      </c>
      <c r="G898" s="350">
        <v>143444051.83691168</v>
      </c>
      <c r="H898" s="348">
        <v>706206042.57133472</v>
      </c>
      <c r="I898" s="369"/>
      <c r="J898" s="350">
        <v>169384048.17372259</v>
      </c>
      <c r="K898" s="350">
        <v>201512691.09159625</v>
      </c>
      <c r="L898" s="350">
        <v>234062310.16206771</v>
      </c>
      <c r="M898" s="350">
        <v>267095989.61084273</v>
      </c>
      <c r="N898" s="350">
        <v>300622566.10545248</v>
      </c>
      <c r="O898" s="348">
        <v>1172677605.1436818</v>
      </c>
      <c r="P898" s="369"/>
      <c r="Q898" s="350">
        <f t="shared" si="357"/>
        <v>30368673.555021882</v>
      </c>
      <c r="R898" s="350">
        <f t="shared" si="358"/>
        <v>61357112.304539233</v>
      </c>
      <c r="S898" s="350">
        <f t="shared" si="359"/>
        <v>92814303.426460266</v>
      </c>
      <c r="T898" s="350">
        <f t="shared" si="360"/>
        <v>124752959.01778486</v>
      </c>
      <c r="U898" s="350">
        <f t="shared" si="361"/>
        <v>157178514.2685408</v>
      </c>
      <c r="V898" s="350">
        <f t="shared" si="362"/>
        <v>466471562.57234704</v>
      </c>
      <c r="W898" s="365"/>
      <c r="X898" s="377">
        <f t="shared" si="340"/>
        <v>0</v>
      </c>
      <c r="Y898" s="377">
        <f t="shared" si="341"/>
        <v>0</v>
      </c>
      <c r="Z898" s="377">
        <f t="shared" si="342"/>
        <v>0</v>
      </c>
      <c r="AA898" s="377">
        <f t="shared" si="343"/>
        <v>0</v>
      </c>
      <c r="AB898" s="377">
        <f t="shared" si="344"/>
        <v>0</v>
      </c>
      <c r="AC898" s="377">
        <f t="shared" si="345"/>
        <v>0</v>
      </c>
      <c r="AD898" s="376"/>
      <c r="AE898" s="332">
        <v>883</v>
      </c>
      <c r="AF898" s="350">
        <v>134921231.7362285</v>
      </c>
      <c r="AG898" s="350">
        <v>136027855.7427268</v>
      </c>
      <c r="AH898" s="350">
        <v>137088110.58724153</v>
      </c>
      <c r="AI898" s="350">
        <v>138150884.88852292</v>
      </c>
      <c r="AJ898" s="350">
        <v>139219479.94713402</v>
      </c>
      <c r="AK898" s="348">
        <v>685407562.9018538</v>
      </c>
      <c r="AL898" s="369"/>
      <c r="AM898" s="350">
        <v>168826593.8258034</v>
      </c>
      <c r="AN898" s="350">
        <v>204525418.15165222</v>
      </c>
      <c r="AO898" s="350">
        <v>240701136.29790717</v>
      </c>
      <c r="AP898" s="350">
        <v>277416829.12778777</v>
      </c>
      <c r="AQ898" s="350">
        <v>314681865.32660657</v>
      </c>
      <c r="AR898" s="348">
        <v>1206151842.7297571</v>
      </c>
      <c r="AS898" s="369"/>
      <c r="AT898" s="350">
        <f t="shared" si="363"/>
        <v>33905362.089574903</v>
      </c>
      <c r="AU898" s="350">
        <f t="shared" si="346"/>
        <v>68497562.408925414</v>
      </c>
      <c r="AV898" s="350">
        <f t="shared" si="347"/>
        <v>103613025.71066564</v>
      </c>
      <c r="AW898" s="350">
        <f t="shared" si="348"/>
        <v>139265944.23926485</v>
      </c>
      <c r="AX898" s="350">
        <f t="shared" si="349"/>
        <v>175462385.37947255</v>
      </c>
      <c r="AY898" s="350">
        <f t="shared" si="350"/>
        <v>520744279.82790327</v>
      </c>
      <c r="AZ898" s="365"/>
      <c r="BA898" s="377">
        <f t="shared" si="351"/>
        <v>0</v>
      </c>
      <c r="BB898" s="377">
        <f t="shared" si="352"/>
        <v>0</v>
      </c>
      <c r="BC898" s="377">
        <f t="shared" si="353"/>
        <v>0</v>
      </c>
      <c r="BD898" s="377">
        <f t="shared" si="354"/>
        <v>0</v>
      </c>
      <c r="BE898" s="377">
        <f t="shared" si="355"/>
        <v>0</v>
      </c>
      <c r="BF898" s="377">
        <f t="shared" si="356"/>
        <v>0</v>
      </c>
      <c r="BG898" s="328"/>
    </row>
    <row r="899" spans="2:59">
      <c r="B899" s="332">
        <v>884</v>
      </c>
      <c r="C899" s="350">
        <v>122038502.71056488</v>
      </c>
      <c r="D899" s="350">
        <v>123039462.56750317</v>
      </c>
      <c r="E899" s="350">
        <v>123998480.74463603</v>
      </c>
      <c r="F899" s="350">
        <v>124959777.81240378</v>
      </c>
      <c r="G899" s="350">
        <v>125926339.85218529</v>
      </c>
      <c r="H899" s="348">
        <v>619962563.68729317</v>
      </c>
      <c r="I899" s="369"/>
      <c r="J899" s="350">
        <v>152922700.50269723</v>
      </c>
      <c r="K899" s="350">
        <v>185425472.47776216</v>
      </c>
      <c r="L899" s="350">
        <v>218362814.92735142</v>
      </c>
      <c r="M899" s="350">
        <v>251791875.60934904</v>
      </c>
      <c r="N899" s="350">
        <v>285721166.1261403</v>
      </c>
      <c r="O899" s="348">
        <v>1094224029.6433001</v>
      </c>
      <c r="P899" s="369"/>
      <c r="Q899" s="350">
        <f t="shared" si="357"/>
        <v>30884197.792132348</v>
      </c>
      <c r="R899" s="350">
        <f t="shared" si="358"/>
        <v>62386009.910258994</v>
      </c>
      <c r="S899" s="350">
        <f t="shared" si="359"/>
        <v>94364334.182715386</v>
      </c>
      <c r="T899" s="350">
        <f t="shared" si="360"/>
        <v>126832097.79694526</v>
      </c>
      <c r="U899" s="350">
        <f t="shared" si="361"/>
        <v>159794826.27395499</v>
      </c>
      <c r="V899" s="350">
        <f t="shared" si="362"/>
        <v>474261465.95600688</v>
      </c>
      <c r="W899" s="365"/>
      <c r="X899" s="377">
        <f t="shared" si="340"/>
        <v>0</v>
      </c>
      <c r="Y899" s="377">
        <f t="shared" si="341"/>
        <v>0</v>
      </c>
      <c r="Z899" s="377">
        <f t="shared" si="342"/>
        <v>0</v>
      </c>
      <c r="AA899" s="377">
        <f t="shared" si="343"/>
        <v>0</v>
      </c>
      <c r="AB899" s="377">
        <f t="shared" si="344"/>
        <v>0</v>
      </c>
      <c r="AC899" s="377">
        <f t="shared" si="345"/>
        <v>0</v>
      </c>
      <c r="AD899" s="376"/>
      <c r="AE899" s="332">
        <v>884</v>
      </c>
      <c r="AF899" s="350">
        <v>120165386.28042237</v>
      </c>
      <c r="AG899" s="350">
        <v>121150982.83551486</v>
      </c>
      <c r="AH899" s="350">
        <v>122095281.45558588</v>
      </c>
      <c r="AI899" s="350">
        <v>123041823.98858064</v>
      </c>
      <c r="AJ899" s="350">
        <v>123993550.68380079</v>
      </c>
      <c r="AK899" s="348">
        <v>610447025.24390459</v>
      </c>
      <c r="AL899" s="369"/>
      <c r="AM899" s="350">
        <v>153852068.44696084</v>
      </c>
      <c r="AN899" s="350">
        <v>189162392.54220381</v>
      </c>
      <c r="AO899" s="350">
        <v>224950615.22305745</v>
      </c>
      <c r="AP899" s="350">
        <v>261274376.58098239</v>
      </c>
      <c r="AQ899" s="350">
        <v>298142638.34547591</v>
      </c>
      <c r="AR899" s="348">
        <v>1127382091.1386805</v>
      </c>
      <c r="AS899" s="369"/>
      <c r="AT899" s="350">
        <f t="shared" si="363"/>
        <v>33686682.166538462</v>
      </c>
      <c r="AU899" s="350">
        <f t="shared" si="346"/>
        <v>68011409.706688955</v>
      </c>
      <c r="AV899" s="350">
        <f t="shared" si="347"/>
        <v>102855333.76747157</v>
      </c>
      <c r="AW899" s="350">
        <f t="shared" si="348"/>
        <v>138232552.59240174</v>
      </c>
      <c r="AX899" s="350">
        <f t="shared" si="349"/>
        <v>174149087.66167513</v>
      </c>
      <c r="AY899" s="350">
        <f t="shared" si="350"/>
        <v>516935065.89477587</v>
      </c>
      <c r="AZ899" s="365"/>
      <c r="BA899" s="377">
        <f t="shared" si="351"/>
        <v>0</v>
      </c>
      <c r="BB899" s="377">
        <f t="shared" si="352"/>
        <v>0</v>
      </c>
      <c r="BC899" s="377">
        <f t="shared" si="353"/>
        <v>0</v>
      </c>
      <c r="BD899" s="377">
        <f t="shared" si="354"/>
        <v>0</v>
      </c>
      <c r="BE899" s="377">
        <f t="shared" si="355"/>
        <v>0</v>
      </c>
      <c r="BF899" s="377">
        <f t="shared" si="356"/>
        <v>0</v>
      </c>
      <c r="BG899" s="328"/>
    </row>
    <row r="900" spans="2:59">
      <c r="B900" s="332">
        <v>885</v>
      </c>
      <c r="C900" s="350">
        <v>108881108.03970535</v>
      </c>
      <c r="D900" s="350">
        <v>109774150.93933168</v>
      </c>
      <c r="E900" s="350">
        <v>110629774.03726575</v>
      </c>
      <c r="F900" s="350">
        <v>111487430.33072345</v>
      </c>
      <c r="G900" s="350">
        <v>112349783.96128319</v>
      </c>
      <c r="H900" s="348">
        <v>553122247.30830944</v>
      </c>
      <c r="I900" s="369"/>
      <c r="J900" s="350">
        <v>140366449.88134414</v>
      </c>
      <c r="K900" s="350">
        <v>173356137.00660026</v>
      </c>
      <c r="L900" s="350">
        <v>206793905.73685783</v>
      </c>
      <c r="M900" s="350">
        <v>240732386.85872588</v>
      </c>
      <c r="N900" s="350">
        <v>275179874.78758073</v>
      </c>
      <c r="O900" s="348">
        <v>1036428754.2711089</v>
      </c>
      <c r="P900" s="369"/>
      <c r="Q900" s="350">
        <f t="shared" si="357"/>
        <v>31485341.841638789</v>
      </c>
      <c r="R900" s="350">
        <f t="shared" si="358"/>
        <v>63581986.06726858</v>
      </c>
      <c r="S900" s="350">
        <f t="shared" si="359"/>
        <v>96164131.699592084</v>
      </c>
      <c r="T900" s="350">
        <f t="shared" si="360"/>
        <v>129244956.52800243</v>
      </c>
      <c r="U900" s="350">
        <f t="shared" si="361"/>
        <v>162830090.82629752</v>
      </c>
      <c r="V900" s="350">
        <f t="shared" si="362"/>
        <v>483306506.96279943</v>
      </c>
      <c r="W900" s="365"/>
      <c r="X900" s="377">
        <f t="shared" si="340"/>
        <v>0</v>
      </c>
      <c r="Y900" s="377">
        <f t="shared" si="341"/>
        <v>0</v>
      </c>
      <c r="Z900" s="377">
        <f t="shared" si="342"/>
        <v>0</v>
      </c>
      <c r="AA900" s="377">
        <f t="shared" si="343"/>
        <v>0</v>
      </c>
      <c r="AB900" s="377">
        <f t="shared" si="344"/>
        <v>0</v>
      </c>
      <c r="AC900" s="377">
        <f t="shared" si="345"/>
        <v>0</v>
      </c>
      <c r="AD900" s="376"/>
      <c r="AE900" s="332">
        <v>885</v>
      </c>
      <c r="AF900" s="350">
        <v>132240616.11059703</v>
      </c>
      <c r="AG900" s="350">
        <v>133325253.70646639</v>
      </c>
      <c r="AH900" s="350">
        <v>134364443.40306643</v>
      </c>
      <c r="AI900" s="350">
        <v>135406102.49985498</v>
      </c>
      <c r="AJ900" s="350">
        <v>136453466.70714101</v>
      </c>
      <c r="AK900" s="348">
        <v>671789882.42712581</v>
      </c>
      <c r="AL900" s="369"/>
      <c r="AM900" s="350">
        <v>162356782.54888704</v>
      </c>
      <c r="AN900" s="350">
        <v>194149849.46387619</v>
      </c>
      <c r="AO900" s="350">
        <v>226361974.90972579</v>
      </c>
      <c r="AP900" s="350">
        <v>259053681.34349826</v>
      </c>
      <c r="AQ900" s="350">
        <v>292233591.06201041</v>
      </c>
      <c r="AR900" s="348">
        <v>1134155879.3279977</v>
      </c>
      <c r="AS900" s="369"/>
      <c r="AT900" s="350">
        <f t="shared" si="363"/>
        <v>30116166.438290015</v>
      </c>
      <c r="AU900" s="350">
        <f t="shared" si="346"/>
        <v>60824595.757409796</v>
      </c>
      <c r="AV900" s="350">
        <f t="shared" si="347"/>
        <v>91997531.506659359</v>
      </c>
      <c r="AW900" s="350">
        <f t="shared" si="348"/>
        <v>123647578.84364328</v>
      </c>
      <c r="AX900" s="350">
        <f t="shared" si="349"/>
        <v>155780124.3548694</v>
      </c>
      <c r="AY900" s="350">
        <f t="shared" si="350"/>
        <v>462365996.90087187</v>
      </c>
      <c r="AZ900" s="365"/>
      <c r="BA900" s="377">
        <f t="shared" si="351"/>
        <v>0</v>
      </c>
      <c r="BB900" s="377">
        <f t="shared" si="352"/>
        <v>0</v>
      </c>
      <c r="BC900" s="377">
        <f t="shared" si="353"/>
        <v>0</v>
      </c>
      <c r="BD900" s="377">
        <f t="shared" si="354"/>
        <v>0</v>
      </c>
      <c r="BE900" s="377">
        <f t="shared" si="355"/>
        <v>0</v>
      </c>
      <c r="BF900" s="377">
        <f t="shared" si="356"/>
        <v>0</v>
      </c>
      <c r="BG900" s="328"/>
    </row>
    <row r="901" spans="2:59">
      <c r="B901" s="332">
        <v>886</v>
      </c>
      <c r="C901" s="350">
        <v>124794823.30454728</v>
      </c>
      <c r="D901" s="350">
        <v>125818390.50430067</v>
      </c>
      <c r="E901" s="350">
        <v>126799068.74356908</v>
      </c>
      <c r="F901" s="350">
        <v>127782077.34373003</v>
      </c>
      <c r="G901" s="350">
        <v>128770469.82879272</v>
      </c>
      <c r="H901" s="348">
        <v>633964829.72493982</v>
      </c>
      <c r="I901" s="369"/>
      <c r="J901" s="350">
        <v>162630970.1403718</v>
      </c>
      <c r="K901" s="350">
        <v>202235712.68508527</v>
      </c>
      <c r="L901" s="350">
        <v>242381159.04320863</v>
      </c>
      <c r="M901" s="350">
        <v>283128364.9532879</v>
      </c>
      <c r="N901" s="350">
        <v>324487151.46806937</v>
      </c>
      <c r="O901" s="348">
        <v>1214863358.2900229</v>
      </c>
      <c r="P901" s="369"/>
      <c r="Q901" s="350">
        <f t="shared" si="357"/>
        <v>37836146.835824519</v>
      </c>
      <c r="R901" s="350">
        <f t="shared" si="358"/>
        <v>76417322.180784598</v>
      </c>
      <c r="S901" s="350">
        <f t="shared" si="359"/>
        <v>115582090.29963955</v>
      </c>
      <c r="T901" s="350">
        <f t="shared" si="360"/>
        <v>155346287.60955787</v>
      </c>
      <c r="U901" s="350">
        <f t="shared" si="361"/>
        <v>195716681.63927665</v>
      </c>
      <c r="V901" s="350">
        <f t="shared" si="362"/>
        <v>580898528.56508303</v>
      </c>
      <c r="W901" s="365"/>
      <c r="X901" s="377">
        <f t="shared" si="340"/>
        <v>0</v>
      </c>
      <c r="Y901" s="377">
        <f t="shared" si="341"/>
        <v>0</v>
      </c>
      <c r="Z901" s="377">
        <f t="shared" si="342"/>
        <v>0</v>
      </c>
      <c r="AA901" s="377">
        <f t="shared" si="343"/>
        <v>0</v>
      </c>
      <c r="AB901" s="377">
        <f t="shared" si="344"/>
        <v>0</v>
      </c>
      <c r="AC901" s="377">
        <f t="shared" si="345"/>
        <v>0</v>
      </c>
      <c r="AD901" s="376"/>
      <c r="AE901" s="332">
        <v>886</v>
      </c>
      <c r="AF901" s="350">
        <v>119062715.85980925</v>
      </c>
      <c r="AG901" s="350">
        <v>120039268.31159046</v>
      </c>
      <c r="AH901" s="350">
        <v>120974901.78948693</v>
      </c>
      <c r="AI901" s="350">
        <v>121912758.58954901</v>
      </c>
      <c r="AJ901" s="350">
        <v>122855751.98054726</v>
      </c>
      <c r="AK901" s="348">
        <v>604845396.53098297</v>
      </c>
      <c r="AL901" s="369"/>
      <c r="AM901" s="350">
        <v>148613074.2906692</v>
      </c>
      <c r="AN901" s="350">
        <v>179727281.97533494</v>
      </c>
      <c r="AO901" s="350">
        <v>211256446.23714268</v>
      </c>
      <c r="AP901" s="350">
        <v>243256078.05246559</v>
      </c>
      <c r="AQ901" s="350">
        <v>275734377.01643193</v>
      </c>
      <c r="AR901" s="348">
        <v>1058587257.5720444</v>
      </c>
      <c r="AS901" s="369"/>
      <c r="AT901" s="350">
        <f t="shared" si="363"/>
        <v>29550358.430859953</v>
      </c>
      <c r="AU901" s="350">
        <f t="shared" si="346"/>
        <v>59688013.663744479</v>
      </c>
      <c r="AV901" s="350">
        <f t="shared" si="347"/>
        <v>90281544.447655752</v>
      </c>
      <c r="AW901" s="350">
        <f t="shared" si="348"/>
        <v>121343319.46291658</v>
      </c>
      <c r="AX901" s="350">
        <f t="shared" si="349"/>
        <v>152878625.03588468</v>
      </c>
      <c r="AY901" s="350">
        <f t="shared" si="350"/>
        <v>453741861.0410614</v>
      </c>
      <c r="AZ901" s="365"/>
      <c r="BA901" s="377">
        <f t="shared" si="351"/>
        <v>0</v>
      </c>
      <c r="BB901" s="377">
        <f t="shared" si="352"/>
        <v>0</v>
      </c>
      <c r="BC901" s="377">
        <f t="shared" si="353"/>
        <v>0</v>
      </c>
      <c r="BD901" s="377">
        <f t="shared" si="354"/>
        <v>0</v>
      </c>
      <c r="BE901" s="377">
        <f t="shared" si="355"/>
        <v>0</v>
      </c>
      <c r="BF901" s="377">
        <f t="shared" si="356"/>
        <v>0</v>
      </c>
      <c r="BG901" s="328"/>
    </row>
    <row r="902" spans="2:59">
      <c r="B902" s="332">
        <v>887</v>
      </c>
      <c r="C902" s="350">
        <v>141504177.68786466</v>
      </c>
      <c r="D902" s="350">
        <v>142664795.02017108</v>
      </c>
      <c r="E902" s="350">
        <v>143776780.79129079</v>
      </c>
      <c r="F902" s="350">
        <v>144891408.94606948</v>
      </c>
      <c r="G902" s="350">
        <v>146012141.85892704</v>
      </c>
      <c r="H902" s="348">
        <v>718849304.30432296</v>
      </c>
      <c r="I902" s="369"/>
      <c r="J902" s="350">
        <v>175062257.66724184</v>
      </c>
      <c r="K902" s="350">
        <v>210453995.82158667</v>
      </c>
      <c r="L902" s="350">
        <v>246314900.36033794</v>
      </c>
      <c r="M902" s="350">
        <v>282710291.73030388</v>
      </c>
      <c r="N902" s="350">
        <v>319649636.51209944</v>
      </c>
      <c r="O902" s="348">
        <v>1234191082.0915699</v>
      </c>
      <c r="P902" s="369"/>
      <c r="Q902" s="350">
        <f t="shared" si="357"/>
        <v>33558079.97937718</v>
      </c>
      <c r="R902" s="350">
        <f t="shared" si="358"/>
        <v>67789200.801415592</v>
      </c>
      <c r="S902" s="350">
        <f t="shared" si="359"/>
        <v>102538119.56904715</v>
      </c>
      <c r="T902" s="350">
        <f t="shared" si="360"/>
        <v>137818882.7842344</v>
      </c>
      <c r="U902" s="350">
        <f t="shared" si="361"/>
        <v>173637494.6531724</v>
      </c>
      <c r="V902" s="350">
        <f t="shared" si="362"/>
        <v>515341777.78724694</v>
      </c>
      <c r="W902" s="365"/>
      <c r="X902" s="377">
        <f t="shared" si="340"/>
        <v>0</v>
      </c>
      <c r="Y902" s="377">
        <f t="shared" si="341"/>
        <v>0</v>
      </c>
      <c r="Z902" s="377">
        <f t="shared" si="342"/>
        <v>0</v>
      </c>
      <c r="AA902" s="377">
        <f t="shared" si="343"/>
        <v>0</v>
      </c>
      <c r="AB902" s="377">
        <f t="shared" si="344"/>
        <v>0</v>
      </c>
      <c r="AC902" s="377">
        <f t="shared" si="345"/>
        <v>0</v>
      </c>
      <c r="AD902" s="376"/>
      <c r="AE902" s="332">
        <v>887</v>
      </c>
      <c r="AF902" s="350">
        <v>118352766.50660405</v>
      </c>
      <c r="AG902" s="350">
        <v>119323495.95345458</v>
      </c>
      <c r="AH902" s="350">
        <v>120253550.41883084</v>
      </c>
      <c r="AI902" s="350">
        <v>121185814.94910643</v>
      </c>
      <c r="AJ902" s="350">
        <v>122123185.44175918</v>
      </c>
      <c r="AK902" s="348">
        <v>601238813.26975513</v>
      </c>
      <c r="AL902" s="369"/>
      <c r="AM902" s="350">
        <v>149628757.79149511</v>
      </c>
      <c r="AN902" s="350">
        <v>182494928.49366868</v>
      </c>
      <c r="AO902" s="350">
        <v>215802887.82632053</v>
      </c>
      <c r="AP902" s="350">
        <v>249608611.68277511</v>
      </c>
      <c r="AQ902" s="350">
        <v>283920590.66190857</v>
      </c>
      <c r="AR902" s="348">
        <v>1081455776.4561679</v>
      </c>
      <c r="AS902" s="369"/>
      <c r="AT902" s="350">
        <f t="shared" si="363"/>
        <v>31275991.284891069</v>
      </c>
      <c r="AU902" s="350">
        <f t="shared" si="346"/>
        <v>63171432.540214092</v>
      </c>
      <c r="AV902" s="350">
        <f t="shared" si="347"/>
        <v>95549337.407489687</v>
      </c>
      <c r="AW902" s="350">
        <f t="shared" si="348"/>
        <v>128422796.73366868</v>
      </c>
      <c r="AX902" s="350">
        <f t="shared" si="349"/>
        <v>161797405.2201494</v>
      </c>
      <c r="AY902" s="350">
        <f t="shared" si="350"/>
        <v>480216963.18641281</v>
      </c>
      <c r="AZ902" s="365"/>
      <c r="BA902" s="377">
        <f t="shared" si="351"/>
        <v>0</v>
      </c>
      <c r="BB902" s="377">
        <f t="shared" si="352"/>
        <v>0</v>
      </c>
      <c r="BC902" s="377">
        <f t="shared" si="353"/>
        <v>0</v>
      </c>
      <c r="BD902" s="377">
        <f t="shared" si="354"/>
        <v>0</v>
      </c>
      <c r="BE902" s="377">
        <f t="shared" si="355"/>
        <v>0</v>
      </c>
      <c r="BF902" s="377">
        <f t="shared" si="356"/>
        <v>0</v>
      </c>
      <c r="BG902" s="328"/>
    </row>
    <row r="903" spans="2:59">
      <c r="B903" s="332">
        <v>888</v>
      </c>
      <c r="C903" s="350">
        <v>131596202.50265564</v>
      </c>
      <c r="D903" s="350">
        <v>132675554.61780798</v>
      </c>
      <c r="E903" s="350">
        <v>133709680.30305192</v>
      </c>
      <c r="F903" s="350">
        <v>134746263.35500228</v>
      </c>
      <c r="G903" s="350">
        <v>135788523.71622729</v>
      </c>
      <c r="H903" s="348">
        <v>668516224.49474514</v>
      </c>
      <c r="I903" s="369"/>
      <c r="J903" s="350">
        <v>169579287.81877738</v>
      </c>
      <c r="K903" s="350">
        <v>209366471.80161262</v>
      </c>
      <c r="L903" s="350">
        <v>249693927.2637347</v>
      </c>
      <c r="M903" s="350">
        <v>290625234.63267481</v>
      </c>
      <c r="N903" s="350">
        <v>332170404.12423193</v>
      </c>
      <c r="O903" s="348">
        <v>1251435325.6410315</v>
      </c>
      <c r="P903" s="369"/>
      <c r="Q903" s="350">
        <f t="shared" si="357"/>
        <v>37983085.316121742</v>
      </c>
      <c r="R903" s="350">
        <f t="shared" si="358"/>
        <v>76690917.183804631</v>
      </c>
      <c r="S903" s="350">
        <f t="shared" si="359"/>
        <v>115984246.96068278</v>
      </c>
      <c r="T903" s="350">
        <f t="shared" si="360"/>
        <v>155878971.27767253</v>
      </c>
      <c r="U903" s="350">
        <f t="shared" si="361"/>
        <v>196381880.40800464</v>
      </c>
      <c r="V903" s="350">
        <f t="shared" si="362"/>
        <v>582919101.14628637</v>
      </c>
      <c r="W903" s="365"/>
      <c r="X903" s="377">
        <f t="shared" si="340"/>
        <v>0</v>
      </c>
      <c r="Y903" s="377">
        <f t="shared" si="341"/>
        <v>0</v>
      </c>
      <c r="Z903" s="377">
        <f t="shared" si="342"/>
        <v>0</v>
      </c>
      <c r="AA903" s="377">
        <f t="shared" si="343"/>
        <v>0</v>
      </c>
      <c r="AB903" s="377">
        <f t="shared" si="344"/>
        <v>0</v>
      </c>
      <c r="AC903" s="377">
        <f t="shared" si="345"/>
        <v>0</v>
      </c>
      <c r="AD903" s="376"/>
      <c r="AE903" s="332">
        <v>888</v>
      </c>
      <c r="AF903" s="350">
        <v>141425580.83646196</v>
      </c>
      <c r="AG903" s="350">
        <v>142585553.51735604</v>
      </c>
      <c r="AH903" s="350">
        <v>143696921.64889902</v>
      </c>
      <c r="AI903" s="350">
        <v>144810930.69641963</v>
      </c>
      <c r="AJ903" s="350">
        <v>145931041.11120224</v>
      </c>
      <c r="AK903" s="348">
        <v>718450027.81033885</v>
      </c>
      <c r="AL903" s="369"/>
      <c r="AM903" s="350">
        <v>175777354.17682055</v>
      </c>
      <c r="AN903" s="350">
        <v>211973915.13627398</v>
      </c>
      <c r="AO903" s="350">
        <v>248651851.50082234</v>
      </c>
      <c r="AP903" s="350">
        <v>285876787.22599471</v>
      </c>
      <c r="AQ903" s="350">
        <v>323658328.34417528</v>
      </c>
      <c r="AR903" s="348">
        <v>1245938236.3840868</v>
      </c>
      <c r="AS903" s="369"/>
      <c r="AT903" s="350">
        <f t="shared" si="363"/>
        <v>34351773.340358585</v>
      </c>
      <c r="AU903" s="350">
        <f t="shared" si="346"/>
        <v>69388361.618917942</v>
      </c>
      <c r="AV903" s="350">
        <f t="shared" si="347"/>
        <v>104954929.85192332</v>
      </c>
      <c r="AW903" s="350">
        <f t="shared" si="348"/>
        <v>141065856.52957508</v>
      </c>
      <c r="AX903" s="350">
        <f t="shared" si="349"/>
        <v>177727287.23297304</v>
      </c>
      <c r="AY903" s="350">
        <f t="shared" si="350"/>
        <v>527488208.57374799</v>
      </c>
      <c r="AZ903" s="365"/>
      <c r="BA903" s="377">
        <f t="shared" si="351"/>
        <v>0</v>
      </c>
      <c r="BB903" s="377">
        <f t="shared" si="352"/>
        <v>0</v>
      </c>
      <c r="BC903" s="377">
        <f t="shared" si="353"/>
        <v>0</v>
      </c>
      <c r="BD903" s="377">
        <f t="shared" si="354"/>
        <v>0</v>
      </c>
      <c r="BE903" s="377">
        <f t="shared" si="355"/>
        <v>0</v>
      </c>
      <c r="BF903" s="377">
        <f t="shared" si="356"/>
        <v>0</v>
      </c>
      <c r="BG903" s="328"/>
    </row>
    <row r="904" spans="2:59">
      <c r="B904" s="332">
        <v>889</v>
      </c>
      <c r="C904" s="350">
        <v>113877973.75320905</v>
      </c>
      <c r="D904" s="350">
        <v>114812000.94778031</v>
      </c>
      <c r="E904" s="350">
        <v>115706891.03884768</v>
      </c>
      <c r="F904" s="350">
        <v>116603907.63460128</v>
      </c>
      <c r="G904" s="350">
        <v>117505837.14170231</v>
      </c>
      <c r="H904" s="348">
        <v>578506610.5161407</v>
      </c>
      <c r="I904" s="369"/>
      <c r="J904" s="350">
        <v>141127125.07826096</v>
      </c>
      <c r="K904" s="350">
        <v>169866092.34321886</v>
      </c>
      <c r="L904" s="350">
        <v>198986518.94853547</v>
      </c>
      <c r="M904" s="350">
        <v>228541074.77359793</v>
      </c>
      <c r="N904" s="350">
        <v>258537423.05526093</v>
      </c>
      <c r="O904" s="348">
        <v>997058234.19887412</v>
      </c>
      <c r="P904" s="369"/>
      <c r="Q904" s="350">
        <f t="shared" si="357"/>
        <v>27249151.325051904</v>
      </c>
      <c r="R904" s="350">
        <f t="shared" si="358"/>
        <v>55054091.395438552</v>
      </c>
      <c r="S904" s="350">
        <f t="shared" si="359"/>
        <v>83279627.909687787</v>
      </c>
      <c r="T904" s="350">
        <f t="shared" si="360"/>
        <v>111937167.13899665</v>
      </c>
      <c r="U904" s="350">
        <f t="shared" si="361"/>
        <v>141031585.9135586</v>
      </c>
      <c r="V904" s="350">
        <f t="shared" si="362"/>
        <v>418551623.68273342</v>
      </c>
      <c r="W904" s="365"/>
      <c r="X904" s="377">
        <f t="shared" si="340"/>
        <v>0</v>
      </c>
      <c r="Y904" s="377">
        <f t="shared" si="341"/>
        <v>0</v>
      </c>
      <c r="Z904" s="377">
        <f t="shared" si="342"/>
        <v>0</v>
      </c>
      <c r="AA904" s="377">
        <f t="shared" si="343"/>
        <v>0</v>
      </c>
      <c r="AB904" s="377">
        <f t="shared" si="344"/>
        <v>0</v>
      </c>
      <c r="AC904" s="377">
        <f t="shared" si="345"/>
        <v>0</v>
      </c>
      <c r="AD904" s="376"/>
      <c r="AE904" s="332">
        <v>889</v>
      </c>
      <c r="AF904" s="350">
        <v>128224270.80509754</v>
      </c>
      <c r="AG904" s="350">
        <v>129275966.33487204</v>
      </c>
      <c r="AH904" s="350">
        <v>130283594.28605515</v>
      </c>
      <c r="AI904" s="350">
        <v>131293616.6380495</v>
      </c>
      <c r="AJ904" s="350">
        <v>132309170.82780232</v>
      </c>
      <c r="AK904" s="348">
        <v>651386618.89187658</v>
      </c>
      <c r="AL904" s="369"/>
      <c r="AM904" s="350">
        <v>159277258.14632979</v>
      </c>
      <c r="AN904" s="350">
        <v>191990469.75114173</v>
      </c>
      <c r="AO904" s="350">
        <v>225138535.93296158</v>
      </c>
      <c r="AP904" s="350">
        <v>258780915.81642216</v>
      </c>
      <c r="AQ904" s="350">
        <v>292926300.65570164</v>
      </c>
      <c r="AR904" s="348">
        <v>1128113480.302557</v>
      </c>
      <c r="AS904" s="369"/>
      <c r="AT904" s="350">
        <f t="shared" si="363"/>
        <v>31052987.341232255</v>
      </c>
      <c r="AU904" s="350">
        <f t="shared" si="346"/>
        <v>62714503.41626969</v>
      </c>
      <c r="AV904" s="350">
        <f t="shared" si="347"/>
        <v>94854941.646906435</v>
      </c>
      <c r="AW904" s="350">
        <f t="shared" si="348"/>
        <v>127487299.17837267</v>
      </c>
      <c r="AX904" s="350">
        <f t="shared" si="349"/>
        <v>160617129.82789934</v>
      </c>
      <c r="AY904" s="350">
        <f t="shared" si="350"/>
        <v>476726861.41068041</v>
      </c>
      <c r="AZ904" s="365"/>
      <c r="BA904" s="377">
        <f t="shared" si="351"/>
        <v>0</v>
      </c>
      <c r="BB904" s="377">
        <f t="shared" si="352"/>
        <v>0</v>
      </c>
      <c r="BC904" s="377">
        <f t="shared" si="353"/>
        <v>0</v>
      </c>
      <c r="BD904" s="377">
        <f t="shared" si="354"/>
        <v>0</v>
      </c>
      <c r="BE904" s="377">
        <f t="shared" si="355"/>
        <v>0</v>
      </c>
      <c r="BF904" s="377">
        <f t="shared" si="356"/>
        <v>0</v>
      </c>
      <c r="BG904" s="328"/>
    </row>
    <row r="905" spans="2:59">
      <c r="B905" s="332">
        <v>890</v>
      </c>
      <c r="C905" s="350">
        <v>146875591.97252235</v>
      </c>
      <c r="D905" s="350">
        <v>148080265.64733142</v>
      </c>
      <c r="E905" s="350">
        <v>149234461.73586309</v>
      </c>
      <c r="F905" s="350">
        <v>150391400.51136333</v>
      </c>
      <c r="G905" s="350">
        <v>151554675.77792221</v>
      </c>
      <c r="H905" s="348">
        <v>746136395.64500237</v>
      </c>
      <c r="I905" s="369"/>
      <c r="J905" s="350">
        <v>187133949.66570207</v>
      </c>
      <c r="K905" s="350">
        <v>229386078.18705139</v>
      </c>
      <c r="L905" s="350">
        <v>272208626.05211598</v>
      </c>
      <c r="M905" s="350">
        <v>315671663.57240331</v>
      </c>
      <c r="N905" s="350">
        <v>359785984.77371132</v>
      </c>
      <c r="O905" s="348">
        <v>1364186302.2509842</v>
      </c>
      <c r="P905" s="369"/>
      <c r="Q905" s="350">
        <f t="shared" si="357"/>
        <v>40258357.693179727</v>
      </c>
      <c r="R905" s="350">
        <f t="shared" si="358"/>
        <v>81305812.539719969</v>
      </c>
      <c r="S905" s="350">
        <f t="shared" si="359"/>
        <v>122974164.31625289</v>
      </c>
      <c r="T905" s="350">
        <f t="shared" si="360"/>
        <v>165280263.06103998</v>
      </c>
      <c r="U905" s="350">
        <f t="shared" si="361"/>
        <v>208231308.99578911</v>
      </c>
      <c r="V905" s="350">
        <f t="shared" si="362"/>
        <v>618049906.60598183</v>
      </c>
      <c r="W905" s="365"/>
      <c r="X905" s="377">
        <f t="shared" si="340"/>
        <v>0</v>
      </c>
      <c r="Y905" s="377">
        <f t="shared" si="341"/>
        <v>0</v>
      </c>
      <c r="Z905" s="377">
        <f t="shared" si="342"/>
        <v>0</v>
      </c>
      <c r="AA905" s="377">
        <f t="shared" si="343"/>
        <v>0</v>
      </c>
      <c r="AB905" s="377">
        <f t="shared" si="344"/>
        <v>0</v>
      </c>
      <c r="AC905" s="377">
        <f t="shared" si="345"/>
        <v>0</v>
      </c>
      <c r="AD905" s="376"/>
      <c r="AE905" s="332">
        <v>890</v>
      </c>
      <c r="AF905" s="350">
        <v>138092929.8589415</v>
      </c>
      <c r="AG905" s="350">
        <v>139225568.13494208</v>
      </c>
      <c r="AH905" s="350">
        <v>140310747.2130757</v>
      </c>
      <c r="AI905" s="350">
        <v>141398504.97480184</v>
      </c>
      <c r="AJ905" s="350">
        <v>142492220.32691848</v>
      </c>
      <c r="AK905" s="348">
        <v>701519970.50867963</v>
      </c>
      <c r="AL905" s="369"/>
      <c r="AM905" s="350">
        <v>172879039.20993885</v>
      </c>
      <c r="AN905" s="350">
        <v>209483579.94420305</v>
      </c>
      <c r="AO905" s="350">
        <v>246577222.6517576</v>
      </c>
      <c r="AP905" s="350">
        <v>284224565.07585829</v>
      </c>
      <c r="AQ905" s="350">
        <v>322435208.23536921</v>
      </c>
      <c r="AR905" s="348">
        <v>1235599615.1171269</v>
      </c>
      <c r="AS905" s="369"/>
      <c r="AT905" s="350">
        <f t="shared" si="363"/>
        <v>34786109.350997359</v>
      </c>
      <c r="AU905" s="350">
        <f t="shared" si="346"/>
        <v>70258011.809260964</v>
      </c>
      <c r="AV905" s="350">
        <f t="shared" si="347"/>
        <v>106266475.4386819</v>
      </c>
      <c r="AW905" s="350">
        <f t="shared" si="348"/>
        <v>142826060.10105646</v>
      </c>
      <c r="AX905" s="350">
        <f t="shared" si="349"/>
        <v>179942987.90845072</v>
      </c>
      <c r="AY905" s="350">
        <f t="shared" si="350"/>
        <v>534079644.60844731</v>
      </c>
      <c r="AZ905" s="365"/>
      <c r="BA905" s="377">
        <f t="shared" si="351"/>
        <v>0</v>
      </c>
      <c r="BB905" s="377">
        <f t="shared" si="352"/>
        <v>0</v>
      </c>
      <c r="BC905" s="377">
        <f t="shared" si="353"/>
        <v>0</v>
      </c>
      <c r="BD905" s="377">
        <f t="shared" si="354"/>
        <v>0</v>
      </c>
      <c r="BE905" s="377">
        <f t="shared" si="355"/>
        <v>0</v>
      </c>
      <c r="BF905" s="377">
        <f t="shared" si="356"/>
        <v>0</v>
      </c>
      <c r="BG905" s="328"/>
    </row>
    <row r="906" spans="2:59">
      <c r="B906" s="332">
        <v>891</v>
      </c>
      <c r="C906" s="350">
        <v>125690058.94020262</v>
      </c>
      <c r="D906" s="350">
        <v>126720968.86306296</v>
      </c>
      <c r="E906" s="350">
        <v>127708682.15461686</v>
      </c>
      <c r="F906" s="350">
        <v>128698742.52428013</v>
      </c>
      <c r="G906" s="350">
        <v>129694225.40100493</v>
      </c>
      <c r="H906" s="348">
        <v>638512677.88316751</v>
      </c>
      <c r="I906" s="369"/>
      <c r="J906" s="350">
        <v>153367374.1003511</v>
      </c>
      <c r="K906" s="350">
        <v>182662567.15524343</v>
      </c>
      <c r="L906" s="350">
        <v>212342118.73099679</v>
      </c>
      <c r="M906" s="350">
        <v>242463159.28131127</v>
      </c>
      <c r="N906" s="350">
        <v>273033721.12082106</v>
      </c>
      <c r="O906" s="348">
        <v>1063868940.3887236</v>
      </c>
      <c r="P906" s="369"/>
      <c r="Q906" s="350">
        <f t="shared" si="357"/>
        <v>27677315.160148472</v>
      </c>
      <c r="R906" s="350">
        <f t="shared" si="358"/>
        <v>55941598.292180464</v>
      </c>
      <c r="S906" s="350">
        <f t="shared" si="359"/>
        <v>84633436.576379925</v>
      </c>
      <c r="T906" s="350">
        <f t="shared" si="360"/>
        <v>113764416.75703114</v>
      </c>
      <c r="U906" s="350">
        <f t="shared" si="361"/>
        <v>143339495.71981615</v>
      </c>
      <c r="V906" s="350">
        <f t="shared" si="362"/>
        <v>425356262.50555611</v>
      </c>
      <c r="W906" s="365"/>
      <c r="X906" s="377">
        <f t="shared" si="340"/>
        <v>0</v>
      </c>
      <c r="Y906" s="377">
        <f t="shared" si="341"/>
        <v>0</v>
      </c>
      <c r="Z906" s="377">
        <f t="shared" si="342"/>
        <v>0</v>
      </c>
      <c r="AA906" s="377">
        <f t="shared" si="343"/>
        <v>0</v>
      </c>
      <c r="AB906" s="377">
        <f t="shared" si="344"/>
        <v>0</v>
      </c>
      <c r="AC906" s="377">
        <f t="shared" si="345"/>
        <v>0</v>
      </c>
      <c r="AD906" s="376"/>
      <c r="AE906" s="332">
        <v>891</v>
      </c>
      <c r="AF906" s="350">
        <v>153508649.87663454</v>
      </c>
      <c r="AG906" s="350">
        <v>154767727.8955096</v>
      </c>
      <c r="AH906" s="350">
        <v>155974048.70663896</v>
      </c>
      <c r="AI906" s="350">
        <v>157183236.06739652</v>
      </c>
      <c r="AJ906" s="350">
        <v>158399046.0818865</v>
      </c>
      <c r="AK906" s="348">
        <v>779832708.62806618</v>
      </c>
      <c r="AL906" s="369"/>
      <c r="AM906" s="350">
        <v>189985277.21316373</v>
      </c>
      <c r="AN906" s="350">
        <v>228451237.65323633</v>
      </c>
      <c r="AO906" s="350">
        <v>267427251.15666375</v>
      </c>
      <c r="AP906" s="350">
        <v>306984209.53418231</v>
      </c>
      <c r="AQ906" s="350">
        <v>347132395.08059895</v>
      </c>
      <c r="AR906" s="348">
        <v>1339980370.637845</v>
      </c>
      <c r="AS906" s="369"/>
      <c r="AT906" s="350">
        <f t="shared" si="363"/>
        <v>36476627.336529195</v>
      </c>
      <c r="AU906" s="350">
        <f t="shared" si="346"/>
        <v>73683509.757726729</v>
      </c>
      <c r="AV906" s="350">
        <f t="shared" si="347"/>
        <v>111453202.45002478</v>
      </c>
      <c r="AW906" s="350">
        <f t="shared" si="348"/>
        <v>149800973.46678579</v>
      </c>
      <c r="AX906" s="350">
        <f t="shared" si="349"/>
        <v>188733348.99871245</v>
      </c>
      <c r="AY906" s="350">
        <f t="shared" si="350"/>
        <v>560147662.00977886</v>
      </c>
      <c r="AZ906" s="365"/>
      <c r="BA906" s="377">
        <f t="shared" si="351"/>
        <v>0</v>
      </c>
      <c r="BB906" s="377">
        <f t="shared" si="352"/>
        <v>0</v>
      </c>
      <c r="BC906" s="377">
        <f t="shared" si="353"/>
        <v>0</v>
      </c>
      <c r="BD906" s="377">
        <f t="shared" si="354"/>
        <v>0</v>
      </c>
      <c r="BE906" s="377">
        <f t="shared" si="355"/>
        <v>0</v>
      </c>
      <c r="BF906" s="377">
        <f t="shared" si="356"/>
        <v>0</v>
      </c>
      <c r="BG906" s="328"/>
    </row>
    <row r="907" spans="2:59">
      <c r="B907" s="332">
        <v>892</v>
      </c>
      <c r="C907" s="350">
        <v>134166484.82150312</v>
      </c>
      <c r="D907" s="350">
        <v>135266918.39345002</v>
      </c>
      <c r="E907" s="350">
        <v>136321242.19166154</v>
      </c>
      <c r="F907" s="350">
        <v>137378071.35284433</v>
      </c>
      <c r="G907" s="350">
        <v>138440688.71014631</v>
      </c>
      <c r="H907" s="348">
        <v>681573405.46960533</v>
      </c>
      <c r="I907" s="369"/>
      <c r="J907" s="350">
        <v>168857826.93475002</v>
      </c>
      <c r="K907" s="350">
        <v>205334916.7136474</v>
      </c>
      <c r="L907" s="350">
        <v>242301017.80222374</v>
      </c>
      <c r="M907" s="350">
        <v>279819265.61098033</v>
      </c>
      <c r="N907" s="350">
        <v>317899148.34639394</v>
      </c>
      <c r="O907" s="348">
        <v>1214212175.4079952</v>
      </c>
      <c r="P907" s="369"/>
      <c r="Q907" s="350">
        <f t="shared" si="357"/>
        <v>34691342.113246903</v>
      </c>
      <c r="R907" s="350">
        <f t="shared" si="358"/>
        <v>70067998.320197374</v>
      </c>
      <c r="S907" s="350">
        <f t="shared" si="359"/>
        <v>105979775.61056221</v>
      </c>
      <c r="T907" s="350">
        <f t="shared" si="360"/>
        <v>142441194.258136</v>
      </c>
      <c r="U907" s="350">
        <f t="shared" si="361"/>
        <v>179458459.63624763</v>
      </c>
      <c r="V907" s="350">
        <f t="shared" si="362"/>
        <v>532638769.9383899</v>
      </c>
      <c r="W907" s="365"/>
      <c r="X907" s="377">
        <f t="shared" si="340"/>
        <v>0</v>
      </c>
      <c r="Y907" s="377">
        <f t="shared" si="341"/>
        <v>0</v>
      </c>
      <c r="Z907" s="377">
        <f t="shared" si="342"/>
        <v>0</v>
      </c>
      <c r="AA907" s="377">
        <f t="shared" si="343"/>
        <v>0</v>
      </c>
      <c r="AB907" s="377">
        <f t="shared" si="344"/>
        <v>0</v>
      </c>
      <c r="AC907" s="377">
        <f t="shared" si="345"/>
        <v>0</v>
      </c>
      <c r="AD907" s="376"/>
      <c r="AE907" s="332">
        <v>892</v>
      </c>
      <c r="AF907" s="350">
        <v>147973115.65549999</v>
      </c>
      <c r="AG907" s="350">
        <v>149186791.22007576</v>
      </c>
      <c r="AH907" s="350">
        <v>150349612.00604665</v>
      </c>
      <c r="AI907" s="350">
        <v>151515195.97363642</v>
      </c>
      <c r="AJ907" s="350">
        <v>152687163.78153402</v>
      </c>
      <c r="AK907" s="348">
        <v>751711878.6367929</v>
      </c>
      <c r="AL907" s="369"/>
      <c r="AM907" s="350">
        <v>181365225.30022156</v>
      </c>
      <c r="AN907" s="350">
        <v>216627376.6447016</v>
      </c>
      <c r="AO907" s="350">
        <v>252353702.20177978</v>
      </c>
      <c r="AP907" s="350">
        <v>288611796.22139341</v>
      </c>
      <c r="AQ907" s="350">
        <v>325411251.83587939</v>
      </c>
      <c r="AR907" s="348">
        <v>1264369352.2039757</v>
      </c>
      <c r="AS907" s="369"/>
      <c r="AT907" s="350">
        <f t="shared" si="363"/>
        <v>33392109.644721568</v>
      </c>
      <c r="AU907" s="350">
        <f t="shared" si="346"/>
        <v>67440585.424625844</v>
      </c>
      <c r="AV907" s="350">
        <f t="shared" si="347"/>
        <v>102004090.19573313</v>
      </c>
      <c r="AW907" s="350">
        <f t="shared" si="348"/>
        <v>137096600.24775699</v>
      </c>
      <c r="AX907" s="350">
        <f t="shared" si="349"/>
        <v>172724088.05434537</v>
      </c>
      <c r="AY907" s="350">
        <f t="shared" si="350"/>
        <v>512657473.56718278</v>
      </c>
      <c r="AZ907" s="365"/>
      <c r="BA907" s="377">
        <f t="shared" si="351"/>
        <v>0</v>
      </c>
      <c r="BB907" s="377">
        <f t="shared" si="352"/>
        <v>0</v>
      </c>
      <c r="BC907" s="377">
        <f t="shared" si="353"/>
        <v>0</v>
      </c>
      <c r="BD907" s="377">
        <f t="shared" si="354"/>
        <v>0</v>
      </c>
      <c r="BE907" s="377">
        <f t="shared" si="355"/>
        <v>0</v>
      </c>
      <c r="BF907" s="377">
        <f t="shared" si="356"/>
        <v>0</v>
      </c>
      <c r="BG907" s="328"/>
    </row>
    <row r="908" spans="2:59">
      <c r="B908" s="332">
        <v>893</v>
      </c>
      <c r="C908" s="350">
        <v>143200435.85631597</v>
      </c>
      <c r="D908" s="350">
        <v>144374965.89892212</v>
      </c>
      <c r="E908" s="350">
        <v>145500281.41746193</v>
      </c>
      <c r="F908" s="350">
        <v>146628270.99480227</v>
      </c>
      <c r="G908" s="350">
        <v>147762438.51000977</v>
      </c>
      <c r="H908" s="348">
        <v>727466392.67751205</v>
      </c>
      <c r="I908" s="369"/>
      <c r="J908" s="350">
        <v>185485419.72322991</v>
      </c>
      <c r="K908" s="350">
        <v>229755994.96926308</v>
      </c>
      <c r="L908" s="350">
        <v>274629232.04097044</v>
      </c>
      <c r="M908" s="350">
        <v>320174716.81216818</v>
      </c>
      <c r="N908" s="350">
        <v>366403513.13562149</v>
      </c>
      <c r="O908" s="348">
        <v>1376448876.6812532</v>
      </c>
      <c r="P908" s="369"/>
      <c r="Q908" s="350">
        <f t="shared" si="357"/>
        <v>42284983.866913944</v>
      </c>
      <c r="R908" s="350">
        <f t="shared" si="358"/>
        <v>85381029.070340961</v>
      </c>
      <c r="S908" s="350">
        <f t="shared" si="359"/>
        <v>129128950.62350851</v>
      </c>
      <c r="T908" s="350">
        <f t="shared" si="360"/>
        <v>173546445.81736591</v>
      </c>
      <c r="U908" s="350">
        <f t="shared" si="361"/>
        <v>218641074.62561172</v>
      </c>
      <c r="V908" s="350">
        <f t="shared" si="362"/>
        <v>648982484.00374115</v>
      </c>
      <c r="W908" s="365"/>
      <c r="X908" s="377">
        <f t="shared" si="340"/>
        <v>0</v>
      </c>
      <c r="Y908" s="377">
        <f t="shared" si="341"/>
        <v>0</v>
      </c>
      <c r="Z908" s="377">
        <f t="shared" si="342"/>
        <v>0</v>
      </c>
      <c r="AA908" s="377">
        <f t="shared" si="343"/>
        <v>0</v>
      </c>
      <c r="AB908" s="377">
        <f t="shared" si="344"/>
        <v>0</v>
      </c>
      <c r="AC908" s="377">
        <f t="shared" si="345"/>
        <v>0</v>
      </c>
      <c r="AD908" s="376"/>
      <c r="AE908" s="332">
        <v>893</v>
      </c>
      <c r="AF908" s="350">
        <v>134202011.37786581</v>
      </c>
      <c r="AG908" s="350">
        <v>135302736.33864474</v>
      </c>
      <c r="AH908" s="350">
        <v>136357339.31607071</v>
      </c>
      <c r="AI908" s="350">
        <v>137414448.31987453</v>
      </c>
      <c r="AJ908" s="350">
        <v>138477347.05248037</v>
      </c>
      <c r="AK908" s="348">
        <v>681753882.40493608</v>
      </c>
      <c r="AL908" s="369"/>
      <c r="AM908" s="350">
        <v>168234337.67433158</v>
      </c>
      <c r="AN908" s="350">
        <v>204024920.22291332</v>
      </c>
      <c r="AO908" s="350">
        <v>240294106.26111495</v>
      </c>
      <c r="AP908" s="350">
        <v>277104767.41698313</v>
      </c>
      <c r="AQ908" s="350">
        <v>314466272.63194835</v>
      </c>
      <c r="AR908" s="348">
        <v>1204124404.2072914</v>
      </c>
      <c r="AS908" s="369"/>
      <c r="AT908" s="350">
        <f t="shared" si="363"/>
        <v>34032326.296465769</v>
      </c>
      <c r="AU908" s="350">
        <f t="shared" si="346"/>
        <v>68722183.884268582</v>
      </c>
      <c r="AV908" s="350">
        <f t="shared" si="347"/>
        <v>103936766.94504425</v>
      </c>
      <c r="AW908" s="350">
        <f t="shared" si="348"/>
        <v>139690319.0971086</v>
      </c>
      <c r="AX908" s="350">
        <f t="shared" si="349"/>
        <v>175988925.57946798</v>
      </c>
      <c r="AY908" s="350">
        <f t="shared" si="350"/>
        <v>522370521.80235529</v>
      </c>
      <c r="AZ908" s="365"/>
      <c r="BA908" s="377">
        <f t="shared" si="351"/>
        <v>0</v>
      </c>
      <c r="BB908" s="377">
        <f t="shared" si="352"/>
        <v>0</v>
      </c>
      <c r="BC908" s="377">
        <f t="shared" si="353"/>
        <v>0</v>
      </c>
      <c r="BD908" s="377">
        <f t="shared" si="354"/>
        <v>0</v>
      </c>
      <c r="BE908" s="377">
        <f t="shared" si="355"/>
        <v>0</v>
      </c>
      <c r="BF908" s="377">
        <f t="shared" si="356"/>
        <v>0</v>
      </c>
      <c r="BG908" s="328"/>
    </row>
    <row r="909" spans="2:59">
      <c r="B909" s="332">
        <v>894</v>
      </c>
      <c r="C909" s="350">
        <v>129609603.58742449</v>
      </c>
      <c r="D909" s="350">
        <v>130672661.61733472</v>
      </c>
      <c r="E909" s="350">
        <v>131691175.96330407</v>
      </c>
      <c r="F909" s="350">
        <v>132712110.57914928</v>
      </c>
      <c r="G909" s="350">
        <v>133738636.79863137</v>
      </c>
      <c r="H909" s="348">
        <v>658424188.54584384</v>
      </c>
      <c r="I909" s="369"/>
      <c r="J909" s="350">
        <v>164673271.21246141</v>
      </c>
      <c r="K909" s="350">
        <v>201510296.35695046</v>
      </c>
      <c r="L909" s="350">
        <v>238843916.93271774</v>
      </c>
      <c r="M909" s="350">
        <v>276735773.9861213</v>
      </c>
      <c r="N909" s="350">
        <v>315195313.51465994</v>
      </c>
      <c r="O909" s="348">
        <v>1196958572.0029109</v>
      </c>
      <c r="P909" s="369"/>
      <c r="Q909" s="350">
        <f t="shared" si="357"/>
        <v>35063667.625036925</v>
      </c>
      <c r="R909" s="350">
        <f t="shared" si="358"/>
        <v>70837634.739615738</v>
      </c>
      <c r="S909" s="350">
        <f t="shared" si="359"/>
        <v>107152740.96941367</v>
      </c>
      <c r="T909" s="350">
        <f t="shared" si="360"/>
        <v>144023663.40697202</v>
      </c>
      <c r="U909" s="350">
        <f t="shared" si="361"/>
        <v>181456676.71602857</v>
      </c>
      <c r="V909" s="350">
        <f t="shared" si="362"/>
        <v>538534383.45706701</v>
      </c>
      <c r="W909" s="365"/>
      <c r="X909" s="377">
        <f t="shared" si="340"/>
        <v>0</v>
      </c>
      <c r="Y909" s="377">
        <f t="shared" si="341"/>
        <v>0</v>
      </c>
      <c r="Z909" s="377">
        <f t="shared" si="342"/>
        <v>0</v>
      </c>
      <c r="AA909" s="377">
        <f t="shared" si="343"/>
        <v>0</v>
      </c>
      <c r="AB909" s="377">
        <f t="shared" si="344"/>
        <v>0</v>
      </c>
      <c r="AC909" s="377">
        <f t="shared" si="345"/>
        <v>0</v>
      </c>
      <c r="AD909" s="376"/>
      <c r="AE909" s="332">
        <v>894</v>
      </c>
      <c r="AF909" s="350">
        <v>132992087.76778772</v>
      </c>
      <c r="AG909" s="350">
        <v>134082888.93454474</v>
      </c>
      <c r="AH909" s="350">
        <v>135127983.93941092</v>
      </c>
      <c r="AI909" s="350">
        <v>136175562.37710032</v>
      </c>
      <c r="AJ909" s="350">
        <v>137228878.34519687</v>
      </c>
      <c r="AK909" s="348">
        <v>675607401.36404061</v>
      </c>
      <c r="AL909" s="369"/>
      <c r="AM909" s="350">
        <v>168082778.46598998</v>
      </c>
      <c r="AN909" s="350">
        <v>204961716.51211274</v>
      </c>
      <c r="AO909" s="350">
        <v>242336295.65872627</v>
      </c>
      <c r="AP909" s="350">
        <v>280269393.15990382</v>
      </c>
      <c r="AQ909" s="350">
        <v>318770540.56724757</v>
      </c>
      <c r="AR909" s="348">
        <v>1214420724.3639803</v>
      </c>
      <c r="AS909" s="369"/>
      <c r="AT909" s="350">
        <f t="shared" si="363"/>
        <v>35090690.698202252</v>
      </c>
      <c r="AU909" s="350">
        <f t="shared" si="346"/>
        <v>70878827.577567995</v>
      </c>
      <c r="AV909" s="350">
        <f t="shared" si="347"/>
        <v>107208311.71931535</v>
      </c>
      <c r="AW909" s="350">
        <f t="shared" si="348"/>
        <v>144093830.78280351</v>
      </c>
      <c r="AX909" s="350">
        <f t="shared" si="349"/>
        <v>181541662.2220507</v>
      </c>
      <c r="AY909" s="350">
        <f t="shared" si="350"/>
        <v>538813322.99993968</v>
      </c>
      <c r="AZ909" s="365"/>
      <c r="BA909" s="377">
        <f t="shared" si="351"/>
        <v>0</v>
      </c>
      <c r="BB909" s="377">
        <f t="shared" si="352"/>
        <v>0</v>
      </c>
      <c r="BC909" s="377">
        <f t="shared" si="353"/>
        <v>0</v>
      </c>
      <c r="BD909" s="377">
        <f t="shared" si="354"/>
        <v>0</v>
      </c>
      <c r="BE909" s="377">
        <f t="shared" si="355"/>
        <v>0</v>
      </c>
      <c r="BF909" s="377">
        <f t="shared" si="356"/>
        <v>0</v>
      </c>
      <c r="BG909" s="328"/>
    </row>
    <row r="910" spans="2:59">
      <c r="B910" s="332">
        <v>895</v>
      </c>
      <c r="C910" s="350">
        <v>128845152.59950832</v>
      </c>
      <c r="D910" s="350">
        <v>129901940.60205418</v>
      </c>
      <c r="E910" s="350">
        <v>130914447.64396247</v>
      </c>
      <c r="F910" s="350">
        <v>131929360.68074192</v>
      </c>
      <c r="G910" s="350">
        <v>132949832.34129564</v>
      </c>
      <c r="H910" s="348">
        <v>654540733.86756253</v>
      </c>
      <c r="I910" s="369"/>
      <c r="J910" s="350">
        <v>161792933.24743271</v>
      </c>
      <c r="K910" s="350">
        <v>196445527.53622925</v>
      </c>
      <c r="L910" s="350">
        <v>231562022.80257708</v>
      </c>
      <c r="M910" s="350">
        <v>267202896.33935943</v>
      </c>
      <c r="N910" s="350">
        <v>303377193.83700889</v>
      </c>
      <c r="O910" s="348">
        <v>1160380573.7626073</v>
      </c>
      <c r="P910" s="369"/>
      <c r="Q910" s="350">
        <f t="shared" si="357"/>
        <v>32947780.647924393</v>
      </c>
      <c r="R910" s="350">
        <f t="shared" si="358"/>
        <v>66543586.934175074</v>
      </c>
      <c r="S910" s="350">
        <f t="shared" si="359"/>
        <v>100647575.15861461</v>
      </c>
      <c r="T910" s="350">
        <f t="shared" si="360"/>
        <v>135273535.6586175</v>
      </c>
      <c r="U910" s="350">
        <f t="shared" si="361"/>
        <v>170427361.49571323</v>
      </c>
      <c r="V910" s="350">
        <f t="shared" si="362"/>
        <v>505839839.8950448</v>
      </c>
      <c r="W910" s="365"/>
      <c r="X910" s="377">
        <f t="shared" si="340"/>
        <v>0</v>
      </c>
      <c r="Y910" s="377">
        <f t="shared" si="341"/>
        <v>0</v>
      </c>
      <c r="Z910" s="377">
        <f t="shared" si="342"/>
        <v>0</v>
      </c>
      <c r="AA910" s="377">
        <f t="shared" si="343"/>
        <v>0</v>
      </c>
      <c r="AB910" s="377">
        <f t="shared" si="344"/>
        <v>0</v>
      </c>
      <c r="AC910" s="377">
        <f t="shared" si="345"/>
        <v>0</v>
      </c>
      <c r="AD910" s="376"/>
      <c r="AE910" s="332">
        <v>895</v>
      </c>
      <c r="AF910" s="350">
        <v>128152900.19604309</v>
      </c>
      <c r="AG910" s="350">
        <v>129204010.34404844</v>
      </c>
      <c r="AH910" s="350">
        <v>130211077.44181332</v>
      </c>
      <c r="AI910" s="350">
        <v>131220537.60764773</v>
      </c>
      <c r="AJ910" s="350">
        <v>132235526.53217736</v>
      </c>
      <c r="AK910" s="348">
        <v>651024052.12172997</v>
      </c>
      <c r="AL910" s="369"/>
      <c r="AM910" s="350">
        <v>157922043.41925719</v>
      </c>
      <c r="AN910" s="350">
        <v>189330042.67736939</v>
      </c>
      <c r="AO910" s="350">
        <v>221153188.86245912</v>
      </c>
      <c r="AP910" s="350">
        <v>253450378.1316759</v>
      </c>
      <c r="AQ910" s="350">
        <v>286230071.04570627</v>
      </c>
      <c r="AR910" s="348">
        <v>1108085724.1364679</v>
      </c>
      <c r="AS910" s="369"/>
      <c r="AT910" s="350">
        <f t="shared" si="363"/>
        <v>29769143.223214105</v>
      </c>
      <c r="AU910" s="350">
        <f t="shared" si="346"/>
        <v>60126032.333320946</v>
      </c>
      <c r="AV910" s="350">
        <f t="shared" si="347"/>
        <v>90942111.420645803</v>
      </c>
      <c r="AW910" s="350">
        <f t="shared" si="348"/>
        <v>122229840.52402817</v>
      </c>
      <c r="AX910" s="350">
        <f t="shared" si="349"/>
        <v>153994544.51352891</v>
      </c>
      <c r="AY910" s="350">
        <f t="shared" si="350"/>
        <v>457061672.01473796</v>
      </c>
      <c r="AZ910" s="365"/>
      <c r="BA910" s="377">
        <f t="shared" si="351"/>
        <v>0</v>
      </c>
      <c r="BB910" s="377">
        <f t="shared" si="352"/>
        <v>0</v>
      </c>
      <c r="BC910" s="377">
        <f t="shared" si="353"/>
        <v>0</v>
      </c>
      <c r="BD910" s="377">
        <f t="shared" si="354"/>
        <v>0</v>
      </c>
      <c r="BE910" s="377">
        <f t="shared" si="355"/>
        <v>0</v>
      </c>
      <c r="BF910" s="377">
        <f t="shared" si="356"/>
        <v>0</v>
      </c>
      <c r="BG910" s="328"/>
    </row>
    <row r="911" spans="2:59">
      <c r="B911" s="332">
        <v>896</v>
      </c>
      <c r="C911" s="350">
        <v>120487706.39411892</v>
      </c>
      <c r="D911" s="350">
        <v>121475946.61893636</v>
      </c>
      <c r="E911" s="350">
        <v>122422778.13511005</v>
      </c>
      <c r="F911" s="350">
        <v>123371859.58306442</v>
      </c>
      <c r="G911" s="350">
        <v>124326139.09874399</v>
      </c>
      <c r="H911" s="348">
        <v>612084429.82997382</v>
      </c>
      <c r="I911" s="369"/>
      <c r="J911" s="350">
        <v>153053941.39980829</v>
      </c>
      <c r="K911" s="350">
        <v>187251342.43179646</v>
      </c>
      <c r="L911" s="350">
        <v>221909669.27026674</v>
      </c>
      <c r="M911" s="350">
        <v>257086211.33018818</v>
      </c>
      <c r="N911" s="350">
        <v>292789741.93256086</v>
      </c>
      <c r="O911" s="348">
        <v>1112090906.3646204</v>
      </c>
      <c r="P911" s="369"/>
      <c r="Q911" s="350">
        <f t="shared" si="357"/>
        <v>32566235.005689368</v>
      </c>
      <c r="R911" s="350">
        <f t="shared" si="358"/>
        <v>65775395.812860101</v>
      </c>
      <c r="S911" s="350">
        <f t="shared" si="359"/>
        <v>99486891.135156691</v>
      </c>
      <c r="T911" s="350">
        <f t="shared" si="360"/>
        <v>133714351.74712376</v>
      </c>
      <c r="U911" s="350">
        <f t="shared" si="361"/>
        <v>168463602.83381689</v>
      </c>
      <c r="V911" s="350">
        <f t="shared" si="362"/>
        <v>500006476.53464663</v>
      </c>
      <c r="W911" s="365"/>
      <c r="X911" s="377">
        <f t="shared" si="340"/>
        <v>0</v>
      </c>
      <c r="Y911" s="377">
        <f t="shared" si="341"/>
        <v>0</v>
      </c>
      <c r="Z911" s="377">
        <f t="shared" si="342"/>
        <v>0</v>
      </c>
      <c r="AA911" s="377">
        <f t="shared" si="343"/>
        <v>0</v>
      </c>
      <c r="AB911" s="377">
        <f t="shared" si="344"/>
        <v>0</v>
      </c>
      <c r="AC911" s="377">
        <f t="shared" si="345"/>
        <v>0</v>
      </c>
      <c r="AD911" s="376"/>
      <c r="AE911" s="332">
        <v>896</v>
      </c>
      <c r="AF911" s="350">
        <v>126240963.9045427</v>
      </c>
      <c r="AG911" s="350">
        <v>127276392.35018103</v>
      </c>
      <c r="AH911" s="350">
        <v>128268434.83180971</v>
      </c>
      <c r="AI911" s="350">
        <v>129262834.67889261</v>
      </c>
      <c r="AJ911" s="350">
        <v>130262680.80012</v>
      </c>
      <c r="AK911" s="348">
        <v>641311306.56554604</v>
      </c>
      <c r="AL911" s="369"/>
      <c r="AM911" s="350">
        <v>153436490.11426044</v>
      </c>
      <c r="AN911" s="350">
        <v>182215847.42493019</v>
      </c>
      <c r="AO911" s="350">
        <v>211371489.41070166</v>
      </c>
      <c r="AP911" s="350">
        <v>240960542.87557054</v>
      </c>
      <c r="AQ911" s="350">
        <v>270990963.00056291</v>
      </c>
      <c r="AR911" s="348">
        <v>1058975332.8260257</v>
      </c>
      <c r="AS911" s="369"/>
      <c r="AT911" s="350">
        <f t="shared" si="363"/>
        <v>27195526.209717736</v>
      </c>
      <c r="AU911" s="350">
        <f t="shared" si="346"/>
        <v>54939455.074749157</v>
      </c>
      <c r="AV911" s="350">
        <f t="shared" si="347"/>
        <v>83103054.578891948</v>
      </c>
      <c r="AW911" s="350">
        <f t="shared" si="348"/>
        <v>111697708.19667792</v>
      </c>
      <c r="AX911" s="350">
        <f t="shared" si="349"/>
        <v>140728282.20044291</v>
      </c>
      <c r="AY911" s="350">
        <f t="shared" si="350"/>
        <v>417664026.26047969</v>
      </c>
      <c r="AZ911" s="365"/>
      <c r="BA911" s="377">
        <f t="shared" si="351"/>
        <v>0</v>
      </c>
      <c r="BB911" s="377">
        <f t="shared" si="352"/>
        <v>0</v>
      </c>
      <c r="BC911" s="377">
        <f t="shared" si="353"/>
        <v>0</v>
      </c>
      <c r="BD911" s="377">
        <f t="shared" si="354"/>
        <v>0</v>
      </c>
      <c r="BE911" s="377">
        <f t="shared" si="355"/>
        <v>0</v>
      </c>
      <c r="BF911" s="377">
        <f t="shared" si="356"/>
        <v>0</v>
      </c>
      <c r="BG911" s="328"/>
    </row>
    <row r="912" spans="2:59">
      <c r="B912" s="332">
        <v>897</v>
      </c>
      <c r="C912" s="350">
        <v>137845697.39279968</v>
      </c>
      <c r="D912" s="350">
        <v>138976307.86799604</v>
      </c>
      <c r="E912" s="350">
        <v>140059544.11314055</v>
      </c>
      <c r="F912" s="350">
        <v>141145354.42517275</v>
      </c>
      <c r="G912" s="350">
        <v>142237111.66151872</v>
      </c>
      <c r="H912" s="348">
        <v>700264015.46062768</v>
      </c>
      <c r="I912" s="369"/>
      <c r="J912" s="350">
        <v>171934665.03473884</v>
      </c>
      <c r="K912" s="350">
        <v>207802426.99898952</v>
      </c>
      <c r="L912" s="350">
        <v>244148250.75247997</v>
      </c>
      <c r="M912" s="350">
        <v>281036351.33648485</v>
      </c>
      <c r="N912" s="350">
        <v>318476195.38148272</v>
      </c>
      <c r="O912" s="348">
        <v>1223397889.5041761</v>
      </c>
      <c r="P912" s="369"/>
      <c r="Q912" s="350">
        <f t="shared" si="357"/>
        <v>34088967.641939163</v>
      </c>
      <c r="R912" s="350">
        <f t="shared" si="358"/>
        <v>68826119.130993485</v>
      </c>
      <c r="S912" s="350">
        <f t="shared" si="359"/>
        <v>104088706.63933942</v>
      </c>
      <c r="T912" s="350">
        <f t="shared" si="360"/>
        <v>139890996.9113121</v>
      </c>
      <c r="U912" s="350">
        <f t="shared" si="361"/>
        <v>176239083.719964</v>
      </c>
      <c r="V912" s="350">
        <f t="shared" si="362"/>
        <v>523133874.04354846</v>
      </c>
      <c r="W912" s="365"/>
      <c r="X912" s="377">
        <f t="shared" ref="X912:X975" si="364">IF(Q912&lt;Q$8,1,0)</f>
        <v>0</v>
      </c>
      <c r="Y912" s="377">
        <f t="shared" ref="Y912:Y975" si="365">IF(R912&lt;R$8,1,0)</f>
        <v>0</v>
      </c>
      <c r="Z912" s="377">
        <f t="shared" ref="Z912:Z975" si="366">IF(S912&lt;S$8,1,0)</f>
        <v>0</v>
      </c>
      <c r="AA912" s="377">
        <f t="shared" ref="AA912:AA975" si="367">IF(T912&lt;T$8,1,0)</f>
        <v>0</v>
      </c>
      <c r="AB912" s="377">
        <f t="shared" ref="AB912:AB975" si="368">IF(U912&lt;U$8,1,0)</f>
        <v>0</v>
      </c>
      <c r="AC912" s="377">
        <f t="shared" ref="AC912:AC975" si="369">IF(V912&lt;V$8,1,0)</f>
        <v>0</v>
      </c>
      <c r="AD912" s="376"/>
      <c r="AE912" s="332">
        <v>897</v>
      </c>
      <c r="AF912" s="350">
        <v>139773402.69505709</v>
      </c>
      <c r="AG912" s="350">
        <v>140919824.2100541</v>
      </c>
      <c r="AH912" s="350">
        <v>142018208.98934126</v>
      </c>
      <c r="AI912" s="350">
        <v>143119203.83259445</v>
      </c>
      <c r="AJ912" s="350">
        <v>144226228.76501718</v>
      </c>
      <c r="AK912" s="348">
        <v>710056868.49206412</v>
      </c>
      <c r="AL912" s="369"/>
      <c r="AM912" s="350">
        <v>176331540.71440706</v>
      </c>
      <c r="AN912" s="350">
        <v>214746114.17461088</v>
      </c>
      <c r="AO912" s="350">
        <v>253676377.85280901</v>
      </c>
      <c r="AP912" s="350">
        <v>293188279.50466681</v>
      </c>
      <c r="AQ912" s="350">
        <v>333291776.59078079</v>
      </c>
      <c r="AR912" s="348">
        <v>1271234088.8372746</v>
      </c>
      <c r="AS912" s="369"/>
      <c r="AT912" s="350">
        <f t="shared" si="363"/>
        <v>36558138.019349962</v>
      </c>
      <c r="AU912" s="350">
        <f t="shared" ref="AU912:AU975" si="370">AN912-AG912</f>
        <v>73826289.964556783</v>
      </c>
      <c r="AV912" s="350">
        <f t="shared" ref="AV912:AV975" si="371">AO912-AH912</f>
        <v>111658168.86346775</v>
      </c>
      <c r="AW912" s="350">
        <f t="shared" ref="AW912:AW975" si="372">AP912-AI912</f>
        <v>150069075.67207235</v>
      </c>
      <c r="AX912" s="350">
        <f t="shared" ref="AX912:AX975" si="373">AQ912-AJ912</f>
        <v>189065547.82576361</v>
      </c>
      <c r="AY912" s="350">
        <f t="shared" ref="AY912:AY975" si="374">AR912-AK912</f>
        <v>561177220.34521043</v>
      </c>
      <c r="AZ912" s="365"/>
      <c r="BA912" s="377">
        <f t="shared" ref="BA912:BA975" si="375">IF(AT912&lt;AT$8,1,0)</f>
        <v>0</v>
      </c>
      <c r="BB912" s="377">
        <f t="shared" ref="BB912:BB975" si="376">IF(AU912&lt;AU$8,1,0)</f>
        <v>0</v>
      </c>
      <c r="BC912" s="377">
        <f t="shared" ref="BC912:BC975" si="377">IF(AV912&lt;AV$8,1,0)</f>
        <v>0</v>
      </c>
      <c r="BD912" s="377">
        <f t="shared" ref="BD912:BD975" si="378">IF(AW912&lt;AW$8,1,0)</f>
        <v>0</v>
      </c>
      <c r="BE912" s="377">
        <f t="shared" ref="BE912:BE975" si="379">IF(AX912&lt;AX$8,1,0)</f>
        <v>0</v>
      </c>
      <c r="BF912" s="377">
        <f t="shared" ref="BF912:BF975" si="380">IF(AY912&lt;AY$8,1,0)</f>
        <v>0</v>
      </c>
      <c r="BG912" s="328"/>
    </row>
    <row r="913" spans="2:59">
      <c r="B913" s="332">
        <v>898</v>
      </c>
      <c r="C913" s="350">
        <v>129862574.77448279</v>
      </c>
      <c r="D913" s="350">
        <v>130927707.67418885</v>
      </c>
      <c r="E913" s="350">
        <v>131948209.94987948</v>
      </c>
      <c r="F913" s="350">
        <v>132971137.21931307</v>
      </c>
      <c r="G913" s="350">
        <v>133999667.00603947</v>
      </c>
      <c r="H913" s="348">
        <v>659709296.62390363</v>
      </c>
      <c r="I913" s="369"/>
      <c r="J913" s="350">
        <v>160350949.70345461</v>
      </c>
      <c r="K913" s="350">
        <v>192506572.58706233</v>
      </c>
      <c r="L913" s="350">
        <v>225087851.63093436</v>
      </c>
      <c r="M913" s="350">
        <v>258154603.53945309</v>
      </c>
      <c r="N913" s="350">
        <v>291715459.38254005</v>
      </c>
      <c r="O913" s="348">
        <v>1127815436.8434443</v>
      </c>
      <c r="P913" s="369"/>
      <c r="Q913" s="350">
        <f t="shared" ref="Q913:Q976" si="381">J913-C913</f>
        <v>30488374.928971827</v>
      </c>
      <c r="R913" s="350">
        <f t="shared" ref="R913:R976" si="382">K913-D913</f>
        <v>61578864.912873477</v>
      </c>
      <c r="S913" s="350">
        <f t="shared" ref="S913:S976" si="383">L913-E913</f>
        <v>93139641.681054875</v>
      </c>
      <c r="T913" s="350">
        <f t="shared" ref="T913:T976" si="384">M913-F913</f>
        <v>125183466.32014002</v>
      </c>
      <c r="U913" s="350">
        <f t="shared" ref="U913:U976" si="385">N913-G913</f>
        <v>157715792.37650058</v>
      </c>
      <c r="V913" s="350">
        <f t="shared" ref="V913:V976" si="386">O913-H913</f>
        <v>468106140.21954072</v>
      </c>
      <c r="W913" s="365"/>
      <c r="X913" s="377">
        <f t="shared" si="364"/>
        <v>0</v>
      </c>
      <c r="Y913" s="377">
        <f t="shared" si="365"/>
        <v>0</v>
      </c>
      <c r="Z913" s="377">
        <f t="shared" si="366"/>
        <v>0</v>
      </c>
      <c r="AA913" s="377">
        <f t="shared" si="367"/>
        <v>0</v>
      </c>
      <c r="AB913" s="377">
        <f t="shared" si="368"/>
        <v>0</v>
      </c>
      <c r="AC913" s="377">
        <f t="shared" si="369"/>
        <v>0</v>
      </c>
      <c r="AD913" s="376"/>
      <c r="AE913" s="332">
        <v>898</v>
      </c>
      <c r="AF913" s="350">
        <v>123525435.36843941</v>
      </c>
      <c r="AG913" s="350">
        <v>124538591.04774064</v>
      </c>
      <c r="AH913" s="350">
        <v>125509294.02446872</v>
      </c>
      <c r="AI913" s="350">
        <v>126482303.6581254</v>
      </c>
      <c r="AJ913" s="350">
        <v>127460642.41288534</v>
      </c>
      <c r="AK913" s="348">
        <v>627516266.5116595</v>
      </c>
      <c r="AL913" s="369"/>
      <c r="AM913" s="350">
        <v>152668317.78684866</v>
      </c>
      <c r="AN913" s="350">
        <v>183401377.08614507</v>
      </c>
      <c r="AO913" s="350">
        <v>214541539.13092035</v>
      </c>
      <c r="AP913" s="350">
        <v>246145761.28572619</v>
      </c>
      <c r="AQ913" s="350">
        <v>278222279.11450708</v>
      </c>
      <c r="AR913" s="348">
        <v>1074979274.4041474</v>
      </c>
      <c r="AS913" s="369"/>
      <c r="AT913" s="350">
        <f t="shared" ref="AT913:AT976" si="387">AM913-AF913</f>
        <v>29142882.418409258</v>
      </c>
      <c r="AU913" s="350">
        <f t="shared" si="370"/>
        <v>58862786.038404435</v>
      </c>
      <c r="AV913" s="350">
        <f t="shared" si="371"/>
        <v>89032245.106451631</v>
      </c>
      <c r="AW913" s="350">
        <f t="shared" si="372"/>
        <v>119663457.62760079</v>
      </c>
      <c r="AX913" s="350">
        <f t="shared" si="373"/>
        <v>150761636.70162174</v>
      </c>
      <c r="AY913" s="350">
        <f t="shared" si="374"/>
        <v>447463007.89248788</v>
      </c>
      <c r="AZ913" s="365"/>
      <c r="BA913" s="377">
        <f t="shared" si="375"/>
        <v>0</v>
      </c>
      <c r="BB913" s="377">
        <f t="shared" si="376"/>
        <v>0</v>
      </c>
      <c r="BC913" s="377">
        <f t="shared" si="377"/>
        <v>0</v>
      </c>
      <c r="BD913" s="377">
        <f t="shared" si="378"/>
        <v>0</v>
      </c>
      <c r="BE913" s="377">
        <f t="shared" si="379"/>
        <v>0</v>
      </c>
      <c r="BF913" s="377">
        <f t="shared" si="380"/>
        <v>0</v>
      </c>
      <c r="BG913" s="328"/>
    </row>
    <row r="914" spans="2:59">
      <c r="B914" s="332">
        <v>899</v>
      </c>
      <c r="C914" s="350">
        <v>145792738.15999162</v>
      </c>
      <c r="D914" s="350">
        <v>146988530.26731825</v>
      </c>
      <c r="E914" s="350">
        <v>148134216.93901569</v>
      </c>
      <c r="F914" s="350">
        <v>149282626.07696965</v>
      </c>
      <c r="G914" s="350">
        <v>150437324.98961914</v>
      </c>
      <c r="H914" s="348">
        <v>740635436.43291438</v>
      </c>
      <c r="I914" s="369"/>
      <c r="J914" s="350">
        <v>180229330.53173491</v>
      </c>
      <c r="K914" s="350">
        <v>216541001.500763</v>
      </c>
      <c r="L914" s="350">
        <v>253333743.03771719</v>
      </c>
      <c r="M914" s="350">
        <v>290674796.63591862</v>
      </c>
      <c r="N914" s="350">
        <v>328573889.25717539</v>
      </c>
      <c r="O914" s="348">
        <v>1269352760.963309</v>
      </c>
      <c r="P914" s="369"/>
      <c r="Q914" s="350">
        <f t="shared" si="381"/>
        <v>34436592.371743292</v>
      </c>
      <c r="R914" s="350">
        <f t="shared" si="382"/>
        <v>69552471.23344475</v>
      </c>
      <c r="S914" s="350">
        <f t="shared" si="383"/>
        <v>105199526.09870151</v>
      </c>
      <c r="T914" s="350">
        <f t="shared" si="384"/>
        <v>141392170.55894896</v>
      </c>
      <c r="U914" s="350">
        <f t="shared" si="385"/>
        <v>178136564.26755625</v>
      </c>
      <c r="V914" s="350">
        <f t="shared" si="386"/>
        <v>528717324.53039467</v>
      </c>
      <c r="W914" s="365"/>
      <c r="X914" s="377">
        <f t="shared" si="364"/>
        <v>0</v>
      </c>
      <c r="Y914" s="377">
        <f t="shared" si="365"/>
        <v>0</v>
      </c>
      <c r="Z914" s="377">
        <f t="shared" si="366"/>
        <v>0</v>
      </c>
      <c r="AA914" s="377">
        <f t="shared" si="367"/>
        <v>0</v>
      </c>
      <c r="AB914" s="377">
        <f t="shared" si="368"/>
        <v>0</v>
      </c>
      <c r="AC914" s="377">
        <f t="shared" si="369"/>
        <v>0</v>
      </c>
      <c r="AD914" s="376"/>
      <c r="AE914" s="332">
        <v>899</v>
      </c>
      <c r="AF914" s="350">
        <v>117908668.24795362</v>
      </c>
      <c r="AG914" s="350">
        <v>118875755.20067668</v>
      </c>
      <c r="AH914" s="350">
        <v>119802319.79774895</v>
      </c>
      <c r="AI914" s="350">
        <v>120731086.16683476</v>
      </c>
      <c r="AJ914" s="350">
        <v>121664939.33905822</v>
      </c>
      <c r="AK914" s="348">
        <v>598982768.75227225</v>
      </c>
      <c r="AL914" s="369"/>
      <c r="AM914" s="350">
        <v>147838522.80653998</v>
      </c>
      <c r="AN914" s="350">
        <v>179335542.47555864</v>
      </c>
      <c r="AO914" s="350">
        <v>211253851.52556768</v>
      </c>
      <c r="AP914" s="350">
        <v>243648701.89861929</v>
      </c>
      <c r="AQ914" s="350">
        <v>276528333.64076757</v>
      </c>
      <c r="AR914" s="348">
        <v>1058604952.3470532</v>
      </c>
      <c r="AS914" s="369"/>
      <c r="AT914" s="350">
        <f t="shared" si="387"/>
        <v>29929854.558586359</v>
      </c>
      <c r="AU914" s="350">
        <f t="shared" si="370"/>
        <v>60459787.274881959</v>
      </c>
      <c r="AV914" s="350">
        <f t="shared" si="371"/>
        <v>91451531.727818727</v>
      </c>
      <c r="AW914" s="350">
        <f t="shared" si="372"/>
        <v>122917615.73178454</v>
      </c>
      <c r="AX914" s="350">
        <f t="shared" si="373"/>
        <v>154863394.30170935</v>
      </c>
      <c r="AY914" s="350">
        <f t="shared" si="374"/>
        <v>459622183.59478092</v>
      </c>
      <c r="AZ914" s="365"/>
      <c r="BA914" s="377">
        <f t="shared" si="375"/>
        <v>0</v>
      </c>
      <c r="BB914" s="377">
        <f t="shared" si="376"/>
        <v>0</v>
      </c>
      <c r="BC914" s="377">
        <f t="shared" si="377"/>
        <v>0</v>
      </c>
      <c r="BD914" s="377">
        <f t="shared" si="378"/>
        <v>0</v>
      </c>
      <c r="BE914" s="377">
        <f t="shared" si="379"/>
        <v>0</v>
      </c>
      <c r="BF914" s="377">
        <f t="shared" si="380"/>
        <v>0</v>
      </c>
      <c r="BG914" s="328"/>
    </row>
    <row r="915" spans="2:59">
      <c r="B915" s="332">
        <v>900</v>
      </c>
      <c r="C915" s="350">
        <v>119400248.0530048</v>
      </c>
      <c r="D915" s="350">
        <v>120379568.94399419</v>
      </c>
      <c r="E915" s="350">
        <v>121317854.85945305</v>
      </c>
      <c r="F915" s="350">
        <v>122258370.39999777</v>
      </c>
      <c r="G915" s="350">
        <v>123204037.09325635</v>
      </c>
      <c r="H915" s="348">
        <v>606560079.34970617</v>
      </c>
      <c r="I915" s="369"/>
      <c r="J915" s="350">
        <v>151614260.85296556</v>
      </c>
      <c r="K915" s="350">
        <v>185438815.25273538</v>
      </c>
      <c r="L915" s="350">
        <v>219719162.09095874</v>
      </c>
      <c r="M915" s="350">
        <v>254512049.05426359</v>
      </c>
      <c r="N915" s="350">
        <v>289826159.12739378</v>
      </c>
      <c r="O915" s="348">
        <v>1101110446.3783171</v>
      </c>
      <c r="P915" s="369"/>
      <c r="Q915" s="350">
        <f t="shared" si="381"/>
        <v>32214012.799960762</v>
      </c>
      <c r="R915" s="350">
        <f t="shared" si="382"/>
        <v>65059246.308741182</v>
      </c>
      <c r="S915" s="350">
        <f t="shared" si="383"/>
        <v>98401307.231505692</v>
      </c>
      <c r="T915" s="350">
        <f t="shared" si="384"/>
        <v>132253678.65426582</v>
      </c>
      <c r="U915" s="350">
        <f t="shared" si="385"/>
        <v>166622122.03413743</v>
      </c>
      <c r="V915" s="350">
        <f t="shared" si="386"/>
        <v>494550367.02861094</v>
      </c>
      <c r="W915" s="365"/>
      <c r="X915" s="377">
        <f t="shared" si="364"/>
        <v>0</v>
      </c>
      <c r="Y915" s="377">
        <f t="shared" si="365"/>
        <v>0</v>
      </c>
      <c r="Z915" s="377">
        <f t="shared" si="366"/>
        <v>0</v>
      </c>
      <c r="AA915" s="377">
        <f t="shared" si="367"/>
        <v>0</v>
      </c>
      <c r="AB915" s="377">
        <f t="shared" si="368"/>
        <v>0</v>
      </c>
      <c r="AC915" s="377">
        <f t="shared" si="369"/>
        <v>0</v>
      </c>
      <c r="AD915" s="376"/>
      <c r="AE915" s="332">
        <v>900</v>
      </c>
      <c r="AF915" s="350">
        <v>112916719.030908</v>
      </c>
      <c r="AG915" s="350">
        <v>113842862.01379243</v>
      </c>
      <c r="AH915" s="350">
        <v>114730198.25315677</v>
      </c>
      <c r="AI915" s="350">
        <v>115619643.04718053</v>
      </c>
      <c r="AJ915" s="350">
        <v>116513959.28220344</v>
      </c>
      <c r="AK915" s="348">
        <v>573623381.62724113</v>
      </c>
      <c r="AL915" s="369"/>
      <c r="AM915" s="350">
        <v>141642989.75786108</v>
      </c>
      <c r="AN915" s="350">
        <v>171870418.57126281</v>
      </c>
      <c r="AO915" s="350">
        <v>202502266.79136962</v>
      </c>
      <c r="AP915" s="350">
        <v>233591473.69186544</v>
      </c>
      <c r="AQ915" s="350">
        <v>265145941.68795937</v>
      </c>
      <c r="AR915" s="348">
        <v>1014753090.5003183</v>
      </c>
      <c r="AS915" s="369"/>
      <c r="AT915" s="350">
        <f t="shared" si="387"/>
        <v>28726270.726953074</v>
      </c>
      <c r="AU915" s="350">
        <f t="shared" si="370"/>
        <v>58027556.557470381</v>
      </c>
      <c r="AV915" s="350">
        <f t="shared" si="371"/>
        <v>87772068.538212851</v>
      </c>
      <c r="AW915" s="350">
        <f t="shared" si="372"/>
        <v>117971830.64468491</v>
      </c>
      <c r="AX915" s="350">
        <f t="shared" si="373"/>
        <v>148631982.40575594</v>
      </c>
      <c r="AY915" s="350">
        <f t="shared" si="374"/>
        <v>441129708.87307715</v>
      </c>
      <c r="AZ915" s="365"/>
      <c r="BA915" s="377">
        <f t="shared" si="375"/>
        <v>0</v>
      </c>
      <c r="BB915" s="377">
        <f t="shared" si="376"/>
        <v>0</v>
      </c>
      <c r="BC915" s="377">
        <f t="shared" si="377"/>
        <v>0</v>
      </c>
      <c r="BD915" s="377">
        <f t="shared" si="378"/>
        <v>0</v>
      </c>
      <c r="BE915" s="377">
        <f t="shared" si="379"/>
        <v>0</v>
      </c>
      <c r="BF915" s="377">
        <f t="shared" si="380"/>
        <v>0</v>
      </c>
      <c r="BG915" s="328"/>
    </row>
    <row r="916" spans="2:59">
      <c r="B916" s="332">
        <v>901</v>
      </c>
      <c r="C916" s="350">
        <v>135049009.84908321</v>
      </c>
      <c r="D916" s="350">
        <v>136156681.89172357</v>
      </c>
      <c r="E916" s="350">
        <v>137217940.85813546</v>
      </c>
      <c r="F916" s="350">
        <v>138281721.66738349</v>
      </c>
      <c r="G916" s="350">
        <v>139351328.74655086</v>
      </c>
      <c r="H916" s="348">
        <v>686056683.01287651</v>
      </c>
      <c r="I916" s="369"/>
      <c r="J916" s="350">
        <v>167596351.16881037</v>
      </c>
      <c r="K916" s="350">
        <v>201919775.23528975</v>
      </c>
      <c r="L916" s="350">
        <v>236699232.39879486</v>
      </c>
      <c r="M916" s="350">
        <v>271997281.88167119</v>
      </c>
      <c r="N916" s="350">
        <v>307823053.86351144</v>
      </c>
      <c r="O916" s="348">
        <v>1186035694.5480776</v>
      </c>
      <c r="P916" s="369"/>
      <c r="Q916" s="350">
        <f t="shared" si="381"/>
        <v>32547341.319727153</v>
      </c>
      <c r="R916" s="350">
        <f t="shared" si="382"/>
        <v>65763093.343566179</v>
      </c>
      <c r="S916" s="350">
        <f t="shared" si="383"/>
        <v>99481291.540659398</v>
      </c>
      <c r="T916" s="350">
        <f t="shared" si="384"/>
        <v>133715560.2142877</v>
      </c>
      <c r="U916" s="350">
        <f t="shared" si="385"/>
        <v>168471725.11696059</v>
      </c>
      <c r="V916" s="350">
        <f t="shared" si="386"/>
        <v>499979011.53520107</v>
      </c>
      <c r="W916" s="365"/>
      <c r="X916" s="377">
        <f t="shared" si="364"/>
        <v>0</v>
      </c>
      <c r="Y916" s="377">
        <f t="shared" si="365"/>
        <v>0</v>
      </c>
      <c r="Z916" s="377">
        <f t="shared" si="366"/>
        <v>0</v>
      </c>
      <c r="AA916" s="377">
        <f t="shared" si="367"/>
        <v>0</v>
      </c>
      <c r="AB916" s="377">
        <f t="shared" si="368"/>
        <v>0</v>
      </c>
      <c r="AC916" s="377">
        <f t="shared" si="369"/>
        <v>0</v>
      </c>
      <c r="AD916" s="376"/>
      <c r="AE916" s="332">
        <v>901</v>
      </c>
      <c r="AF916" s="350">
        <v>109905890.2408337</v>
      </c>
      <c r="AG916" s="350">
        <v>110807338.40455827</v>
      </c>
      <c r="AH916" s="350">
        <v>111671014.57374978</v>
      </c>
      <c r="AI916" s="350">
        <v>112536743.0747745</v>
      </c>
      <c r="AJ916" s="350">
        <v>113407213.12394521</v>
      </c>
      <c r="AK916" s="348">
        <v>558328199.41786146</v>
      </c>
      <c r="AL916" s="369"/>
      <c r="AM916" s="350">
        <v>139449576.7456612</v>
      </c>
      <c r="AN916" s="350">
        <v>170481703.24264577</v>
      </c>
      <c r="AO916" s="350">
        <v>201931827.68074745</v>
      </c>
      <c r="AP916" s="350">
        <v>233852140.26445749</v>
      </c>
      <c r="AQ916" s="350">
        <v>266250615.31657976</v>
      </c>
      <c r="AR916" s="348">
        <v>1011965863.2500918</v>
      </c>
      <c r="AS916" s="369"/>
      <c r="AT916" s="350">
        <f t="shared" si="387"/>
        <v>29543686.504827499</v>
      </c>
      <c r="AU916" s="350">
        <f t="shared" si="370"/>
        <v>59674364.838087499</v>
      </c>
      <c r="AV916" s="350">
        <f t="shared" si="371"/>
        <v>90260813.106997669</v>
      </c>
      <c r="AW916" s="350">
        <f t="shared" si="372"/>
        <v>121315397.18968299</v>
      </c>
      <c r="AX916" s="350">
        <f t="shared" si="373"/>
        <v>152843402.19263455</v>
      </c>
      <c r="AY916" s="350">
        <f t="shared" si="374"/>
        <v>453637663.83223033</v>
      </c>
      <c r="AZ916" s="365"/>
      <c r="BA916" s="377">
        <f t="shared" si="375"/>
        <v>0</v>
      </c>
      <c r="BB916" s="377">
        <f t="shared" si="376"/>
        <v>0</v>
      </c>
      <c r="BC916" s="377">
        <f t="shared" si="377"/>
        <v>0</v>
      </c>
      <c r="BD916" s="377">
        <f t="shared" si="378"/>
        <v>0</v>
      </c>
      <c r="BE916" s="377">
        <f t="shared" si="379"/>
        <v>0</v>
      </c>
      <c r="BF916" s="377">
        <f t="shared" si="380"/>
        <v>0</v>
      </c>
      <c r="BG916" s="328"/>
    </row>
    <row r="917" spans="2:59">
      <c r="B917" s="332">
        <v>902</v>
      </c>
      <c r="C917" s="350">
        <v>120600751.64679837</v>
      </c>
      <c r="D917" s="350">
        <v>121589919.0688317</v>
      </c>
      <c r="E917" s="350">
        <v>122537638.93130389</v>
      </c>
      <c r="F917" s="350">
        <v>123487610.83651163</v>
      </c>
      <c r="G917" s="350">
        <v>124442785.68643072</v>
      </c>
      <c r="H917" s="348">
        <v>612658706.16987622</v>
      </c>
      <c r="I917" s="369"/>
      <c r="J917" s="350">
        <v>144141210.28195807</v>
      </c>
      <c r="K917" s="350">
        <v>169134994.01250267</v>
      </c>
      <c r="L917" s="350">
        <v>194450432.95660192</v>
      </c>
      <c r="M917" s="350">
        <v>220141079.6711258</v>
      </c>
      <c r="N917" s="350">
        <v>246214095.69654849</v>
      </c>
      <c r="O917" s="348">
        <v>974081812.61873698</v>
      </c>
      <c r="P917" s="369"/>
      <c r="Q917" s="350">
        <f t="shared" si="381"/>
        <v>23540458.635159701</v>
      </c>
      <c r="R917" s="350">
        <f t="shared" si="382"/>
        <v>47545074.943670973</v>
      </c>
      <c r="S917" s="350">
        <f t="shared" si="383"/>
        <v>71912794.025298029</v>
      </c>
      <c r="T917" s="350">
        <f t="shared" si="384"/>
        <v>96653468.834614173</v>
      </c>
      <c r="U917" s="350">
        <f t="shared" si="385"/>
        <v>121771310.01011777</v>
      </c>
      <c r="V917" s="350">
        <f t="shared" si="386"/>
        <v>361423106.44886076</v>
      </c>
      <c r="W917" s="365"/>
      <c r="X917" s="377">
        <f t="shared" si="364"/>
        <v>0</v>
      </c>
      <c r="Y917" s="377">
        <f t="shared" si="365"/>
        <v>0</v>
      </c>
      <c r="Z917" s="377">
        <f t="shared" si="366"/>
        <v>0</v>
      </c>
      <c r="AA917" s="377">
        <f t="shared" si="367"/>
        <v>0</v>
      </c>
      <c r="AB917" s="377">
        <f t="shared" si="368"/>
        <v>0</v>
      </c>
      <c r="AC917" s="377">
        <f t="shared" si="369"/>
        <v>0</v>
      </c>
      <c r="AD917" s="376"/>
      <c r="AE917" s="332">
        <v>902</v>
      </c>
      <c r="AF917" s="350">
        <v>118596990.62831205</v>
      </c>
      <c r="AG917" s="350">
        <v>119569723.20152432</v>
      </c>
      <c r="AH917" s="350">
        <v>120501696.85934241</v>
      </c>
      <c r="AI917" s="350">
        <v>121435885.14258823</v>
      </c>
      <c r="AJ917" s="350">
        <v>122375189.92450219</v>
      </c>
      <c r="AK917" s="348">
        <v>602479485.75626922</v>
      </c>
      <c r="AL917" s="369"/>
      <c r="AM917" s="350">
        <v>152944980.91719943</v>
      </c>
      <c r="AN917" s="350">
        <v>188925444.15439701</v>
      </c>
      <c r="AO917" s="350">
        <v>225394680.35919189</v>
      </c>
      <c r="AP917" s="350">
        <v>262410038.59007454</v>
      </c>
      <c r="AQ917" s="350">
        <v>299980561.80867058</v>
      </c>
      <c r="AR917" s="348">
        <v>1129655705.8295333</v>
      </c>
      <c r="AS917" s="369"/>
      <c r="AT917" s="350">
        <f t="shared" si="387"/>
        <v>34347990.288887382</v>
      </c>
      <c r="AU917" s="350">
        <f t="shared" si="370"/>
        <v>69355720.952872694</v>
      </c>
      <c r="AV917" s="350">
        <f t="shared" si="371"/>
        <v>104892983.49984948</v>
      </c>
      <c r="AW917" s="350">
        <f t="shared" si="372"/>
        <v>140974153.44748631</v>
      </c>
      <c r="AX917" s="350">
        <f t="shared" si="373"/>
        <v>177605371.88416839</v>
      </c>
      <c r="AY917" s="350">
        <f t="shared" si="374"/>
        <v>527176220.07326412</v>
      </c>
      <c r="AZ917" s="365"/>
      <c r="BA917" s="377">
        <f t="shared" si="375"/>
        <v>0</v>
      </c>
      <c r="BB917" s="377">
        <f t="shared" si="376"/>
        <v>0</v>
      </c>
      <c r="BC917" s="377">
        <f t="shared" si="377"/>
        <v>0</v>
      </c>
      <c r="BD917" s="377">
        <f t="shared" si="378"/>
        <v>0</v>
      </c>
      <c r="BE917" s="377">
        <f t="shared" si="379"/>
        <v>0</v>
      </c>
      <c r="BF917" s="377">
        <f t="shared" si="380"/>
        <v>0</v>
      </c>
      <c r="BG917" s="328"/>
    </row>
    <row r="918" spans="2:59">
      <c r="B918" s="332">
        <v>903</v>
      </c>
      <c r="C918" s="350">
        <v>143908802.99074894</v>
      </c>
      <c r="D918" s="350">
        <v>145089143.06092662</v>
      </c>
      <c r="E918" s="350">
        <v>146220025.15839779</v>
      </c>
      <c r="F918" s="350">
        <v>147353594.54239023</v>
      </c>
      <c r="G918" s="350">
        <v>148493372.4245488</v>
      </c>
      <c r="H918" s="348">
        <v>731064938.17701244</v>
      </c>
      <c r="I918" s="369"/>
      <c r="J918" s="350">
        <v>177280599.74289784</v>
      </c>
      <c r="K918" s="350">
        <v>212495549.20583141</v>
      </c>
      <c r="L918" s="350">
        <v>248175863.10530403</v>
      </c>
      <c r="M918" s="350">
        <v>284387654.86866736</v>
      </c>
      <c r="N918" s="350">
        <v>321140415.59302831</v>
      </c>
      <c r="O918" s="348">
        <v>1243480082.515729</v>
      </c>
      <c r="P918" s="369"/>
      <c r="Q918" s="350">
        <f t="shared" si="381"/>
        <v>33371796.752148896</v>
      </c>
      <c r="R918" s="350">
        <f t="shared" si="382"/>
        <v>67406406.144904792</v>
      </c>
      <c r="S918" s="350">
        <f t="shared" si="383"/>
        <v>101955837.94690624</v>
      </c>
      <c r="T918" s="350">
        <f t="shared" si="384"/>
        <v>137034060.32627714</v>
      </c>
      <c r="U918" s="350">
        <f t="shared" si="385"/>
        <v>172647043.1684795</v>
      </c>
      <c r="V918" s="350">
        <f t="shared" si="386"/>
        <v>512415144.33871651</v>
      </c>
      <c r="W918" s="365"/>
      <c r="X918" s="377">
        <f t="shared" si="364"/>
        <v>0</v>
      </c>
      <c r="Y918" s="377">
        <f t="shared" si="365"/>
        <v>0</v>
      </c>
      <c r="Z918" s="377">
        <f t="shared" si="366"/>
        <v>0</v>
      </c>
      <c r="AA918" s="377">
        <f t="shared" si="367"/>
        <v>0</v>
      </c>
      <c r="AB918" s="377">
        <f t="shared" si="368"/>
        <v>0</v>
      </c>
      <c r="AC918" s="377">
        <f t="shared" si="369"/>
        <v>0</v>
      </c>
      <c r="AD918" s="376"/>
      <c r="AE918" s="332">
        <v>903</v>
      </c>
      <c r="AF918" s="350">
        <v>113099811.01654878</v>
      </c>
      <c r="AG918" s="350">
        <v>114027455.71998602</v>
      </c>
      <c r="AH918" s="350">
        <v>114916230.75561887</v>
      </c>
      <c r="AI918" s="350">
        <v>115807117.7648863</v>
      </c>
      <c r="AJ918" s="350">
        <v>116702884.11408782</v>
      </c>
      <c r="AK918" s="348">
        <v>574553499.37112784</v>
      </c>
      <c r="AL918" s="369"/>
      <c r="AM918" s="350">
        <v>145373165.60867143</v>
      </c>
      <c r="AN918" s="350">
        <v>179210724.89846984</v>
      </c>
      <c r="AO918" s="350">
        <v>213507222.25245333</v>
      </c>
      <c r="AP918" s="350">
        <v>248317147.46748251</v>
      </c>
      <c r="AQ918" s="350">
        <v>283649040.61772764</v>
      </c>
      <c r="AR918" s="348">
        <v>1070057300.8448046</v>
      </c>
      <c r="AS918" s="369"/>
      <c r="AT918" s="350">
        <f t="shared" si="387"/>
        <v>32273354.592122644</v>
      </c>
      <c r="AU918" s="350">
        <f t="shared" si="370"/>
        <v>65183269.178483814</v>
      </c>
      <c r="AV918" s="350">
        <f t="shared" si="371"/>
        <v>98590991.496834457</v>
      </c>
      <c r="AW918" s="350">
        <f t="shared" si="372"/>
        <v>132510029.7025962</v>
      </c>
      <c r="AX918" s="350">
        <f t="shared" si="373"/>
        <v>166946156.50363982</v>
      </c>
      <c r="AY918" s="350">
        <f t="shared" si="374"/>
        <v>495503801.4736768</v>
      </c>
      <c r="AZ918" s="365"/>
      <c r="BA918" s="377">
        <f t="shared" si="375"/>
        <v>0</v>
      </c>
      <c r="BB918" s="377">
        <f t="shared" si="376"/>
        <v>0</v>
      </c>
      <c r="BC918" s="377">
        <f t="shared" si="377"/>
        <v>0</v>
      </c>
      <c r="BD918" s="377">
        <f t="shared" si="378"/>
        <v>0</v>
      </c>
      <c r="BE918" s="377">
        <f t="shared" si="379"/>
        <v>0</v>
      </c>
      <c r="BF918" s="377">
        <f t="shared" si="380"/>
        <v>0</v>
      </c>
      <c r="BG918" s="328"/>
    </row>
    <row r="919" spans="2:59">
      <c r="B919" s="332">
        <v>904</v>
      </c>
      <c r="C919" s="350">
        <v>119261870.77899459</v>
      </c>
      <c r="D919" s="350">
        <v>120240056.69951713</v>
      </c>
      <c r="E919" s="350">
        <v>121177255.2014292</v>
      </c>
      <c r="F919" s="350">
        <v>122116680.74443379</v>
      </c>
      <c r="G919" s="350">
        <v>123061251.4702948</v>
      </c>
      <c r="H919" s="348">
        <v>605857114.89466953</v>
      </c>
      <c r="I919" s="369"/>
      <c r="J919" s="350">
        <v>153374035.97592765</v>
      </c>
      <c r="K919" s="350">
        <v>189144643.11565271</v>
      </c>
      <c r="L919" s="350">
        <v>225400549.50581977</v>
      </c>
      <c r="M919" s="350">
        <v>262199247.81656903</v>
      </c>
      <c r="N919" s="350">
        <v>299549758.93776572</v>
      </c>
      <c r="O919" s="348">
        <v>1129668235.3517351</v>
      </c>
      <c r="P919" s="369"/>
      <c r="Q919" s="350">
        <f t="shared" si="381"/>
        <v>34112165.196933061</v>
      </c>
      <c r="R919" s="350">
        <f t="shared" si="382"/>
        <v>68904586.416135579</v>
      </c>
      <c r="S919" s="350">
        <f t="shared" si="383"/>
        <v>104223294.30439056</v>
      </c>
      <c r="T919" s="350">
        <f t="shared" si="384"/>
        <v>140082567.07213524</v>
      </c>
      <c r="U919" s="350">
        <f t="shared" si="385"/>
        <v>176488507.46747091</v>
      </c>
      <c r="V919" s="350">
        <f t="shared" si="386"/>
        <v>523811120.45706558</v>
      </c>
      <c r="W919" s="365"/>
      <c r="X919" s="377">
        <f t="shared" si="364"/>
        <v>0</v>
      </c>
      <c r="Y919" s="377">
        <f t="shared" si="365"/>
        <v>0</v>
      </c>
      <c r="Z919" s="377">
        <f t="shared" si="366"/>
        <v>0</v>
      </c>
      <c r="AA919" s="377">
        <f t="shared" si="367"/>
        <v>0</v>
      </c>
      <c r="AB919" s="377">
        <f t="shared" si="368"/>
        <v>0</v>
      </c>
      <c r="AC919" s="377">
        <f t="shared" si="369"/>
        <v>0</v>
      </c>
      <c r="AD919" s="376"/>
      <c r="AE919" s="332">
        <v>904</v>
      </c>
      <c r="AF919" s="350">
        <v>134000091.33724278</v>
      </c>
      <c r="AG919" s="350">
        <v>135099160.14975309</v>
      </c>
      <c r="AH919" s="350">
        <v>136152176.37394145</v>
      </c>
      <c r="AI919" s="350">
        <v>137207694.85394615</v>
      </c>
      <c r="AJ919" s="350">
        <v>138268994.35154009</v>
      </c>
      <c r="AK919" s="348">
        <v>680728117.06642365</v>
      </c>
      <c r="AL919" s="369"/>
      <c r="AM919" s="350">
        <v>172166994.70835075</v>
      </c>
      <c r="AN919" s="350">
        <v>212205276.00056961</v>
      </c>
      <c r="AO919" s="350">
        <v>252786522.88079461</v>
      </c>
      <c r="AP919" s="350">
        <v>293975266.20329094</v>
      </c>
      <c r="AQ919" s="350">
        <v>335781614.58906657</v>
      </c>
      <c r="AR919" s="348">
        <v>1266915674.3820724</v>
      </c>
      <c r="AS919" s="369"/>
      <c r="AT919" s="350">
        <f t="shared" si="387"/>
        <v>38166903.371107966</v>
      </c>
      <c r="AU919" s="350">
        <f t="shared" si="370"/>
        <v>77106115.850816518</v>
      </c>
      <c r="AV919" s="350">
        <f t="shared" si="371"/>
        <v>116634346.50685316</v>
      </c>
      <c r="AW919" s="350">
        <f t="shared" si="372"/>
        <v>156767571.34934479</v>
      </c>
      <c r="AX919" s="350">
        <f t="shared" si="373"/>
        <v>197512620.23752648</v>
      </c>
      <c r="AY919" s="350">
        <f t="shared" si="374"/>
        <v>586187557.31564879</v>
      </c>
      <c r="AZ919" s="365"/>
      <c r="BA919" s="377">
        <f t="shared" si="375"/>
        <v>0</v>
      </c>
      <c r="BB919" s="377">
        <f t="shared" si="376"/>
        <v>0</v>
      </c>
      <c r="BC919" s="377">
        <f t="shared" si="377"/>
        <v>0</v>
      </c>
      <c r="BD919" s="377">
        <f t="shared" si="378"/>
        <v>0</v>
      </c>
      <c r="BE919" s="377">
        <f t="shared" si="379"/>
        <v>0</v>
      </c>
      <c r="BF919" s="377">
        <f t="shared" si="380"/>
        <v>0</v>
      </c>
      <c r="BG919" s="328"/>
    </row>
    <row r="920" spans="2:59">
      <c r="B920" s="332">
        <v>905</v>
      </c>
      <c r="C920" s="350">
        <v>144675054.67627323</v>
      </c>
      <c r="D920" s="350">
        <v>145861679.54313794</v>
      </c>
      <c r="E920" s="350">
        <v>146998583.09513661</v>
      </c>
      <c r="F920" s="350">
        <v>148138188.24228659</v>
      </c>
      <c r="G920" s="350">
        <v>149284034.94515097</v>
      </c>
      <c r="H920" s="348">
        <v>734957540.50198531</v>
      </c>
      <c r="I920" s="369"/>
      <c r="J920" s="350">
        <v>184424982.02763435</v>
      </c>
      <c r="K920" s="350">
        <v>226153974.97571176</v>
      </c>
      <c r="L920" s="350">
        <v>268446509.59008831</v>
      </c>
      <c r="M920" s="350">
        <v>311371646.75627887</v>
      </c>
      <c r="N920" s="350">
        <v>354940037.7551536</v>
      </c>
      <c r="O920" s="348">
        <v>1345337151.1048667</v>
      </c>
      <c r="P920" s="369"/>
      <c r="Q920" s="350">
        <f t="shared" si="381"/>
        <v>39749927.351361126</v>
      </c>
      <c r="R920" s="350">
        <f t="shared" si="382"/>
        <v>80292295.432573825</v>
      </c>
      <c r="S920" s="350">
        <f t="shared" si="383"/>
        <v>121447926.4949517</v>
      </c>
      <c r="T920" s="350">
        <f t="shared" si="384"/>
        <v>163233458.51399228</v>
      </c>
      <c r="U920" s="350">
        <f t="shared" si="385"/>
        <v>205656002.81000262</v>
      </c>
      <c r="V920" s="350">
        <f t="shared" si="386"/>
        <v>610379610.60288143</v>
      </c>
      <c r="W920" s="365"/>
      <c r="X920" s="377">
        <f t="shared" si="364"/>
        <v>0</v>
      </c>
      <c r="Y920" s="377">
        <f t="shared" si="365"/>
        <v>0</v>
      </c>
      <c r="Z920" s="377">
        <f t="shared" si="366"/>
        <v>0</v>
      </c>
      <c r="AA920" s="377">
        <f t="shared" si="367"/>
        <v>0</v>
      </c>
      <c r="AB920" s="377">
        <f t="shared" si="368"/>
        <v>0</v>
      </c>
      <c r="AC920" s="377">
        <f t="shared" si="369"/>
        <v>0</v>
      </c>
      <c r="AD920" s="376"/>
      <c r="AE920" s="332">
        <v>905</v>
      </c>
      <c r="AF920" s="350">
        <v>113992832.45079875</v>
      </c>
      <c r="AG920" s="350">
        <v>114927801.71646199</v>
      </c>
      <c r="AH920" s="350">
        <v>115823594.40446678</v>
      </c>
      <c r="AI920" s="350">
        <v>116721515.74197599</v>
      </c>
      <c r="AJ920" s="350">
        <v>117624354.94605431</v>
      </c>
      <c r="AK920" s="348">
        <v>579090099.25975788</v>
      </c>
      <c r="AL920" s="369"/>
      <c r="AM920" s="350">
        <v>146252345.20509875</v>
      </c>
      <c r="AN920" s="350">
        <v>180102804.54103631</v>
      </c>
      <c r="AO920" s="350">
        <v>214411988.47326508</v>
      </c>
      <c r="AP920" s="350">
        <v>249234705.68489823</v>
      </c>
      <c r="AQ920" s="350">
        <v>284579518.63056707</v>
      </c>
      <c r="AR920" s="348">
        <v>1074581362.5348654</v>
      </c>
      <c r="AS920" s="369"/>
      <c r="AT920" s="350">
        <f t="shared" si="387"/>
        <v>32259512.754299998</v>
      </c>
      <c r="AU920" s="350">
        <f t="shared" si="370"/>
        <v>65175002.824574322</v>
      </c>
      <c r="AV920" s="350">
        <f t="shared" si="371"/>
        <v>98588394.068798304</v>
      </c>
      <c r="AW920" s="350">
        <f t="shared" si="372"/>
        <v>132513189.94292223</v>
      </c>
      <c r="AX920" s="350">
        <f t="shared" si="373"/>
        <v>166955163.68451276</v>
      </c>
      <c r="AY920" s="350">
        <f t="shared" si="374"/>
        <v>495491263.2751075</v>
      </c>
      <c r="AZ920" s="365"/>
      <c r="BA920" s="377">
        <f t="shared" si="375"/>
        <v>0</v>
      </c>
      <c r="BB920" s="377">
        <f t="shared" si="376"/>
        <v>0</v>
      </c>
      <c r="BC920" s="377">
        <f t="shared" si="377"/>
        <v>0</v>
      </c>
      <c r="BD920" s="377">
        <f t="shared" si="378"/>
        <v>0</v>
      </c>
      <c r="BE920" s="377">
        <f t="shared" si="379"/>
        <v>0</v>
      </c>
      <c r="BF920" s="377">
        <f t="shared" si="380"/>
        <v>0</v>
      </c>
      <c r="BG920" s="328"/>
    </row>
    <row r="921" spans="2:59">
      <c r="B921" s="332">
        <v>906</v>
      </c>
      <c r="C921" s="350">
        <v>124737328.40908882</v>
      </c>
      <c r="D921" s="350">
        <v>125760424.03568247</v>
      </c>
      <c r="E921" s="350">
        <v>126740650.46139519</v>
      </c>
      <c r="F921" s="350">
        <v>127723206.17436741</v>
      </c>
      <c r="G921" s="350">
        <v>128711143.29180264</v>
      </c>
      <c r="H921" s="348">
        <v>633672752.37233663</v>
      </c>
      <c r="I921" s="369"/>
      <c r="J921" s="350">
        <v>157298908.93911114</v>
      </c>
      <c r="K921" s="350">
        <v>191533271.03822803</v>
      </c>
      <c r="L921" s="350">
        <v>226227133.47111332</v>
      </c>
      <c r="M921" s="350">
        <v>261439323.93302828</v>
      </c>
      <c r="N921" s="350">
        <v>297178719.93958515</v>
      </c>
      <c r="O921" s="348">
        <v>1133677357.3210659</v>
      </c>
      <c r="P921" s="369"/>
      <c r="Q921" s="350">
        <f t="shared" si="381"/>
        <v>32561580.530022323</v>
      </c>
      <c r="R921" s="350">
        <f t="shared" si="382"/>
        <v>65772847.002545565</v>
      </c>
      <c r="S921" s="350">
        <f t="shared" si="383"/>
        <v>99486483.009718135</v>
      </c>
      <c r="T921" s="350">
        <f t="shared" si="384"/>
        <v>133716117.75866087</v>
      </c>
      <c r="U921" s="350">
        <f t="shared" si="385"/>
        <v>168467576.6477825</v>
      </c>
      <c r="V921" s="350">
        <f t="shared" si="386"/>
        <v>500004604.94872928</v>
      </c>
      <c r="W921" s="365"/>
      <c r="X921" s="377">
        <f t="shared" si="364"/>
        <v>0</v>
      </c>
      <c r="Y921" s="377">
        <f t="shared" si="365"/>
        <v>0</v>
      </c>
      <c r="Z921" s="377">
        <f t="shared" si="366"/>
        <v>0</v>
      </c>
      <c r="AA921" s="377">
        <f t="shared" si="367"/>
        <v>0</v>
      </c>
      <c r="AB921" s="377">
        <f t="shared" si="368"/>
        <v>0</v>
      </c>
      <c r="AC921" s="377">
        <f t="shared" si="369"/>
        <v>0</v>
      </c>
      <c r="AD921" s="376"/>
      <c r="AE921" s="332">
        <v>906</v>
      </c>
      <c r="AF921" s="350">
        <v>122996813.64697906</v>
      </c>
      <c r="AG921" s="350">
        <v>124005633.57067092</v>
      </c>
      <c r="AH921" s="350">
        <v>124972182.46628161</v>
      </c>
      <c r="AI921" s="350">
        <v>125941028.14758295</v>
      </c>
      <c r="AJ921" s="350">
        <v>126915180.14424592</v>
      </c>
      <c r="AK921" s="348">
        <v>624830837.97576046</v>
      </c>
      <c r="AL921" s="369"/>
      <c r="AM921" s="350">
        <v>151279799.19163927</v>
      </c>
      <c r="AN921" s="350">
        <v>181147367.23627716</v>
      </c>
      <c r="AO921" s="350">
        <v>211409200.80010515</v>
      </c>
      <c r="AP921" s="350">
        <v>242121706.66078126</v>
      </c>
      <c r="AQ921" s="350">
        <v>273292956.03549761</v>
      </c>
      <c r="AR921" s="348">
        <v>1059251029.9243004</v>
      </c>
      <c r="AS921" s="369"/>
      <c r="AT921" s="350">
        <f t="shared" si="387"/>
        <v>28282985.544660211</v>
      </c>
      <c r="AU921" s="350">
        <f t="shared" si="370"/>
        <v>57141733.665606245</v>
      </c>
      <c r="AV921" s="350">
        <f t="shared" si="371"/>
        <v>86437018.333823547</v>
      </c>
      <c r="AW921" s="350">
        <f t="shared" si="372"/>
        <v>116180678.51319832</v>
      </c>
      <c r="AX921" s="350">
        <f t="shared" si="373"/>
        <v>146377775.89125168</v>
      </c>
      <c r="AY921" s="350">
        <f t="shared" si="374"/>
        <v>434420191.94853997</v>
      </c>
      <c r="AZ921" s="365"/>
      <c r="BA921" s="377">
        <f t="shared" si="375"/>
        <v>0</v>
      </c>
      <c r="BB921" s="377">
        <f t="shared" si="376"/>
        <v>0</v>
      </c>
      <c r="BC921" s="377">
        <f t="shared" si="377"/>
        <v>0</v>
      </c>
      <c r="BD921" s="377">
        <f t="shared" si="378"/>
        <v>0</v>
      </c>
      <c r="BE921" s="377">
        <f t="shared" si="379"/>
        <v>0</v>
      </c>
      <c r="BF921" s="377">
        <f t="shared" si="380"/>
        <v>0</v>
      </c>
      <c r="BG921" s="328"/>
    </row>
    <row r="922" spans="2:59">
      <c r="B922" s="332">
        <v>907</v>
      </c>
      <c r="C922" s="350">
        <v>111066183.10543407</v>
      </c>
      <c r="D922" s="350">
        <v>111977147.99178272</v>
      </c>
      <c r="E922" s="350">
        <v>112849942.11902218</v>
      </c>
      <c r="F922" s="350">
        <v>113724810.24486789</v>
      </c>
      <c r="G922" s="350">
        <v>114604469.9760901</v>
      </c>
      <c r="H922" s="348">
        <v>564222553.43719697</v>
      </c>
      <c r="I922" s="369"/>
      <c r="J922" s="350">
        <v>140956990.32076371</v>
      </c>
      <c r="K922" s="350">
        <v>172354771.43690011</v>
      </c>
      <c r="L922" s="350">
        <v>204175539.8089025</v>
      </c>
      <c r="M922" s="350">
        <v>236472051.48212868</v>
      </c>
      <c r="N922" s="350">
        <v>269252371.59035164</v>
      </c>
      <c r="O922" s="348">
        <v>1023211724.6390467</v>
      </c>
      <c r="P922" s="369"/>
      <c r="Q922" s="350">
        <f t="shared" si="381"/>
        <v>29890807.215329632</v>
      </c>
      <c r="R922" s="350">
        <f t="shared" si="382"/>
        <v>60377623.445117384</v>
      </c>
      <c r="S922" s="350">
        <f t="shared" si="383"/>
        <v>91325597.689880326</v>
      </c>
      <c r="T922" s="350">
        <f t="shared" si="384"/>
        <v>122747241.23726079</v>
      </c>
      <c r="U922" s="350">
        <f t="shared" si="385"/>
        <v>154647901.61426154</v>
      </c>
      <c r="V922" s="350">
        <f t="shared" si="386"/>
        <v>458989171.2018497</v>
      </c>
      <c r="W922" s="365"/>
      <c r="X922" s="377">
        <f t="shared" si="364"/>
        <v>0</v>
      </c>
      <c r="Y922" s="377">
        <f t="shared" si="365"/>
        <v>0</v>
      </c>
      <c r="Z922" s="377">
        <f t="shared" si="366"/>
        <v>0</v>
      </c>
      <c r="AA922" s="377">
        <f t="shared" si="367"/>
        <v>0</v>
      </c>
      <c r="AB922" s="377">
        <f t="shared" si="368"/>
        <v>0</v>
      </c>
      <c r="AC922" s="377">
        <f t="shared" si="369"/>
        <v>0</v>
      </c>
      <c r="AD922" s="376"/>
      <c r="AE922" s="332">
        <v>907</v>
      </c>
      <c r="AF922" s="350">
        <v>123813561.57064873</v>
      </c>
      <c r="AG922" s="350">
        <v>124829080.46119675</v>
      </c>
      <c r="AH922" s="350">
        <v>125802047.62716913</v>
      </c>
      <c r="AI922" s="350">
        <v>126777326.83040571</v>
      </c>
      <c r="AJ922" s="350">
        <v>127757947.58505531</v>
      </c>
      <c r="AK922" s="348">
        <v>628979964.07447565</v>
      </c>
      <c r="AL922" s="369"/>
      <c r="AM922" s="350">
        <v>151739989.73901853</v>
      </c>
      <c r="AN922" s="350">
        <v>181247190.02978453</v>
      </c>
      <c r="AO922" s="350">
        <v>211142821.14649349</v>
      </c>
      <c r="AP922" s="350">
        <v>241483436.38302645</v>
      </c>
      <c r="AQ922" s="350">
        <v>272277062.63325846</v>
      </c>
      <c r="AR922" s="348">
        <v>1057890499.9315815</v>
      </c>
      <c r="AS922" s="369"/>
      <c r="AT922" s="350">
        <f t="shared" si="387"/>
        <v>27926428.1683698</v>
      </c>
      <c r="AU922" s="350">
        <f t="shared" si="370"/>
        <v>56418109.56858778</v>
      </c>
      <c r="AV922" s="350">
        <f t="shared" si="371"/>
        <v>85340773.519324362</v>
      </c>
      <c r="AW922" s="350">
        <f t="shared" si="372"/>
        <v>114706109.55262074</v>
      </c>
      <c r="AX922" s="350">
        <f t="shared" si="373"/>
        <v>144519115.04820317</v>
      </c>
      <c r="AY922" s="350">
        <f t="shared" si="374"/>
        <v>428910535.85710585</v>
      </c>
      <c r="AZ922" s="365"/>
      <c r="BA922" s="377">
        <f t="shared" si="375"/>
        <v>0</v>
      </c>
      <c r="BB922" s="377">
        <f t="shared" si="376"/>
        <v>0</v>
      </c>
      <c r="BC922" s="377">
        <f t="shared" si="377"/>
        <v>0</v>
      </c>
      <c r="BD922" s="377">
        <f t="shared" si="378"/>
        <v>0</v>
      </c>
      <c r="BE922" s="377">
        <f t="shared" si="379"/>
        <v>0</v>
      </c>
      <c r="BF922" s="377">
        <f t="shared" si="380"/>
        <v>0</v>
      </c>
      <c r="BG922" s="328"/>
    </row>
    <row r="923" spans="2:59">
      <c r="B923" s="332">
        <v>908</v>
      </c>
      <c r="C923" s="350">
        <v>127208890.71123312</v>
      </c>
      <c r="D923" s="350">
        <v>128252258.09299767</v>
      </c>
      <c r="E923" s="350">
        <v>129251906.85773483</v>
      </c>
      <c r="F923" s="350">
        <v>130253931.06254429</v>
      </c>
      <c r="G923" s="350">
        <v>131261443.29969294</v>
      </c>
      <c r="H923" s="348">
        <v>646228430.02420282</v>
      </c>
      <c r="I923" s="369"/>
      <c r="J923" s="350">
        <v>164224405.98754737</v>
      </c>
      <c r="K923" s="350">
        <v>202982530.47199094</v>
      </c>
      <c r="L923" s="350">
        <v>242267409.65774935</v>
      </c>
      <c r="M923" s="350">
        <v>282140628.89536893</v>
      </c>
      <c r="N923" s="350">
        <v>322611917.00188816</v>
      </c>
      <c r="O923" s="348">
        <v>1214226892.0145447</v>
      </c>
      <c r="P923" s="369"/>
      <c r="Q923" s="350">
        <f t="shared" si="381"/>
        <v>37015515.276314244</v>
      </c>
      <c r="R923" s="350">
        <f t="shared" si="382"/>
        <v>74730272.378993273</v>
      </c>
      <c r="S923" s="350">
        <f t="shared" si="383"/>
        <v>113015502.80001453</v>
      </c>
      <c r="T923" s="350">
        <f t="shared" si="384"/>
        <v>151886697.83282465</v>
      </c>
      <c r="U923" s="350">
        <f t="shared" si="385"/>
        <v>191350473.70219523</v>
      </c>
      <c r="V923" s="350">
        <f t="shared" si="386"/>
        <v>567998461.9903419</v>
      </c>
      <c r="W923" s="365"/>
      <c r="X923" s="377">
        <f t="shared" si="364"/>
        <v>0</v>
      </c>
      <c r="Y923" s="377">
        <f t="shared" si="365"/>
        <v>0</v>
      </c>
      <c r="Z923" s="377">
        <f t="shared" si="366"/>
        <v>0</v>
      </c>
      <c r="AA923" s="377">
        <f t="shared" si="367"/>
        <v>0</v>
      </c>
      <c r="AB923" s="377">
        <f t="shared" si="368"/>
        <v>0</v>
      </c>
      <c r="AC923" s="377">
        <f t="shared" si="369"/>
        <v>0</v>
      </c>
      <c r="AD923" s="376"/>
      <c r="AE923" s="332">
        <v>908</v>
      </c>
      <c r="AF923" s="350">
        <v>116291916.096477</v>
      </c>
      <c r="AG923" s="350">
        <v>117245742.44728921</v>
      </c>
      <c r="AH923" s="350">
        <v>118159602.0810364</v>
      </c>
      <c r="AI923" s="350">
        <v>119075633.29631414</v>
      </c>
      <c r="AJ923" s="350">
        <v>119996681.56498142</v>
      </c>
      <c r="AK923" s="348">
        <v>590769575.48609817</v>
      </c>
      <c r="AL923" s="369"/>
      <c r="AM923" s="350">
        <v>149110035.02015436</v>
      </c>
      <c r="AN923" s="350">
        <v>183536184.5180279</v>
      </c>
      <c r="AO923" s="350">
        <v>218428685.42433852</v>
      </c>
      <c r="AP923" s="350">
        <v>253843412.58998406</v>
      </c>
      <c r="AQ923" s="350">
        <v>289789082.68935567</v>
      </c>
      <c r="AR923" s="348">
        <v>1094707400.2418606</v>
      </c>
      <c r="AS923" s="369"/>
      <c r="AT923" s="350">
        <f t="shared" si="387"/>
        <v>32818118.923677355</v>
      </c>
      <c r="AU923" s="350">
        <f t="shared" si="370"/>
        <v>66290442.070738688</v>
      </c>
      <c r="AV923" s="350">
        <f t="shared" si="371"/>
        <v>100269083.34330212</v>
      </c>
      <c r="AW923" s="350">
        <f t="shared" si="372"/>
        <v>134767779.29366994</v>
      </c>
      <c r="AX923" s="350">
        <f t="shared" si="373"/>
        <v>169792401.12437427</v>
      </c>
      <c r="AY923" s="350">
        <f t="shared" si="374"/>
        <v>503937824.75576246</v>
      </c>
      <c r="AZ923" s="365"/>
      <c r="BA923" s="377">
        <f t="shared" si="375"/>
        <v>0</v>
      </c>
      <c r="BB923" s="377">
        <f t="shared" si="376"/>
        <v>0</v>
      </c>
      <c r="BC923" s="377">
        <f t="shared" si="377"/>
        <v>0</v>
      </c>
      <c r="BD923" s="377">
        <f t="shared" si="378"/>
        <v>0</v>
      </c>
      <c r="BE923" s="377">
        <f t="shared" si="379"/>
        <v>0</v>
      </c>
      <c r="BF923" s="377">
        <f t="shared" si="380"/>
        <v>0</v>
      </c>
      <c r="BG923" s="328"/>
    </row>
    <row r="924" spans="2:59">
      <c r="B924" s="332">
        <v>909</v>
      </c>
      <c r="C924" s="350">
        <v>131406862.54983693</v>
      </c>
      <c r="D924" s="350">
        <v>132484661.6986067</v>
      </c>
      <c r="E924" s="350">
        <v>133517299.48902747</v>
      </c>
      <c r="F924" s="350">
        <v>134552391.11050791</v>
      </c>
      <c r="G924" s="350">
        <v>135593151.87277889</v>
      </c>
      <c r="H924" s="348">
        <v>667554366.72075796</v>
      </c>
      <c r="I924" s="369"/>
      <c r="J924" s="350">
        <v>163623877.07941267</v>
      </c>
      <c r="K924" s="350">
        <v>197579604.48609954</v>
      </c>
      <c r="L924" s="350">
        <v>231987506.20458186</v>
      </c>
      <c r="M924" s="350">
        <v>266908683.41326624</v>
      </c>
      <c r="N924" s="350">
        <v>302352117.93928266</v>
      </c>
      <c r="O924" s="348">
        <v>1162451789.122643</v>
      </c>
      <c r="P924" s="369"/>
      <c r="Q924" s="350">
        <f t="shared" si="381"/>
        <v>32217014.529575735</v>
      </c>
      <c r="R924" s="350">
        <f t="shared" si="382"/>
        <v>65094942.787492841</v>
      </c>
      <c r="S924" s="350">
        <f t="shared" si="383"/>
        <v>98470206.715554386</v>
      </c>
      <c r="T924" s="350">
        <f t="shared" si="384"/>
        <v>132356292.30275834</v>
      </c>
      <c r="U924" s="350">
        <f t="shared" si="385"/>
        <v>166758966.06650376</v>
      </c>
      <c r="V924" s="350">
        <f t="shared" si="386"/>
        <v>494897422.40188503</v>
      </c>
      <c r="W924" s="365"/>
      <c r="X924" s="377">
        <f t="shared" si="364"/>
        <v>0</v>
      </c>
      <c r="Y924" s="377">
        <f t="shared" si="365"/>
        <v>0</v>
      </c>
      <c r="Z924" s="377">
        <f t="shared" si="366"/>
        <v>0</v>
      </c>
      <c r="AA924" s="377">
        <f t="shared" si="367"/>
        <v>0</v>
      </c>
      <c r="AB924" s="377">
        <f t="shared" si="368"/>
        <v>0</v>
      </c>
      <c r="AC924" s="377">
        <f t="shared" si="369"/>
        <v>0</v>
      </c>
      <c r="AD924" s="376"/>
      <c r="AE924" s="332">
        <v>909</v>
      </c>
      <c r="AF924" s="350">
        <v>99691232.466601983</v>
      </c>
      <c r="AG924" s="350">
        <v>100508900.00243226</v>
      </c>
      <c r="AH924" s="350">
        <v>101292306.07439134</v>
      </c>
      <c r="AI924" s="350">
        <v>102077573.73438206</v>
      </c>
      <c r="AJ924" s="350">
        <v>102867142.26284708</v>
      </c>
      <c r="AK924" s="348">
        <v>506437154.54065466</v>
      </c>
      <c r="AL924" s="369"/>
      <c r="AM924" s="350">
        <v>129364201.22346875</v>
      </c>
      <c r="AN924" s="350">
        <v>160430747.79533085</v>
      </c>
      <c r="AO924" s="350">
        <v>191920584.48380065</v>
      </c>
      <c r="AP924" s="350">
        <v>223882253.57313162</v>
      </c>
      <c r="AQ924" s="350">
        <v>256323500.49412331</v>
      </c>
      <c r="AR924" s="348">
        <v>961921287.56985521</v>
      </c>
      <c r="AS924" s="369"/>
      <c r="AT924" s="350">
        <f t="shared" si="387"/>
        <v>29672968.756866768</v>
      </c>
      <c r="AU924" s="350">
        <f t="shared" si="370"/>
        <v>59921847.792898595</v>
      </c>
      <c r="AV924" s="350">
        <f t="shared" si="371"/>
        <v>90628278.409409314</v>
      </c>
      <c r="AW924" s="350">
        <f t="shared" si="372"/>
        <v>121804679.83874956</v>
      </c>
      <c r="AX924" s="350">
        <f t="shared" si="373"/>
        <v>153456358.23127621</v>
      </c>
      <c r="AY924" s="350">
        <f t="shared" si="374"/>
        <v>455484133.02920055</v>
      </c>
      <c r="AZ924" s="365"/>
      <c r="BA924" s="377">
        <f t="shared" si="375"/>
        <v>0</v>
      </c>
      <c r="BB924" s="377">
        <f t="shared" si="376"/>
        <v>0</v>
      </c>
      <c r="BC924" s="377">
        <f t="shared" si="377"/>
        <v>0</v>
      </c>
      <c r="BD924" s="377">
        <f t="shared" si="378"/>
        <v>0</v>
      </c>
      <c r="BE924" s="377">
        <f t="shared" si="379"/>
        <v>0</v>
      </c>
      <c r="BF924" s="377">
        <f t="shared" si="380"/>
        <v>0</v>
      </c>
      <c r="BG924" s="328"/>
    </row>
    <row r="925" spans="2:59">
      <c r="B925" s="332">
        <v>910</v>
      </c>
      <c r="C925" s="350">
        <v>145829581.59400511</v>
      </c>
      <c r="D925" s="350">
        <v>147025675.891195</v>
      </c>
      <c r="E925" s="350">
        <v>148171652.09055907</v>
      </c>
      <c r="F925" s="350">
        <v>149320351.44417685</v>
      </c>
      <c r="G925" s="350">
        <v>150475342.16198567</v>
      </c>
      <c r="H925" s="348">
        <v>740822603.18192172</v>
      </c>
      <c r="I925" s="369"/>
      <c r="J925" s="350">
        <v>186279047.65722334</v>
      </c>
      <c r="K925" s="350">
        <v>228694697.16411671</v>
      </c>
      <c r="L925" s="350">
        <v>271683718.22531486</v>
      </c>
      <c r="M925" s="350">
        <v>315315880.85478842</v>
      </c>
      <c r="N925" s="350">
        <v>359601984.19078207</v>
      </c>
      <c r="O925" s="348">
        <v>1361575328.0922256</v>
      </c>
      <c r="P925" s="369"/>
      <c r="Q925" s="350">
        <f t="shared" si="381"/>
        <v>40449466.063218236</v>
      </c>
      <c r="R925" s="350">
        <f t="shared" si="382"/>
        <v>81669021.272921711</v>
      </c>
      <c r="S925" s="350">
        <f t="shared" si="383"/>
        <v>123512066.13475579</v>
      </c>
      <c r="T925" s="350">
        <f t="shared" si="384"/>
        <v>165995529.41061157</v>
      </c>
      <c r="U925" s="350">
        <f t="shared" si="385"/>
        <v>209126642.0287964</v>
      </c>
      <c r="V925" s="350">
        <f t="shared" si="386"/>
        <v>620752724.91030383</v>
      </c>
      <c r="W925" s="365"/>
      <c r="X925" s="377">
        <f t="shared" si="364"/>
        <v>0</v>
      </c>
      <c r="Y925" s="377">
        <f t="shared" si="365"/>
        <v>0</v>
      </c>
      <c r="Z925" s="377">
        <f t="shared" si="366"/>
        <v>0</v>
      </c>
      <c r="AA925" s="377">
        <f t="shared" si="367"/>
        <v>0</v>
      </c>
      <c r="AB925" s="377">
        <f t="shared" si="368"/>
        <v>0</v>
      </c>
      <c r="AC925" s="377">
        <f t="shared" si="369"/>
        <v>0</v>
      </c>
      <c r="AD925" s="376"/>
      <c r="AE925" s="332">
        <v>910</v>
      </c>
      <c r="AF925" s="350">
        <v>140784373.3532753</v>
      </c>
      <c r="AG925" s="350">
        <v>141939086.85008904</v>
      </c>
      <c r="AH925" s="350">
        <v>143045416.1650452</v>
      </c>
      <c r="AI925" s="350">
        <v>144154374.42236656</v>
      </c>
      <c r="AJ925" s="350">
        <v>145269406.38404536</v>
      </c>
      <c r="AK925" s="348">
        <v>715192657.1748215</v>
      </c>
      <c r="AL925" s="369"/>
      <c r="AM925" s="350">
        <v>176548046.78278822</v>
      </c>
      <c r="AN925" s="350">
        <v>214196260.67467842</v>
      </c>
      <c r="AO925" s="350">
        <v>252348116.07591969</v>
      </c>
      <c r="AP925" s="350">
        <v>291069596.5116657</v>
      </c>
      <c r="AQ925" s="350">
        <v>330370547.49029511</v>
      </c>
      <c r="AR925" s="348">
        <v>1264532567.535347</v>
      </c>
      <c r="AS925" s="369"/>
      <c r="AT925" s="350">
        <f t="shared" si="387"/>
        <v>35763673.429512918</v>
      </c>
      <c r="AU925" s="350">
        <f t="shared" si="370"/>
        <v>72257173.824589372</v>
      </c>
      <c r="AV925" s="350">
        <f t="shared" si="371"/>
        <v>109302699.91087449</v>
      </c>
      <c r="AW925" s="350">
        <f t="shared" si="372"/>
        <v>146915222.08929914</v>
      </c>
      <c r="AX925" s="350">
        <f t="shared" si="373"/>
        <v>185101141.10624975</v>
      </c>
      <c r="AY925" s="350">
        <f t="shared" si="374"/>
        <v>549339910.36052549</v>
      </c>
      <c r="AZ925" s="365"/>
      <c r="BA925" s="377">
        <f t="shared" si="375"/>
        <v>0</v>
      </c>
      <c r="BB925" s="377">
        <f t="shared" si="376"/>
        <v>0</v>
      </c>
      <c r="BC925" s="377">
        <f t="shared" si="377"/>
        <v>0</v>
      </c>
      <c r="BD925" s="377">
        <f t="shared" si="378"/>
        <v>0</v>
      </c>
      <c r="BE925" s="377">
        <f t="shared" si="379"/>
        <v>0</v>
      </c>
      <c r="BF925" s="377">
        <f t="shared" si="380"/>
        <v>0</v>
      </c>
      <c r="BG925" s="328"/>
    </row>
    <row r="926" spans="2:59">
      <c r="B926" s="332">
        <v>911</v>
      </c>
      <c r="C926" s="350">
        <v>104847870.12170643</v>
      </c>
      <c r="D926" s="350">
        <v>105707832.40202224</v>
      </c>
      <c r="E926" s="350">
        <v>106531761.0069057</v>
      </c>
      <c r="F926" s="350">
        <v>107357647.49249075</v>
      </c>
      <c r="G926" s="350">
        <v>108188057.31365952</v>
      </c>
      <c r="H926" s="348">
        <v>532633168.33678472</v>
      </c>
      <c r="I926" s="369"/>
      <c r="J926" s="350">
        <v>133299534.29660493</v>
      </c>
      <c r="K926" s="350">
        <v>163176537.27262253</v>
      </c>
      <c r="L926" s="350">
        <v>193456431.17231077</v>
      </c>
      <c r="M926" s="350">
        <v>224189116.35491186</v>
      </c>
      <c r="N926" s="350">
        <v>255382248.04104227</v>
      </c>
      <c r="O926" s="348">
        <v>969503867.13749242</v>
      </c>
      <c r="P926" s="369"/>
      <c r="Q926" s="350">
        <f t="shared" si="381"/>
        <v>28451664.174898505</v>
      </c>
      <c r="R926" s="350">
        <f t="shared" si="382"/>
        <v>57468704.870600283</v>
      </c>
      <c r="S926" s="350">
        <f t="shared" si="383"/>
        <v>86924670.165405065</v>
      </c>
      <c r="T926" s="350">
        <f t="shared" si="384"/>
        <v>116831468.86242111</v>
      </c>
      <c r="U926" s="350">
        <f t="shared" si="385"/>
        <v>147194190.72738275</v>
      </c>
      <c r="V926" s="350">
        <f t="shared" si="386"/>
        <v>436870698.8007077</v>
      </c>
      <c r="W926" s="365"/>
      <c r="X926" s="377">
        <f t="shared" si="364"/>
        <v>0</v>
      </c>
      <c r="Y926" s="377">
        <f t="shared" si="365"/>
        <v>0</v>
      </c>
      <c r="Z926" s="377">
        <f t="shared" si="366"/>
        <v>0</v>
      </c>
      <c r="AA926" s="377">
        <f t="shared" si="367"/>
        <v>0</v>
      </c>
      <c r="AB926" s="377">
        <f t="shared" si="368"/>
        <v>0</v>
      </c>
      <c r="AC926" s="377">
        <f t="shared" si="369"/>
        <v>0</v>
      </c>
      <c r="AD926" s="376"/>
      <c r="AE926" s="332">
        <v>911</v>
      </c>
      <c r="AF926" s="350">
        <v>113376212.3857626</v>
      </c>
      <c r="AG926" s="350">
        <v>114306124.1333608</v>
      </c>
      <c r="AH926" s="350">
        <v>115197071.22069356</v>
      </c>
      <c r="AI926" s="350">
        <v>116090135.44305238</v>
      </c>
      <c r="AJ926" s="350">
        <v>116988090.92982352</v>
      </c>
      <c r="AK926" s="348">
        <v>575957634.11269283</v>
      </c>
      <c r="AL926" s="369"/>
      <c r="AM926" s="350">
        <v>147221002.24771142</v>
      </c>
      <c r="AN926" s="350">
        <v>182665836.82699597</v>
      </c>
      <c r="AO926" s="350">
        <v>218593793.62780049</v>
      </c>
      <c r="AP926" s="350">
        <v>255060120.47527075</v>
      </c>
      <c r="AQ926" s="350">
        <v>292073645.68147922</v>
      </c>
      <c r="AR926" s="348">
        <v>1095614398.8592577</v>
      </c>
      <c r="AS926" s="369"/>
      <c r="AT926" s="350">
        <f t="shared" si="387"/>
        <v>33844789.861948818</v>
      </c>
      <c r="AU926" s="350">
        <f t="shared" si="370"/>
        <v>68359712.693635166</v>
      </c>
      <c r="AV926" s="350">
        <f t="shared" si="371"/>
        <v>103396722.40710694</v>
      </c>
      <c r="AW926" s="350">
        <f t="shared" si="372"/>
        <v>138969985.03221837</v>
      </c>
      <c r="AX926" s="350">
        <f t="shared" si="373"/>
        <v>175085554.7516557</v>
      </c>
      <c r="AY926" s="350">
        <f t="shared" si="374"/>
        <v>519656764.74656487</v>
      </c>
      <c r="AZ926" s="365"/>
      <c r="BA926" s="377">
        <f t="shared" si="375"/>
        <v>0</v>
      </c>
      <c r="BB926" s="377">
        <f t="shared" si="376"/>
        <v>0</v>
      </c>
      <c r="BC926" s="377">
        <f t="shared" si="377"/>
        <v>0</v>
      </c>
      <c r="BD926" s="377">
        <f t="shared" si="378"/>
        <v>0</v>
      </c>
      <c r="BE926" s="377">
        <f t="shared" si="379"/>
        <v>0</v>
      </c>
      <c r="BF926" s="377">
        <f t="shared" si="380"/>
        <v>0</v>
      </c>
      <c r="BG926" s="328"/>
    </row>
    <row r="927" spans="2:59">
      <c r="B927" s="332">
        <v>912</v>
      </c>
      <c r="C927" s="350">
        <v>139904562.54707807</v>
      </c>
      <c r="D927" s="350">
        <v>141052059.83524337</v>
      </c>
      <c r="E927" s="350">
        <v>142151475.311232</v>
      </c>
      <c r="F927" s="350">
        <v>143253503.3004052</v>
      </c>
      <c r="G927" s="350">
        <v>144361567.03723222</v>
      </c>
      <c r="H927" s="348">
        <v>710723168.03119087</v>
      </c>
      <c r="I927" s="369"/>
      <c r="J927" s="350">
        <v>178834696.96839905</v>
      </c>
      <c r="K927" s="350">
        <v>219667747.07159796</v>
      </c>
      <c r="L927" s="350">
        <v>261053008.19156832</v>
      </c>
      <c r="M927" s="350">
        <v>303057468.34252971</v>
      </c>
      <c r="N927" s="350">
        <v>345691512.2605809</v>
      </c>
      <c r="O927" s="348">
        <v>1308304432.8346758</v>
      </c>
      <c r="P927" s="369"/>
      <c r="Q927" s="350">
        <f t="shared" si="381"/>
        <v>38930134.421320975</v>
      </c>
      <c r="R927" s="350">
        <f t="shared" si="382"/>
        <v>78615687.236354589</v>
      </c>
      <c r="S927" s="350">
        <f t="shared" si="383"/>
        <v>118901532.88033631</v>
      </c>
      <c r="T927" s="350">
        <f t="shared" si="384"/>
        <v>159803965.04212451</v>
      </c>
      <c r="U927" s="350">
        <f t="shared" si="385"/>
        <v>201329945.22334868</v>
      </c>
      <c r="V927" s="350">
        <f t="shared" si="386"/>
        <v>597581264.80348492</v>
      </c>
      <c r="W927" s="365"/>
      <c r="X927" s="377">
        <f t="shared" si="364"/>
        <v>0</v>
      </c>
      <c r="Y927" s="377">
        <f t="shared" si="365"/>
        <v>0</v>
      </c>
      <c r="Z927" s="377">
        <f t="shared" si="366"/>
        <v>0</v>
      </c>
      <c r="AA927" s="377">
        <f t="shared" si="367"/>
        <v>0</v>
      </c>
      <c r="AB927" s="377">
        <f t="shared" si="368"/>
        <v>0</v>
      </c>
      <c r="AC927" s="377">
        <f t="shared" si="369"/>
        <v>0</v>
      </c>
      <c r="AD927" s="376"/>
      <c r="AE927" s="332">
        <v>912</v>
      </c>
      <c r="AF927" s="350">
        <v>109757330.40835294</v>
      </c>
      <c r="AG927" s="350">
        <v>110657560.08426127</v>
      </c>
      <c r="AH927" s="350">
        <v>111520068.82205553</v>
      </c>
      <c r="AI927" s="350">
        <v>112384627.11754528</v>
      </c>
      <c r="AJ927" s="350">
        <v>113253920.5520286</v>
      </c>
      <c r="AK927" s="348">
        <v>557573506.98424363</v>
      </c>
      <c r="AL927" s="369"/>
      <c r="AM927" s="350">
        <v>142494523.01658851</v>
      </c>
      <c r="AN927" s="350">
        <v>176755587.2600089</v>
      </c>
      <c r="AO927" s="350">
        <v>211483548.87834886</v>
      </c>
      <c r="AP927" s="350">
        <v>246731879.43815666</v>
      </c>
      <c r="AQ927" s="350">
        <v>282509116.82659912</v>
      </c>
      <c r="AR927" s="348">
        <v>1059974655.4197021</v>
      </c>
      <c r="AS927" s="369"/>
      <c r="AT927" s="350">
        <f t="shared" si="387"/>
        <v>32737192.608235568</v>
      </c>
      <c r="AU927" s="350">
        <f t="shared" si="370"/>
        <v>66098027.175747633</v>
      </c>
      <c r="AV927" s="350">
        <f t="shared" si="371"/>
        <v>99963480.056293324</v>
      </c>
      <c r="AW927" s="350">
        <f t="shared" si="372"/>
        <v>134347252.32061139</v>
      </c>
      <c r="AX927" s="350">
        <f t="shared" si="373"/>
        <v>169255196.27457052</v>
      </c>
      <c r="AY927" s="350">
        <f t="shared" si="374"/>
        <v>502401148.43545842</v>
      </c>
      <c r="AZ927" s="365"/>
      <c r="BA927" s="377">
        <f t="shared" si="375"/>
        <v>0</v>
      </c>
      <c r="BB927" s="377">
        <f t="shared" si="376"/>
        <v>0</v>
      </c>
      <c r="BC927" s="377">
        <f t="shared" si="377"/>
        <v>0</v>
      </c>
      <c r="BD927" s="377">
        <f t="shared" si="378"/>
        <v>0</v>
      </c>
      <c r="BE927" s="377">
        <f t="shared" si="379"/>
        <v>0</v>
      </c>
      <c r="BF927" s="377">
        <f t="shared" si="380"/>
        <v>0</v>
      </c>
      <c r="BG927" s="328"/>
    </row>
    <row r="928" spans="2:59">
      <c r="B928" s="332">
        <v>913</v>
      </c>
      <c r="C928" s="350">
        <v>136260537.51284173</v>
      </c>
      <c r="D928" s="350">
        <v>137378146.50595313</v>
      </c>
      <c r="E928" s="350">
        <v>138448926.0500994</v>
      </c>
      <c r="F928" s="350">
        <v>139522250.06058985</v>
      </c>
      <c r="G928" s="350">
        <v>140601452.60859635</v>
      </c>
      <c r="H928" s="348">
        <v>692211312.7380805</v>
      </c>
      <c r="I928" s="369"/>
      <c r="J928" s="350">
        <v>170823212.58764747</v>
      </c>
      <c r="K928" s="350">
        <v>207185440.57994324</v>
      </c>
      <c r="L928" s="350">
        <v>244033962.57739291</v>
      </c>
      <c r="M928" s="350">
        <v>281432618.8686927</v>
      </c>
      <c r="N928" s="350">
        <v>319390925.75672841</v>
      </c>
      <c r="O928" s="348">
        <v>1222866160.3704047</v>
      </c>
      <c r="P928" s="369"/>
      <c r="Q928" s="350">
        <f t="shared" si="381"/>
        <v>34562675.074805737</v>
      </c>
      <c r="R928" s="350">
        <f t="shared" si="382"/>
        <v>69807294.073990107</v>
      </c>
      <c r="S928" s="350">
        <f t="shared" si="383"/>
        <v>105585036.5272935</v>
      </c>
      <c r="T928" s="350">
        <f t="shared" si="384"/>
        <v>141910368.80810285</v>
      </c>
      <c r="U928" s="350">
        <f t="shared" si="385"/>
        <v>178789473.14813206</v>
      </c>
      <c r="V928" s="350">
        <f t="shared" si="386"/>
        <v>530654847.63232422</v>
      </c>
      <c r="W928" s="365"/>
      <c r="X928" s="377">
        <f t="shared" si="364"/>
        <v>0</v>
      </c>
      <c r="Y928" s="377">
        <f t="shared" si="365"/>
        <v>0</v>
      </c>
      <c r="Z928" s="377">
        <f t="shared" si="366"/>
        <v>0</v>
      </c>
      <c r="AA928" s="377">
        <f t="shared" si="367"/>
        <v>0</v>
      </c>
      <c r="AB928" s="377">
        <f t="shared" si="368"/>
        <v>0</v>
      </c>
      <c r="AC928" s="377">
        <f t="shared" si="369"/>
        <v>0</v>
      </c>
      <c r="AD928" s="376"/>
      <c r="AE928" s="332">
        <v>913</v>
      </c>
      <c r="AF928" s="350">
        <v>111687023.60853139</v>
      </c>
      <c r="AG928" s="350">
        <v>112603080.62898001</v>
      </c>
      <c r="AH928" s="350">
        <v>113480753.52246417</v>
      </c>
      <c r="AI928" s="350">
        <v>114360512.00784329</v>
      </c>
      <c r="AJ928" s="350">
        <v>115245088.88283345</v>
      </c>
      <c r="AK928" s="348">
        <v>567376458.65065229</v>
      </c>
      <c r="AL928" s="369"/>
      <c r="AM928" s="350">
        <v>139501537.22658035</v>
      </c>
      <c r="AN928" s="350">
        <v>168782704.03642201</v>
      </c>
      <c r="AO928" s="350">
        <v>198454548.94318026</v>
      </c>
      <c r="AP928" s="350">
        <v>228569183.66366157</v>
      </c>
      <c r="AQ928" s="350">
        <v>259134316.45690542</v>
      </c>
      <c r="AR928" s="348">
        <v>994442290.32674956</v>
      </c>
      <c r="AS928" s="369"/>
      <c r="AT928" s="350">
        <f t="shared" si="387"/>
        <v>27814513.618048966</v>
      </c>
      <c r="AU928" s="350">
        <f t="shared" si="370"/>
        <v>56179623.407442003</v>
      </c>
      <c r="AV928" s="350">
        <f t="shared" si="371"/>
        <v>84973795.420716092</v>
      </c>
      <c r="AW928" s="350">
        <f t="shared" si="372"/>
        <v>114208671.65581828</v>
      </c>
      <c r="AX928" s="350">
        <f t="shared" si="373"/>
        <v>143889227.57407197</v>
      </c>
      <c r="AY928" s="350">
        <f t="shared" si="374"/>
        <v>427065831.67609727</v>
      </c>
      <c r="AZ928" s="365"/>
      <c r="BA928" s="377">
        <f t="shared" si="375"/>
        <v>0</v>
      </c>
      <c r="BB928" s="377">
        <f t="shared" si="376"/>
        <v>0</v>
      </c>
      <c r="BC928" s="377">
        <f t="shared" si="377"/>
        <v>0</v>
      </c>
      <c r="BD928" s="377">
        <f t="shared" si="378"/>
        <v>0</v>
      </c>
      <c r="BE928" s="377">
        <f t="shared" si="379"/>
        <v>0</v>
      </c>
      <c r="BF928" s="377">
        <f t="shared" si="380"/>
        <v>0</v>
      </c>
      <c r="BG928" s="328"/>
    </row>
    <row r="929" spans="2:59">
      <c r="B929" s="332">
        <v>914</v>
      </c>
      <c r="C929" s="350">
        <v>138774487.90861231</v>
      </c>
      <c r="D929" s="350">
        <v>139912716.32405859</v>
      </c>
      <c r="E929" s="350">
        <v>141003251.3066313</v>
      </c>
      <c r="F929" s="350">
        <v>142096377.69989681</v>
      </c>
      <c r="G929" s="350">
        <v>143195491.08725706</v>
      </c>
      <c r="H929" s="348">
        <v>704982324.32645607</v>
      </c>
      <c r="I929" s="369"/>
      <c r="J929" s="350">
        <v>178117924.77224106</v>
      </c>
      <c r="K929" s="350">
        <v>219379408.93880448</v>
      </c>
      <c r="L929" s="350">
        <v>261200120.87404037</v>
      </c>
      <c r="M929" s="350">
        <v>303646813.00278687</v>
      </c>
      <c r="N929" s="350">
        <v>346729918.81734294</v>
      </c>
      <c r="O929" s="348">
        <v>1309074186.4052157</v>
      </c>
      <c r="P929" s="369"/>
      <c r="Q929" s="350">
        <f t="shared" si="381"/>
        <v>39343436.863628745</v>
      </c>
      <c r="R929" s="350">
        <f t="shared" si="382"/>
        <v>79466692.614745885</v>
      </c>
      <c r="S929" s="350">
        <f t="shared" si="383"/>
        <v>120196869.56740907</v>
      </c>
      <c r="T929" s="350">
        <f t="shared" si="384"/>
        <v>161550435.30289006</v>
      </c>
      <c r="U929" s="350">
        <f t="shared" si="385"/>
        <v>203534427.73008588</v>
      </c>
      <c r="V929" s="350">
        <f t="shared" si="386"/>
        <v>604091862.07875967</v>
      </c>
      <c r="W929" s="365"/>
      <c r="X929" s="377">
        <f t="shared" si="364"/>
        <v>0</v>
      </c>
      <c r="Y929" s="377">
        <f t="shared" si="365"/>
        <v>0</v>
      </c>
      <c r="Z929" s="377">
        <f t="shared" si="366"/>
        <v>0</v>
      </c>
      <c r="AA929" s="377">
        <f t="shared" si="367"/>
        <v>0</v>
      </c>
      <c r="AB929" s="377">
        <f t="shared" si="368"/>
        <v>0</v>
      </c>
      <c r="AC929" s="377">
        <f t="shared" si="369"/>
        <v>0</v>
      </c>
      <c r="AD929" s="376"/>
      <c r="AE929" s="332">
        <v>914</v>
      </c>
      <c r="AF929" s="350">
        <v>147531649.82571483</v>
      </c>
      <c r="AG929" s="350">
        <v>148741704.48734599</v>
      </c>
      <c r="AH929" s="350">
        <v>149901056.09149361</v>
      </c>
      <c r="AI929" s="350">
        <v>151063162.633531</v>
      </c>
      <c r="AJ929" s="350">
        <v>152231633.97020477</v>
      </c>
      <c r="AK929" s="348">
        <v>749469207.00829029</v>
      </c>
      <c r="AL929" s="369"/>
      <c r="AM929" s="350">
        <v>180883280.0920215</v>
      </c>
      <c r="AN929" s="350">
        <v>216133762.21099532</v>
      </c>
      <c r="AO929" s="350">
        <v>251848463.88752377</v>
      </c>
      <c r="AP929" s="350">
        <v>288094804.31026208</v>
      </c>
      <c r="AQ929" s="350">
        <v>324882363.64130753</v>
      </c>
      <c r="AR929" s="348">
        <v>1261842674.1421101</v>
      </c>
      <c r="AS929" s="369"/>
      <c r="AT929" s="350">
        <f t="shared" si="387"/>
        <v>33351630.266306669</v>
      </c>
      <c r="AU929" s="350">
        <f t="shared" si="370"/>
        <v>67392057.723649323</v>
      </c>
      <c r="AV929" s="350">
        <f t="shared" si="371"/>
        <v>101947407.79603016</v>
      </c>
      <c r="AW929" s="350">
        <f t="shared" si="372"/>
        <v>137031641.67673108</v>
      </c>
      <c r="AX929" s="350">
        <f t="shared" si="373"/>
        <v>172650729.67110276</v>
      </c>
      <c r="AY929" s="350">
        <f t="shared" si="374"/>
        <v>512373467.13381982</v>
      </c>
      <c r="AZ929" s="365"/>
      <c r="BA929" s="377">
        <f t="shared" si="375"/>
        <v>0</v>
      </c>
      <c r="BB929" s="377">
        <f t="shared" si="376"/>
        <v>0</v>
      </c>
      <c r="BC929" s="377">
        <f t="shared" si="377"/>
        <v>0</v>
      </c>
      <c r="BD929" s="377">
        <f t="shared" si="378"/>
        <v>0</v>
      </c>
      <c r="BE929" s="377">
        <f t="shared" si="379"/>
        <v>0</v>
      </c>
      <c r="BF929" s="377">
        <f t="shared" si="380"/>
        <v>0</v>
      </c>
      <c r="BG929" s="328"/>
    </row>
    <row r="930" spans="2:59">
      <c r="B930" s="332">
        <v>915</v>
      </c>
      <c r="C930" s="350">
        <v>131295090.11035734</v>
      </c>
      <c r="D930" s="350">
        <v>132371972.50152567</v>
      </c>
      <c r="E930" s="350">
        <v>133403731.94782731</v>
      </c>
      <c r="F930" s="350">
        <v>134437943.13800159</v>
      </c>
      <c r="G930" s="350">
        <v>135477818.64689198</v>
      </c>
      <c r="H930" s="348">
        <v>666986556.3446039</v>
      </c>
      <c r="I930" s="369"/>
      <c r="J930" s="350">
        <v>170072387.86374956</v>
      </c>
      <c r="K930" s="350">
        <v>210695693.94923338</v>
      </c>
      <c r="L930" s="350">
        <v>251872073.1319885</v>
      </c>
      <c r="M930" s="350">
        <v>293665330.74831003</v>
      </c>
      <c r="N930" s="350">
        <v>336085616.08939999</v>
      </c>
      <c r="O930" s="348">
        <v>1262391101.7826815</v>
      </c>
      <c r="P930" s="369"/>
      <c r="Q930" s="350">
        <f t="shared" si="381"/>
        <v>38777297.75339222</v>
      </c>
      <c r="R930" s="350">
        <f t="shared" si="382"/>
        <v>78323721.447707713</v>
      </c>
      <c r="S930" s="350">
        <f t="shared" si="383"/>
        <v>118468341.18416119</v>
      </c>
      <c r="T930" s="350">
        <f t="shared" si="384"/>
        <v>159227387.61030844</v>
      </c>
      <c r="U930" s="350">
        <f t="shared" si="385"/>
        <v>200607797.44250801</v>
      </c>
      <c r="V930" s="350">
        <f t="shared" si="386"/>
        <v>595404545.43807757</v>
      </c>
      <c r="W930" s="365"/>
      <c r="X930" s="377">
        <f t="shared" si="364"/>
        <v>0</v>
      </c>
      <c r="Y930" s="377">
        <f t="shared" si="365"/>
        <v>0</v>
      </c>
      <c r="Z930" s="377">
        <f t="shared" si="366"/>
        <v>0</v>
      </c>
      <c r="AA930" s="377">
        <f t="shared" si="367"/>
        <v>0</v>
      </c>
      <c r="AB930" s="377">
        <f t="shared" si="368"/>
        <v>0</v>
      </c>
      <c r="AC930" s="377">
        <f t="shared" si="369"/>
        <v>0</v>
      </c>
      <c r="AD930" s="376"/>
      <c r="AE930" s="332">
        <v>915</v>
      </c>
      <c r="AF930" s="350">
        <v>112057393.92350218</v>
      </c>
      <c r="AG930" s="350">
        <v>112976488.72144932</v>
      </c>
      <c r="AH930" s="350">
        <v>113857072.10511842</v>
      </c>
      <c r="AI930" s="350">
        <v>114739747.99680676</v>
      </c>
      <c r="AJ930" s="350">
        <v>115627258.25658256</v>
      </c>
      <c r="AK930" s="348">
        <v>569257961.00345922</v>
      </c>
      <c r="AL930" s="369"/>
      <c r="AM930" s="350">
        <v>145762499.09724882</v>
      </c>
      <c r="AN930" s="350">
        <v>181036741.13038909</v>
      </c>
      <c r="AO930" s="350">
        <v>216792133.78903013</v>
      </c>
      <c r="AP930" s="350">
        <v>253083387.59641927</v>
      </c>
      <c r="AQ930" s="350">
        <v>289919270.96386105</v>
      </c>
      <c r="AR930" s="348">
        <v>1086594032.5769484</v>
      </c>
      <c r="AS930" s="369"/>
      <c r="AT930" s="350">
        <f t="shared" si="387"/>
        <v>33705105.173746645</v>
      </c>
      <c r="AU930" s="350">
        <f t="shared" si="370"/>
        <v>68060252.408939779</v>
      </c>
      <c r="AV930" s="350">
        <f t="shared" si="371"/>
        <v>102935061.68391171</v>
      </c>
      <c r="AW930" s="350">
        <f t="shared" si="372"/>
        <v>138343639.59961253</v>
      </c>
      <c r="AX930" s="350">
        <f t="shared" si="373"/>
        <v>174292012.70727849</v>
      </c>
      <c r="AY930" s="350">
        <f t="shared" si="374"/>
        <v>517336071.57348919</v>
      </c>
      <c r="AZ930" s="365"/>
      <c r="BA930" s="377">
        <f t="shared" si="375"/>
        <v>0</v>
      </c>
      <c r="BB930" s="377">
        <f t="shared" si="376"/>
        <v>0</v>
      </c>
      <c r="BC930" s="377">
        <f t="shared" si="377"/>
        <v>0</v>
      </c>
      <c r="BD930" s="377">
        <f t="shared" si="378"/>
        <v>0</v>
      </c>
      <c r="BE930" s="377">
        <f t="shared" si="379"/>
        <v>0</v>
      </c>
      <c r="BF930" s="377">
        <f t="shared" si="380"/>
        <v>0</v>
      </c>
      <c r="BG930" s="328"/>
    </row>
    <row r="931" spans="2:59">
      <c r="B931" s="332">
        <v>916</v>
      </c>
      <c r="C931" s="350">
        <v>120702520.67849699</v>
      </c>
      <c r="D931" s="350">
        <v>121692522.81017646</v>
      </c>
      <c r="E931" s="350">
        <v>122641042.40674159</v>
      </c>
      <c r="F931" s="350">
        <v>123591815.94643015</v>
      </c>
      <c r="G931" s="350">
        <v>124547796.82133871</v>
      </c>
      <c r="H931" s="348">
        <v>613175698.66318393</v>
      </c>
      <c r="I931" s="369"/>
      <c r="J931" s="350">
        <v>145714806.85898674</v>
      </c>
      <c r="K931" s="350">
        <v>172218815.18460399</v>
      </c>
      <c r="L931" s="350">
        <v>199067279.29201216</v>
      </c>
      <c r="M931" s="350">
        <v>226314405.12803605</v>
      </c>
      <c r="N931" s="350">
        <v>253967621.2901707</v>
      </c>
      <c r="O931" s="348">
        <v>997282927.75380957</v>
      </c>
      <c r="P931" s="369"/>
      <c r="Q931" s="350">
        <f t="shared" si="381"/>
        <v>25012286.180489749</v>
      </c>
      <c r="R931" s="350">
        <f t="shared" si="382"/>
        <v>50526292.374427527</v>
      </c>
      <c r="S931" s="350">
        <f t="shared" si="383"/>
        <v>76426236.885270566</v>
      </c>
      <c r="T931" s="350">
        <f t="shared" si="384"/>
        <v>102722589.18160591</v>
      </c>
      <c r="U931" s="350">
        <f t="shared" si="385"/>
        <v>129419824.46883199</v>
      </c>
      <c r="V931" s="350">
        <f t="shared" si="386"/>
        <v>384107229.09062564</v>
      </c>
      <c r="W931" s="365"/>
      <c r="X931" s="377">
        <f t="shared" si="364"/>
        <v>0</v>
      </c>
      <c r="Y931" s="377">
        <f t="shared" si="365"/>
        <v>0</v>
      </c>
      <c r="Z931" s="377">
        <f t="shared" si="366"/>
        <v>0</v>
      </c>
      <c r="AA931" s="377">
        <f t="shared" si="367"/>
        <v>0</v>
      </c>
      <c r="AB931" s="377">
        <f t="shared" si="368"/>
        <v>0</v>
      </c>
      <c r="AC931" s="377">
        <f t="shared" si="369"/>
        <v>0</v>
      </c>
      <c r="AD931" s="376"/>
      <c r="AE931" s="332">
        <v>916</v>
      </c>
      <c r="AF931" s="350">
        <v>120312446.830378</v>
      </c>
      <c r="AG931" s="350">
        <v>121299249.57617074</v>
      </c>
      <c r="AH931" s="350">
        <v>122244703.84579018</v>
      </c>
      <c r="AI931" s="350">
        <v>123192404.77447417</v>
      </c>
      <c r="AJ931" s="350">
        <v>124145296.20985401</v>
      </c>
      <c r="AK931" s="348">
        <v>611194101.23666704</v>
      </c>
      <c r="AL931" s="369"/>
      <c r="AM931" s="350">
        <v>149374453.94305155</v>
      </c>
      <c r="AN931" s="350">
        <v>180011853.63089398</v>
      </c>
      <c r="AO931" s="350">
        <v>211056418.01890332</v>
      </c>
      <c r="AP931" s="350">
        <v>242563907.12809575</v>
      </c>
      <c r="AQ931" s="350">
        <v>274542465.44912577</v>
      </c>
      <c r="AR931" s="348">
        <v>1057549098.1700703</v>
      </c>
      <c r="AS931" s="369"/>
      <c r="AT931" s="350">
        <f t="shared" si="387"/>
        <v>29062007.112673551</v>
      </c>
      <c r="AU931" s="350">
        <f t="shared" si="370"/>
        <v>58712604.054723233</v>
      </c>
      <c r="AV931" s="350">
        <f t="shared" si="371"/>
        <v>88811714.173113137</v>
      </c>
      <c r="AW931" s="350">
        <f t="shared" si="372"/>
        <v>119371502.35362157</v>
      </c>
      <c r="AX931" s="350">
        <f t="shared" si="373"/>
        <v>150397169.23927176</v>
      </c>
      <c r="AY931" s="350">
        <f t="shared" si="374"/>
        <v>446354996.93340325</v>
      </c>
      <c r="AZ931" s="365"/>
      <c r="BA931" s="377">
        <f t="shared" si="375"/>
        <v>0</v>
      </c>
      <c r="BB931" s="377">
        <f t="shared" si="376"/>
        <v>0</v>
      </c>
      <c r="BC931" s="377">
        <f t="shared" si="377"/>
        <v>0</v>
      </c>
      <c r="BD931" s="377">
        <f t="shared" si="378"/>
        <v>0</v>
      </c>
      <c r="BE931" s="377">
        <f t="shared" si="379"/>
        <v>0</v>
      </c>
      <c r="BF931" s="377">
        <f t="shared" si="380"/>
        <v>0</v>
      </c>
      <c r="BG931" s="328"/>
    </row>
    <row r="932" spans="2:59">
      <c r="B932" s="332">
        <v>917</v>
      </c>
      <c r="C932" s="350">
        <v>145826393.71140161</v>
      </c>
      <c r="D932" s="350">
        <v>147022461.86157683</v>
      </c>
      <c r="E932" s="350">
        <v>148168413.00952441</v>
      </c>
      <c r="F932" s="350">
        <v>149317087.25219667</v>
      </c>
      <c r="G932" s="350">
        <v>150472052.72152859</v>
      </c>
      <c r="H932" s="348">
        <v>740806408.55622816</v>
      </c>
      <c r="I932" s="369"/>
      <c r="J932" s="350">
        <v>178685048.08384603</v>
      </c>
      <c r="K932" s="350">
        <v>213396184.06241727</v>
      </c>
      <c r="L932" s="350">
        <v>248564168.38824242</v>
      </c>
      <c r="M932" s="350">
        <v>284255594.75519782</v>
      </c>
      <c r="N932" s="350">
        <v>320479909.96347344</v>
      </c>
      <c r="O932" s="348">
        <v>1245380905.2531772</v>
      </c>
      <c r="P932" s="369"/>
      <c r="Q932" s="350">
        <f t="shared" si="381"/>
        <v>32858654.372444421</v>
      </c>
      <c r="R932" s="350">
        <f t="shared" si="382"/>
        <v>66373722.200840443</v>
      </c>
      <c r="S932" s="350">
        <f t="shared" si="383"/>
        <v>100395755.37871802</v>
      </c>
      <c r="T932" s="350">
        <f t="shared" si="384"/>
        <v>134938507.50300115</v>
      </c>
      <c r="U932" s="350">
        <f t="shared" si="385"/>
        <v>170007857.24194485</v>
      </c>
      <c r="V932" s="350">
        <f t="shared" si="386"/>
        <v>504574496.69694901</v>
      </c>
      <c r="W932" s="365"/>
      <c r="X932" s="377">
        <f t="shared" si="364"/>
        <v>0</v>
      </c>
      <c r="Y932" s="377">
        <f t="shared" si="365"/>
        <v>0</v>
      </c>
      <c r="Z932" s="377">
        <f t="shared" si="366"/>
        <v>0</v>
      </c>
      <c r="AA932" s="377">
        <f t="shared" si="367"/>
        <v>0</v>
      </c>
      <c r="AB932" s="377">
        <f t="shared" si="368"/>
        <v>0</v>
      </c>
      <c r="AC932" s="377">
        <f t="shared" si="369"/>
        <v>0</v>
      </c>
      <c r="AD932" s="376"/>
      <c r="AE932" s="332">
        <v>917</v>
      </c>
      <c r="AF932" s="350">
        <v>126281621.79467256</v>
      </c>
      <c r="AG932" s="350">
        <v>127317383.71634501</v>
      </c>
      <c r="AH932" s="350">
        <v>128309745.70087488</v>
      </c>
      <c r="AI932" s="350">
        <v>129304465.81008568</v>
      </c>
      <c r="AJ932" s="350">
        <v>130304633.94749933</v>
      </c>
      <c r="AK932" s="348">
        <v>641517850.96947742</v>
      </c>
      <c r="AL932" s="369"/>
      <c r="AM932" s="350">
        <v>159979509.52898464</v>
      </c>
      <c r="AN932" s="350">
        <v>195365404.24713901</v>
      </c>
      <c r="AO932" s="350">
        <v>231227486.3021729</v>
      </c>
      <c r="AP932" s="350">
        <v>267625617.46628824</v>
      </c>
      <c r="AQ932" s="350">
        <v>304568913.26126587</v>
      </c>
      <c r="AR932" s="348">
        <v>1158766930.8058505</v>
      </c>
      <c r="AS932" s="369"/>
      <c r="AT932" s="350">
        <f t="shared" si="387"/>
        <v>33697887.734312072</v>
      </c>
      <c r="AU932" s="350">
        <f t="shared" si="370"/>
        <v>68048020.530793995</v>
      </c>
      <c r="AV932" s="350">
        <f t="shared" si="371"/>
        <v>102917740.60129802</v>
      </c>
      <c r="AW932" s="350">
        <f t="shared" si="372"/>
        <v>138321151.65620255</v>
      </c>
      <c r="AX932" s="350">
        <f t="shared" si="373"/>
        <v>174264279.31376654</v>
      </c>
      <c r="AY932" s="350">
        <f t="shared" si="374"/>
        <v>517249079.83637309</v>
      </c>
      <c r="AZ932" s="365"/>
      <c r="BA932" s="377">
        <f t="shared" si="375"/>
        <v>0</v>
      </c>
      <c r="BB932" s="377">
        <f t="shared" si="376"/>
        <v>0</v>
      </c>
      <c r="BC932" s="377">
        <f t="shared" si="377"/>
        <v>0</v>
      </c>
      <c r="BD932" s="377">
        <f t="shared" si="378"/>
        <v>0</v>
      </c>
      <c r="BE932" s="377">
        <f t="shared" si="379"/>
        <v>0</v>
      </c>
      <c r="BF932" s="377">
        <f t="shared" si="380"/>
        <v>0</v>
      </c>
      <c r="BG932" s="328"/>
    </row>
    <row r="933" spans="2:59">
      <c r="B933" s="332">
        <v>918</v>
      </c>
      <c r="C933" s="350">
        <v>143152913.16529697</v>
      </c>
      <c r="D933" s="350">
        <v>144327053.42676884</v>
      </c>
      <c r="E933" s="350">
        <v>145451995.49657327</v>
      </c>
      <c r="F933" s="350">
        <v>146579610.73776138</v>
      </c>
      <c r="G933" s="350">
        <v>147713401.86659777</v>
      </c>
      <c r="H933" s="348">
        <v>727224974.69299829</v>
      </c>
      <c r="I933" s="369"/>
      <c r="J933" s="350">
        <v>178241913.44336659</v>
      </c>
      <c r="K933" s="350">
        <v>215195547.36910585</v>
      </c>
      <c r="L933" s="350">
        <v>252641196.42538559</v>
      </c>
      <c r="M933" s="350">
        <v>290645418.5426051</v>
      </c>
      <c r="N933" s="350">
        <v>329217992.53248358</v>
      </c>
      <c r="O933" s="348">
        <v>1265942068.3129468</v>
      </c>
      <c r="P933" s="369"/>
      <c r="Q933" s="350">
        <f t="shared" si="381"/>
        <v>35089000.278069615</v>
      </c>
      <c r="R933" s="350">
        <f t="shared" si="382"/>
        <v>70868493.942337006</v>
      </c>
      <c r="S933" s="350">
        <f t="shared" si="383"/>
        <v>107189200.92881233</v>
      </c>
      <c r="T933" s="350">
        <f t="shared" si="384"/>
        <v>144065807.80484372</v>
      </c>
      <c r="U933" s="350">
        <f t="shared" si="385"/>
        <v>181504590.66588581</v>
      </c>
      <c r="V933" s="350">
        <f t="shared" si="386"/>
        <v>538717093.61994851</v>
      </c>
      <c r="W933" s="365"/>
      <c r="X933" s="377">
        <f t="shared" si="364"/>
        <v>0</v>
      </c>
      <c r="Y933" s="377">
        <f t="shared" si="365"/>
        <v>0</v>
      </c>
      <c r="Z933" s="377">
        <f t="shared" si="366"/>
        <v>0</v>
      </c>
      <c r="AA933" s="377">
        <f t="shared" si="367"/>
        <v>0</v>
      </c>
      <c r="AB933" s="377">
        <f t="shared" si="368"/>
        <v>0</v>
      </c>
      <c r="AC933" s="377">
        <f t="shared" si="369"/>
        <v>0</v>
      </c>
      <c r="AD933" s="376"/>
      <c r="AE933" s="332">
        <v>918</v>
      </c>
      <c r="AF933" s="350">
        <v>123572596.00015141</v>
      </c>
      <c r="AG933" s="350">
        <v>124586138.4909762</v>
      </c>
      <c r="AH933" s="350">
        <v>125557212.0712602</v>
      </c>
      <c r="AI933" s="350">
        <v>126530593.18912861</v>
      </c>
      <c r="AJ933" s="350">
        <v>127509305.46269912</v>
      </c>
      <c r="AK933" s="348">
        <v>627755845.21421552</v>
      </c>
      <c r="AL933" s="369"/>
      <c r="AM933" s="350">
        <v>153059694.73022339</v>
      </c>
      <c r="AN933" s="350">
        <v>184150761.77692813</v>
      </c>
      <c r="AO933" s="350">
        <v>215654327.92878413</v>
      </c>
      <c r="AP933" s="350">
        <v>247627512.07980576</v>
      </c>
      <c r="AQ933" s="350">
        <v>280078613.52733618</v>
      </c>
      <c r="AR933" s="348">
        <v>1080570910.0430775</v>
      </c>
      <c r="AS933" s="369"/>
      <c r="AT933" s="350">
        <f t="shared" si="387"/>
        <v>29487098.730071977</v>
      </c>
      <c r="AU933" s="350">
        <f t="shared" si="370"/>
        <v>59564623.285951927</v>
      </c>
      <c r="AV933" s="350">
        <f t="shared" si="371"/>
        <v>90097115.857523933</v>
      </c>
      <c r="AW933" s="350">
        <f t="shared" si="372"/>
        <v>121096918.89067715</v>
      </c>
      <c r="AX933" s="350">
        <f t="shared" si="373"/>
        <v>152569308.06463706</v>
      </c>
      <c r="AY933" s="350">
        <f t="shared" si="374"/>
        <v>452815064.82886195</v>
      </c>
      <c r="AZ933" s="365"/>
      <c r="BA933" s="377">
        <f t="shared" si="375"/>
        <v>0</v>
      </c>
      <c r="BB933" s="377">
        <f t="shared" si="376"/>
        <v>0</v>
      </c>
      <c r="BC933" s="377">
        <f t="shared" si="377"/>
        <v>0</v>
      </c>
      <c r="BD933" s="377">
        <f t="shared" si="378"/>
        <v>0</v>
      </c>
      <c r="BE933" s="377">
        <f t="shared" si="379"/>
        <v>0</v>
      </c>
      <c r="BF933" s="377">
        <f t="shared" si="380"/>
        <v>0</v>
      </c>
      <c r="BG933" s="328"/>
    </row>
    <row r="934" spans="2:59">
      <c r="B934" s="332">
        <v>919</v>
      </c>
      <c r="C934" s="350">
        <v>162981022.77017903</v>
      </c>
      <c r="D934" s="350">
        <v>164317793.196006</v>
      </c>
      <c r="E934" s="350">
        <v>165598550.98877409</v>
      </c>
      <c r="F934" s="350">
        <v>166882352.21388698</v>
      </c>
      <c r="G934" s="350">
        <v>168173184.7488291</v>
      </c>
      <c r="H934" s="348">
        <v>827952903.91767526</v>
      </c>
      <c r="I934" s="369"/>
      <c r="J934" s="350">
        <v>208346705.32906279</v>
      </c>
      <c r="K934" s="350">
        <v>255943448.27056563</v>
      </c>
      <c r="L934" s="350">
        <v>304183924.07002079</v>
      </c>
      <c r="M934" s="350">
        <v>353146176.77211344</v>
      </c>
      <c r="N934" s="350">
        <v>402842308.6991055</v>
      </c>
      <c r="O934" s="348">
        <v>1524462563.1408682</v>
      </c>
      <c r="P934" s="369"/>
      <c r="Q934" s="350">
        <f t="shared" si="381"/>
        <v>45365682.558883756</v>
      </c>
      <c r="R934" s="350">
        <f t="shared" si="382"/>
        <v>91625655.074559629</v>
      </c>
      <c r="S934" s="350">
        <f t="shared" si="383"/>
        <v>138585373.0812467</v>
      </c>
      <c r="T934" s="350">
        <f t="shared" si="384"/>
        <v>186263824.55822647</v>
      </c>
      <c r="U934" s="350">
        <f t="shared" si="385"/>
        <v>234669123.9502764</v>
      </c>
      <c r="V934" s="350">
        <f t="shared" si="386"/>
        <v>696509659.22319293</v>
      </c>
      <c r="W934" s="365"/>
      <c r="X934" s="377">
        <f t="shared" si="364"/>
        <v>0</v>
      </c>
      <c r="Y934" s="377">
        <f t="shared" si="365"/>
        <v>0</v>
      </c>
      <c r="Z934" s="377">
        <f t="shared" si="366"/>
        <v>0</v>
      </c>
      <c r="AA934" s="377">
        <f t="shared" si="367"/>
        <v>0</v>
      </c>
      <c r="AB934" s="377">
        <f t="shared" si="368"/>
        <v>0</v>
      </c>
      <c r="AC934" s="377">
        <f t="shared" si="369"/>
        <v>0</v>
      </c>
      <c r="AD934" s="376"/>
      <c r="AE934" s="332">
        <v>919</v>
      </c>
      <c r="AF934" s="350">
        <v>137846512.03934598</v>
      </c>
      <c r="AG934" s="350">
        <v>138977129.19627371</v>
      </c>
      <c r="AH934" s="350">
        <v>140060371.84317529</v>
      </c>
      <c r="AI934" s="350">
        <v>141146188.57217687</v>
      </c>
      <c r="AJ934" s="350">
        <v>142237952.26063767</v>
      </c>
      <c r="AK934" s="348">
        <v>700268153.91160953</v>
      </c>
      <c r="AL934" s="369"/>
      <c r="AM934" s="350">
        <v>173109127.973167</v>
      </c>
      <c r="AN934" s="350">
        <v>210193619.6407038</v>
      </c>
      <c r="AO934" s="350">
        <v>247774586.64096215</v>
      </c>
      <c r="AP934" s="350">
        <v>285916736.65325904</v>
      </c>
      <c r="AQ934" s="350">
        <v>324629749.29898822</v>
      </c>
      <c r="AR934" s="348">
        <v>1241623820.2070804</v>
      </c>
      <c r="AS934" s="369"/>
      <c r="AT934" s="350">
        <f t="shared" si="387"/>
        <v>35262615.933821023</v>
      </c>
      <c r="AU934" s="350">
        <f t="shared" si="370"/>
        <v>71216490.444430083</v>
      </c>
      <c r="AV934" s="350">
        <f t="shared" si="371"/>
        <v>107714214.79778686</v>
      </c>
      <c r="AW934" s="350">
        <f t="shared" si="372"/>
        <v>144770548.08108217</v>
      </c>
      <c r="AX934" s="350">
        <f t="shared" si="373"/>
        <v>182391797.03835055</v>
      </c>
      <c r="AY934" s="350">
        <f t="shared" si="374"/>
        <v>541355666.29547083</v>
      </c>
      <c r="AZ934" s="365"/>
      <c r="BA934" s="377">
        <f t="shared" si="375"/>
        <v>0</v>
      </c>
      <c r="BB934" s="377">
        <f t="shared" si="376"/>
        <v>0</v>
      </c>
      <c r="BC934" s="377">
        <f t="shared" si="377"/>
        <v>0</v>
      </c>
      <c r="BD934" s="377">
        <f t="shared" si="378"/>
        <v>0</v>
      </c>
      <c r="BE934" s="377">
        <f t="shared" si="379"/>
        <v>0</v>
      </c>
      <c r="BF934" s="377">
        <f t="shared" si="380"/>
        <v>0</v>
      </c>
      <c r="BG934" s="328"/>
    </row>
    <row r="935" spans="2:59">
      <c r="B935" s="332">
        <v>920</v>
      </c>
      <c r="C935" s="350">
        <v>135475723.07891589</v>
      </c>
      <c r="D935" s="350">
        <v>136586895.02366909</v>
      </c>
      <c r="E935" s="350">
        <v>137651507.24118409</v>
      </c>
      <c r="F935" s="350">
        <v>138718649.26978096</v>
      </c>
      <c r="G935" s="350">
        <v>139791635.97751361</v>
      </c>
      <c r="H935" s="348">
        <v>688224410.59106374</v>
      </c>
      <c r="I935" s="369"/>
      <c r="J935" s="350">
        <v>173717135.50625825</v>
      </c>
      <c r="K935" s="350">
        <v>213825327.13962266</v>
      </c>
      <c r="L935" s="350">
        <v>254476843.23288974</v>
      </c>
      <c r="M935" s="350">
        <v>295736779.51090628</v>
      </c>
      <c r="N935" s="350">
        <v>337615291.25460428</v>
      </c>
      <c r="O935" s="348">
        <v>1275371376.6442814</v>
      </c>
      <c r="P935" s="369"/>
      <c r="Q935" s="350">
        <f t="shared" si="381"/>
        <v>38241412.427342355</v>
      </c>
      <c r="R935" s="350">
        <f t="shared" si="382"/>
        <v>77238432.115953565</v>
      </c>
      <c r="S935" s="350">
        <f t="shared" si="383"/>
        <v>116825335.99170566</v>
      </c>
      <c r="T935" s="350">
        <f t="shared" si="384"/>
        <v>157018130.24112532</v>
      </c>
      <c r="U935" s="350">
        <f t="shared" si="385"/>
        <v>197823655.27709067</v>
      </c>
      <c r="V935" s="350">
        <f t="shared" si="386"/>
        <v>587146966.05321765</v>
      </c>
      <c r="W935" s="365"/>
      <c r="X935" s="377">
        <f t="shared" si="364"/>
        <v>0</v>
      </c>
      <c r="Y935" s="377">
        <f t="shared" si="365"/>
        <v>0</v>
      </c>
      <c r="Z935" s="377">
        <f t="shared" si="366"/>
        <v>0</v>
      </c>
      <c r="AA935" s="377">
        <f t="shared" si="367"/>
        <v>0</v>
      </c>
      <c r="AB935" s="377">
        <f t="shared" si="368"/>
        <v>0</v>
      </c>
      <c r="AC935" s="377">
        <f t="shared" si="369"/>
        <v>0</v>
      </c>
      <c r="AD935" s="376"/>
      <c r="AE935" s="332">
        <v>920</v>
      </c>
      <c r="AF935" s="350">
        <v>134554715.11907101</v>
      </c>
      <c r="AG935" s="350">
        <v>135658332.9561021</v>
      </c>
      <c r="AH935" s="350">
        <v>136715707.59404051</v>
      </c>
      <c r="AI935" s="350">
        <v>137775594.84458351</v>
      </c>
      <c r="AJ935" s="350">
        <v>138841287.04023558</v>
      </c>
      <c r="AK935" s="348">
        <v>683545637.5540328</v>
      </c>
      <c r="AL935" s="369"/>
      <c r="AM935" s="350">
        <v>172192600.3953715</v>
      </c>
      <c r="AN935" s="350">
        <v>211670662.66168532</v>
      </c>
      <c r="AO935" s="350">
        <v>251682945.30522916</v>
      </c>
      <c r="AP935" s="350">
        <v>292293957.31830394</v>
      </c>
      <c r="AQ935" s="350">
        <v>333513722.40340137</v>
      </c>
      <c r="AR935" s="348">
        <v>1261353888.0839913</v>
      </c>
      <c r="AS935" s="369"/>
      <c r="AT935" s="350">
        <f t="shared" si="387"/>
        <v>37637885.27630049</v>
      </c>
      <c r="AU935" s="350">
        <f t="shared" si="370"/>
        <v>76012329.705583215</v>
      </c>
      <c r="AV935" s="350">
        <f t="shared" si="371"/>
        <v>114967237.71118864</v>
      </c>
      <c r="AW935" s="350">
        <f t="shared" si="372"/>
        <v>154518362.47372043</v>
      </c>
      <c r="AX935" s="350">
        <f t="shared" si="373"/>
        <v>194672435.3631658</v>
      </c>
      <c r="AY935" s="350">
        <f t="shared" si="374"/>
        <v>577808250.52995849</v>
      </c>
      <c r="AZ935" s="365"/>
      <c r="BA935" s="377">
        <f t="shared" si="375"/>
        <v>0</v>
      </c>
      <c r="BB935" s="377">
        <f t="shared" si="376"/>
        <v>0</v>
      </c>
      <c r="BC935" s="377">
        <f t="shared" si="377"/>
        <v>0</v>
      </c>
      <c r="BD935" s="377">
        <f t="shared" si="378"/>
        <v>0</v>
      </c>
      <c r="BE935" s="377">
        <f t="shared" si="379"/>
        <v>0</v>
      </c>
      <c r="BF935" s="377">
        <f t="shared" si="380"/>
        <v>0</v>
      </c>
      <c r="BG935" s="328"/>
    </row>
    <row r="936" spans="2:59">
      <c r="B936" s="332">
        <v>921</v>
      </c>
      <c r="C936" s="350">
        <v>149697313.6109165</v>
      </c>
      <c r="D936" s="350">
        <v>150925131.0479379</v>
      </c>
      <c r="E936" s="350">
        <v>152101501.1412462</v>
      </c>
      <c r="F936" s="350">
        <v>153280666.6130496</v>
      </c>
      <c r="G936" s="350">
        <v>154466290.3103244</v>
      </c>
      <c r="H936" s="348">
        <v>760470902.72347462</v>
      </c>
      <c r="I936" s="369"/>
      <c r="J936" s="350">
        <v>185596348.69666567</v>
      </c>
      <c r="K936" s="350">
        <v>223440018.87871957</v>
      </c>
      <c r="L936" s="350">
        <v>261786110.90560213</v>
      </c>
      <c r="M936" s="350">
        <v>300703893.68546122</v>
      </c>
      <c r="N936" s="350">
        <v>340203452.63038278</v>
      </c>
      <c r="O936" s="348">
        <v>1311729824.7968314</v>
      </c>
      <c r="P936" s="369"/>
      <c r="Q936" s="350">
        <f t="shared" si="381"/>
        <v>35899035.085749179</v>
      </c>
      <c r="R936" s="350">
        <f t="shared" si="382"/>
        <v>72514887.830781668</v>
      </c>
      <c r="S936" s="350">
        <f t="shared" si="383"/>
        <v>109684609.76435593</v>
      </c>
      <c r="T936" s="350">
        <f t="shared" si="384"/>
        <v>147423227.07241163</v>
      </c>
      <c r="U936" s="350">
        <f t="shared" si="385"/>
        <v>185737162.32005838</v>
      </c>
      <c r="V936" s="350">
        <f t="shared" si="386"/>
        <v>551258922.07335675</v>
      </c>
      <c r="W936" s="365"/>
      <c r="X936" s="377">
        <f t="shared" si="364"/>
        <v>0</v>
      </c>
      <c r="Y936" s="377">
        <f t="shared" si="365"/>
        <v>0</v>
      </c>
      <c r="Z936" s="377">
        <f t="shared" si="366"/>
        <v>0</v>
      </c>
      <c r="AA936" s="377">
        <f t="shared" si="367"/>
        <v>0</v>
      </c>
      <c r="AB936" s="377">
        <f t="shared" si="368"/>
        <v>0</v>
      </c>
      <c r="AC936" s="377">
        <f t="shared" si="369"/>
        <v>0</v>
      </c>
      <c r="AD936" s="376"/>
      <c r="AE936" s="332">
        <v>921</v>
      </c>
      <c r="AF936" s="350">
        <v>126067017.53872098</v>
      </c>
      <c r="AG936" s="350">
        <v>127101019.27618463</v>
      </c>
      <c r="AH936" s="350">
        <v>128091694.83079463</v>
      </c>
      <c r="AI936" s="350">
        <v>129084724.5026648</v>
      </c>
      <c r="AJ936" s="350">
        <v>130083192.94430399</v>
      </c>
      <c r="AK936" s="348">
        <v>640427649.09266901</v>
      </c>
      <c r="AL936" s="369"/>
      <c r="AM936" s="350">
        <v>154482197.57916719</v>
      </c>
      <c r="AN936" s="350">
        <v>184512836.33077529</v>
      </c>
      <c r="AO936" s="350">
        <v>214938772.63347256</v>
      </c>
      <c r="AP936" s="350">
        <v>245817581.25337866</v>
      </c>
      <c r="AQ936" s="350">
        <v>277157432.64724702</v>
      </c>
      <c r="AR936" s="348">
        <v>1076908820.4440408</v>
      </c>
      <c r="AS936" s="369"/>
      <c r="AT936" s="350">
        <f t="shared" si="387"/>
        <v>28415180.040446207</v>
      </c>
      <c r="AU936" s="350">
        <f t="shared" si="370"/>
        <v>57411817.054590657</v>
      </c>
      <c r="AV936" s="350">
        <f t="shared" si="371"/>
        <v>86847077.802677929</v>
      </c>
      <c r="AW936" s="350">
        <f t="shared" si="372"/>
        <v>116732856.75071386</v>
      </c>
      <c r="AX936" s="350">
        <f t="shared" si="373"/>
        <v>147074239.70294303</v>
      </c>
      <c r="AY936" s="350">
        <f t="shared" si="374"/>
        <v>436481171.35137177</v>
      </c>
      <c r="AZ936" s="365"/>
      <c r="BA936" s="377">
        <f t="shared" si="375"/>
        <v>0</v>
      </c>
      <c r="BB936" s="377">
        <f t="shared" si="376"/>
        <v>0</v>
      </c>
      <c r="BC936" s="377">
        <f t="shared" si="377"/>
        <v>0</v>
      </c>
      <c r="BD936" s="377">
        <f t="shared" si="378"/>
        <v>0</v>
      </c>
      <c r="BE936" s="377">
        <f t="shared" si="379"/>
        <v>0</v>
      </c>
      <c r="BF936" s="377">
        <f t="shared" si="380"/>
        <v>0</v>
      </c>
      <c r="BG936" s="328"/>
    </row>
    <row r="937" spans="2:59">
      <c r="B937" s="332">
        <v>922</v>
      </c>
      <c r="C937" s="350">
        <v>137333796.18647411</v>
      </c>
      <c r="D937" s="350">
        <v>138460208.04773417</v>
      </c>
      <c r="E937" s="350">
        <v>139539421.60699794</v>
      </c>
      <c r="F937" s="350">
        <v>140621199.67414266</v>
      </c>
      <c r="G937" s="350">
        <v>141708902.58121419</v>
      </c>
      <c r="H937" s="348">
        <v>697663528.0965631</v>
      </c>
      <c r="I937" s="369"/>
      <c r="J937" s="350">
        <v>172877126.19999754</v>
      </c>
      <c r="K937" s="350">
        <v>210278292.28367856</v>
      </c>
      <c r="L937" s="350">
        <v>248180979.66805053</v>
      </c>
      <c r="M937" s="350">
        <v>286649829.66844821</v>
      </c>
      <c r="N937" s="350">
        <v>325694564.85785931</v>
      </c>
      <c r="O937" s="348">
        <v>1243680792.6780341</v>
      </c>
      <c r="P937" s="369"/>
      <c r="Q937" s="350">
        <f t="shared" si="381"/>
        <v>35543330.01352343</v>
      </c>
      <c r="R937" s="350">
        <f t="shared" si="382"/>
        <v>71818084.23594439</v>
      </c>
      <c r="S937" s="350">
        <f t="shared" si="383"/>
        <v>108641558.06105259</v>
      </c>
      <c r="T937" s="350">
        <f t="shared" si="384"/>
        <v>146028629.99430555</v>
      </c>
      <c r="U937" s="350">
        <f t="shared" si="385"/>
        <v>183985662.27664512</v>
      </c>
      <c r="V937" s="350">
        <f t="shared" si="386"/>
        <v>546017264.58147097</v>
      </c>
      <c r="W937" s="365"/>
      <c r="X937" s="377">
        <f t="shared" si="364"/>
        <v>0</v>
      </c>
      <c r="Y937" s="377">
        <f t="shared" si="365"/>
        <v>0</v>
      </c>
      <c r="Z937" s="377">
        <f t="shared" si="366"/>
        <v>0</v>
      </c>
      <c r="AA937" s="377">
        <f t="shared" si="367"/>
        <v>0</v>
      </c>
      <c r="AB937" s="377">
        <f t="shared" si="368"/>
        <v>0</v>
      </c>
      <c r="AC937" s="377">
        <f t="shared" si="369"/>
        <v>0</v>
      </c>
      <c r="AD937" s="376"/>
      <c r="AE937" s="332">
        <v>922</v>
      </c>
      <c r="AF937" s="350">
        <v>105318590.1899232</v>
      </c>
      <c r="AG937" s="350">
        <v>106182413.31646106</v>
      </c>
      <c r="AH937" s="350">
        <v>107010040.99247158</v>
      </c>
      <c r="AI937" s="350">
        <v>107839635.33919278</v>
      </c>
      <c r="AJ937" s="350">
        <v>108673773.32925248</v>
      </c>
      <c r="AK937" s="348">
        <v>535024453.16730106</v>
      </c>
      <c r="AL937" s="369"/>
      <c r="AM937" s="350">
        <v>130244292.18004718</v>
      </c>
      <c r="AN937" s="350">
        <v>156526923.81251925</v>
      </c>
      <c r="AO937" s="350">
        <v>183157855.12207583</v>
      </c>
      <c r="AP937" s="350">
        <v>210185681.07463092</v>
      </c>
      <c r="AQ937" s="350">
        <v>237617437.30686745</v>
      </c>
      <c r="AR937" s="348">
        <v>917732189.4961406</v>
      </c>
      <c r="AS937" s="369"/>
      <c r="AT937" s="350">
        <f t="shared" si="387"/>
        <v>24925701.990123987</v>
      </c>
      <c r="AU937" s="350">
        <f t="shared" si="370"/>
        <v>50344510.496058196</v>
      </c>
      <c r="AV937" s="350">
        <f t="shared" si="371"/>
        <v>76147814.12960425</v>
      </c>
      <c r="AW937" s="350">
        <f t="shared" si="372"/>
        <v>102346045.73543814</v>
      </c>
      <c r="AX937" s="350">
        <f t="shared" si="373"/>
        <v>128943663.97761497</v>
      </c>
      <c r="AY937" s="350">
        <f t="shared" si="374"/>
        <v>382707736.32883954</v>
      </c>
      <c r="AZ937" s="365"/>
      <c r="BA937" s="377">
        <f t="shared" si="375"/>
        <v>0</v>
      </c>
      <c r="BB937" s="377">
        <f t="shared" si="376"/>
        <v>0</v>
      </c>
      <c r="BC937" s="377">
        <f t="shared" si="377"/>
        <v>0</v>
      </c>
      <c r="BD937" s="377">
        <f t="shared" si="378"/>
        <v>0</v>
      </c>
      <c r="BE937" s="377">
        <f t="shared" si="379"/>
        <v>0</v>
      </c>
      <c r="BF937" s="377">
        <f t="shared" si="380"/>
        <v>0</v>
      </c>
      <c r="BG937" s="328"/>
    </row>
    <row r="938" spans="2:59">
      <c r="B938" s="332">
        <v>923</v>
      </c>
      <c r="C938" s="350">
        <v>109586470.40113601</v>
      </c>
      <c r="D938" s="350">
        <v>110485298.68318433</v>
      </c>
      <c r="E938" s="350">
        <v>111346464.74756792</v>
      </c>
      <c r="F938" s="350">
        <v>112209677.17908612</v>
      </c>
      <c r="G938" s="350">
        <v>113077617.37837383</v>
      </c>
      <c r="H938" s="348">
        <v>556705528.38934827</v>
      </c>
      <c r="I938" s="369"/>
      <c r="J938" s="350">
        <v>141029899.3928439</v>
      </c>
      <c r="K938" s="350">
        <v>173990002.29127902</v>
      </c>
      <c r="L938" s="350">
        <v>207397412.77270749</v>
      </c>
      <c r="M938" s="350">
        <v>241305000.07802206</v>
      </c>
      <c r="N938" s="350">
        <v>275721069.50970066</v>
      </c>
      <c r="O938" s="348">
        <v>1039443384.0445532</v>
      </c>
      <c r="P938" s="369"/>
      <c r="Q938" s="350">
        <f t="shared" si="381"/>
        <v>31443428.991707891</v>
      </c>
      <c r="R938" s="350">
        <f t="shared" si="382"/>
        <v>63504703.608094692</v>
      </c>
      <c r="S938" s="350">
        <f t="shared" si="383"/>
        <v>96050948.02513957</v>
      </c>
      <c r="T938" s="350">
        <f t="shared" si="384"/>
        <v>129095322.89893594</v>
      </c>
      <c r="U938" s="350">
        <f t="shared" si="385"/>
        <v>162643452.13132682</v>
      </c>
      <c r="V938" s="350">
        <f t="shared" si="386"/>
        <v>482737855.65520489</v>
      </c>
      <c r="W938" s="365"/>
      <c r="X938" s="377">
        <f t="shared" si="364"/>
        <v>0</v>
      </c>
      <c r="Y938" s="377">
        <f t="shared" si="365"/>
        <v>0</v>
      </c>
      <c r="Z938" s="377">
        <f t="shared" si="366"/>
        <v>0</v>
      </c>
      <c r="AA938" s="377">
        <f t="shared" si="367"/>
        <v>0</v>
      </c>
      <c r="AB938" s="377">
        <f t="shared" si="368"/>
        <v>0</v>
      </c>
      <c r="AC938" s="377">
        <f t="shared" si="369"/>
        <v>0</v>
      </c>
      <c r="AD938" s="376"/>
      <c r="AE938" s="332">
        <v>923</v>
      </c>
      <c r="AF938" s="350">
        <v>113389363.10931106</v>
      </c>
      <c r="AG938" s="350">
        <v>114319382.71915004</v>
      </c>
      <c r="AH938" s="350">
        <v>115210433.14913809</v>
      </c>
      <c r="AI938" s="350">
        <v>116103600.95972279</v>
      </c>
      <c r="AJ938" s="350">
        <v>117001660.60206693</v>
      </c>
      <c r="AK938" s="348">
        <v>576024440.5393889</v>
      </c>
      <c r="AL938" s="369"/>
      <c r="AM938" s="350">
        <v>146481224.84419802</v>
      </c>
      <c r="AN938" s="350">
        <v>181144963.3689338</v>
      </c>
      <c r="AO938" s="350">
        <v>216279996.60374156</v>
      </c>
      <c r="AP938" s="350">
        <v>251941261.25156292</v>
      </c>
      <c r="AQ938" s="350">
        <v>288137449.22140038</v>
      </c>
      <c r="AR938" s="348">
        <v>1083984895.2898366</v>
      </c>
      <c r="AS938" s="369"/>
      <c r="AT938" s="350">
        <f t="shared" si="387"/>
        <v>33091861.734886959</v>
      </c>
      <c r="AU938" s="350">
        <f t="shared" si="370"/>
        <v>66825580.64978376</v>
      </c>
      <c r="AV938" s="350">
        <f t="shared" si="371"/>
        <v>101069563.45460346</v>
      </c>
      <c r="AW938" s="350">
        <f t="shared" si="372"/>
        <v>135837660.29184014</v>
      </c>
      <c r="AX938" s="350">
        <f t="shared" si="373"/>
        <v>171135788.61933345</v>
      </c>
      <c r="AY938" s="350">
        <f t="shared" si="374"/>
        <v>507960454.75044775</v>
      </c>
      <c r="AZ938" s="365"/>
      <c r="BA938" s="377">
        <f t="shared" si="375"/>
        <v>0</v>
      </c>
      <c r="BB938" s="377">
        <f t="shared" si="376"/>
        <v>0</v>
      </c>
      <c r="BC938" s="377">
        <f t="shared" si="377"/>
        <v>0</v>
      </c>
      <c r="BD938" s="377">
        <f t="shared" si="378"/>
        <v>0</v>
      </c>
      <c r="BE938" s="377">
        <f t="shared" si="379"/>
        <v>0</v>
      </c>
      <c r="BF938" s="377">
        <f t="shared" si="380"/>
        <v>0</v>
      </c>
      <c r="BG938" s="328"/>
    </row>
    <row r="939" spans="2:59">
      <c r="B939" s="332">
        <v>924</v>
      </c>
      <c r="C939" s="350">
        <v>124451449.2331019</v>
      </c>
      <c r="D939" s="350">
        <v>125472200.07855894</v>
      </c>
      <c r="E939" s="350">
        <v>126450179.97288901</v>
      </c>
      <c r="F939" s="350">
        <v>127430483.81610282</v>
      </c>
      <c r="G939" s="350">
        <v>128416156.73041087</v>
      </c>
      <c r="H939" s="348">
        <v>632220469.83106351</v>
      </c>
      <c r="I939" s="369"/>
      <c r="J939" s="350">
        <v>152830165.96699578</v>
      </c>
      <c r="K939" s="350">
        <v>182781865.20287317</v>
      </c>
      <c r="L939" s="350">
        <v>213128410.40912753</v>
      </c>
      <c r="M939" s="350">
        <v>243926774.10595855</v>
      </c>
      <c r="N939" s="350">
        <v>275185076.34642822</v>
      </c>
      <c r="O939" s="348">
        <v>1067852292.0313833</v>
      </c>
      <c r="P939" s="369"/>
      <c r="Q939" s="350">
        <f t="shared" si="381"/>
        <v>28378716.733893871</v>
      </c>
      <c r="R939" s="350">
        <f t="shared" si="382"/>
        <v>57309665.124314234</v>
      </c>
      <c r="S939" s="350">
        <f t="shared" si="383"/>
        <v>86678230.436238527</v>
      </c>
      <c r="T939" s="350">
        <f t="shared" si="384"/>
        <v>116496290.28985573</v>
      </c>
      <c r="U939" s="350">
        <f t="shared" si="385"/>
        <v>146768919.61601734</v>
      </c>
      <c r="V939" s="350">
        <f t="shared" si="386"/>
        <v>435631822.20031977</v>
      </c>
      <c r="W939" s="365"/>
      <c r="X939" s="377">
        <f t="shared" si="364"/>
        <v>0</v>
      </c>
      <c r="Y939" s="377">
        <f t="shared" si="365"/>
        <v>0</v>
      </c>
      <c r="Z939" s="377">
        <f t="shared" si="366"/>
        <v>0</v>
      </c>
      <c r="AA939" s="377">
        <f t="shared" si="367"/>
        <v>0</v>
      </c>
      <c r="AB939" s="377">
        <f t="shared" si="368"/>
        <v>0</v>
      </c>
      <c r="AC939" s="377">
        <f t="shared" si="369"/>
        <v>0</v>
      </c>
      <c r="AD939" s="376"/>
      <c r="AE939" s="332">
        <v>924</v>
      </c>
      <c r="AF939" s="350">
        <v>118646173.51058152</v>
      </c>
      <c r="AG939" s="350">
        <v>119619309.48181744</v>
      </c>
      <c r="AH939" s="350">
        <v>120551669.63469282</v>
      </c>
      <c r="AI939" s="350">
        <v>121486245.33141443</v>
      </c>
      <c r="AJ939" s="350">
        <v>122425939.64864674</v>
      </c>
      <c r="AK939" s="348">
        <v>602729337.60715294</v>
      </c>
      <c r="AL939" s="369"/>
      <c r="AM939" s="350">
        <v>151862203.42784357</v>
      </c>
      <c r="AN939" s="350">
        <v>186694815.60845891</v>
      </c>
      <c r="AO939" s="350">
        <v>221998817.71505058</v>
      </c>
      <c r="AP939" s="350">
        <v>257831103.17567691</v>
      </c>
      <c r="AQ939" s="350">
        <v>294200514.60343122</v>
      </c>
      <c r="AR939" s="348">
        <v>1112587454.5304613</v>
      </c>
      <c r="AS939" s="369"/>
      <c r="AT939" s="350">
        <f t="shared" si="387"/>
        <v>33216029.917262048</v>
      </c>
      <c r="AU939" s="350">
        <f t="shared" si="370"/>
        <v>67075506.126641467</v>
      </c>
      <c r="AV939" s="350">
        <f t="shared" si="371"/>
        <v>101447148.08035776</v>
      </c>
      <c r="AW939" s="350">
        <f t="shared" si="372"/>
        <v>136344857.84426248</v>
      </c>
      <c r="AX939" s="350">
        <f t="shared" si="373"/>
        <v>171774574.95478448</v>
      </c>
      <c r="AY939" s="350">
        <f t="shared" si="374"/>
        <v>509858116.92330837</v>
      </c>
      <c r="AZ939" s="365"/>
      <c r="BA939" s="377">
        <f t="shared" si="375"/>
        <v>0</v>
      </c>
      <c r="BB939" s="377">
        <f t="shared" si="376"/>
        <v>0</v>
      </c>
      <c r="BC939" s="377">
        <f t="shared" si="377"/>
        <v>0</v>
      </c>
      <c r="BD939" s="377">
        <f t="shared" si="378"/>
        <v>0</v>
      </c>
      <c r="BE939" s="377">
        <f t="shared" si="379"/>
        <v>0</v>
      </c>
      <c r="BF939" s="377">
        <f t="shared" si="380"/>
        <v>0</v>
      </c>
      <c r="BG939" s="328"/>
    </row>
    <row r="940" spans="2:59">
      <c r="B940" s="332">
        <v>925</v>
      </c>
      <c r="C940" s="350">
        <v>150996519.1523208</v>
      </c>
      <c r="D940" s="350">
        <v>152234992.67380714</v>
      </c>
      <c r="E940" s="350">
        <v>153421572.34607917</v>
      </c>
      <c r="F940" s="350">
        <v>154610971.65761054</v>
      </c>
      <c r="G940" s="350">
        <v>155806885.24479961</v>
      </c>
      <c r="H940" s="348">
        <v>767070941.07461727</v>
      </c>
      <c r="I940" s="369"/>
      <c r="J940" s="350">
        <v>186920300.68991792</v>
      </c>
      <c r="K940" s="350">
        <v>224801640.390324</v>
      </c>
      <c r="L940" s="350">
        <v>263185364.8679882</v>
      </c>
      <c r="M940" s="350">
        <v>302141224.25390404</v>
      </c>
      <c r="N940" s="350">
        <v>341679340.44748932</v>
      </c>
      <c r="O940" s="348">
        <v>1318727870.6496234</v>
      </c>
      <c r="P940" s="369"/>
      <c r="Q940" s="350">
        <f t="shared" si="381"/>
        <v>35923781.53759712</v>
      </c>
      <c r="R940" s="350">
        <f t="shared" si="382"/>
        <v>72566647.716516852</v>
      </c>
      <c r="S940" s="350">
        <f t="shared" si="383"/>
        <v>109763792.52190903</v>
      </c>
      <c r="T940" s="350">
        <f t="shared" si="384"/>
        <v>147530252.59629351</v>
      </c>
      <c r="U940" s="350">
        <f t="shared" si="385"/>
        <v>185872455.20268971</v>
      </c>
      <c r="V940" s="350">
        <f t="shared" si="386"/>
        <v>551656929.57500613</v>
      </c>
      <c r="W940" s="365"/>
      <c r="X940" s="377">
        <f t="shared" si="364"/>
        <v>0</v>
      </c>
      <c r="Y940" s="377">
        <f t="shared" si="365"/>
        <v>0</v>
      </c>
      <c r="Z940" s="377">
        <f t="shared" si="366"/>
        <v>0</v>
      </c>
      <c r="AA940" s="377">
        <f t="shared" si="367"/>
        <v>0</v>
      </c>
      <c r="AB940" s="377">
        <f t="shared" si="368"/>
        <v>0</v>
      </c>
      <c r="AC940" s="377">
        <f t="shared" si="369"/>
        <v>0</v>
      </c>
      <c r="AD940" s="376"/>
      <c r="AE940" s="332">
        <v>925</v>
      </c>
      <c r="AF940" s="350">
        <v>143914266.70889616</v>
      </c>
      <c r="AG940" s="350">
        <v>145094651.59249264</v>
      </c>
      <c r="AH940" s="350">
        <v>146225576.62563497</v>
      </c>
      <c r="AI940" s="350">
        <v>147359189.04732543</v>
      </c>
      <c r="AJ940" s="350">
        <v>148499010.20289731</v>
      </c>
      <c r="AK940" s="348">
        <v>731092694.17724657</v>
      </c>
      <c r="AL940" s="369"/>
      <c r="AM940" s="350">
        <v>180358677.21600884</v>
      </c>
      <c r="AN940" s="350">
        <v>218696719.65129507</v>
      </c>
      <c r="AO940" s="350">
        <v>257547360.34243444</v>
      </c>
      <c r="AP940" s="350">
        <v>296978000.18755424</v>
      </c>
      <c r="AQ940" s="350">
        <v>336998678.46094644</v>
      </c>
      <c r="AR940" s="348">
        <v>1290579435.8582392</v>
      </c>
      <c r="AS940" s="369"/>
      <c r="AT940" s="350">
        <f t="shared" si="387"/>
        <v>36444410.507112682</v>
      </c>
      <c r="AU940" s="350">
        <f t="shared" si="370"/>
        <v>73602068.058802426</v>
      </c>
      <c r="AV940" s="350">
        <f t="shared" si="371"/>
        <v>111321783.71679947</v>
      </c>
      <c r="AW940" s="350">
        <f t="shared" si="372"/>
        <v>149618811.14022881</v>
      </c>
      <c r="AX940" s="350">
        <f t="shared" si="373"/>
        <v>188499668.25804913</v>
      </c>
      <c r="AY940" s="350">
        <f t="shared" si="374"/>
        <v>559486741.6809926</v>
      </c>
      <c r="AZ940" s="365"/>
      <c r="BA940" s="377">
        <f t="shared" si="375"/>
        <v>0</v>
      </c>
      <c r="BB940" s="377">
        <f t="shared" si="376"/>
        <v>0</v>
      </c>
      <c r="BC940" s="377">
        <f t="shared" si="377"/>
        <v>0</v>
      </c>
      <c r="BD940" s="377">
        <f t="shared" si="378"/>
        <v>0</v>
      </c>
      <c r="BE940" s="377">
        <f t="shared" si="379"/>
        <v>0</v>
      </c>
      <c r="BF940" s="377">
        <f t="shared" si="380"/>
        <v>0</v>
      </c>
      <c r="BG940" s="328"/>
    </row>
    <row r="941" spans="2:59">
      <c r="B941" s="332">
        <v>926</v>
      </c>
      <c r="C941" s="350">
        <v>145433529.07162017</v>
      </c>
      <c r="D941" s="350">
        <v>146626374.94583413</v>
      </c>
      <c r="E941" s="350">
        <v>147769238.83588901</v>
      </c>
      <c r="F941" s="350">
        <v>148914818.4844957</v>
      </c>
      <c r="G941" s="350">
        <v>150066672.41083801</v>
      </c>
      <c r="H941" s="348">
        <v>738810633.7486769</v>
      </c>
      <c r="I941" s="369"/>
      <c r="J941" s="350">
        <v>181288265.94657153</v>
      </c>
      <c r="K941" s="350">
        <v>219043981.05575463</v>
      </c>
      <c r="L941" s="350">
        <v>257302778.30866358</v>
      </c>
      <c r="M941" s="350">
        <v>296132362.65868843</v>
      </c>
      <c r="N941" s="350">
        <v>335542706.07416576</v>
      </c>
      <c r="O941" s="348">
        <v>1289310094.043844</v>
      </c>
      <c r="P941" s="369"/>
      <c r="Q941" s="350">
        <f t="shared" si="381"/>
        <v>35854736.874951363</v>
      </c>
      <c r="R941" s="350">
        <f t="shared" si="382"/>
        <v>72417606.109920502</v>
      </c>
      <c r="S941" s="350">
        <f t="shared" si="383"/>
        <v>109533539.47277457</v>
      </c>
      <c r="T941" s="350">
        <f t="shared" si="384"/>
        <v>147217544.17419273</v>
      </c>
      <c r="U941" s="350">
        <f t="shared" si="385"/>
        <v>185476033.66332775</v>
      </c>
      <c r="V941" s="350">
        <f t="shared" si="386"/>
        <v>550499460.29516709</v>
      </c>
      <c r="W941" s="365"/>
      <c r="X941" s="377">
        <f t="shared" si="364"/>
        <v>0</v>
      </c>
      <c r="Y941" s="377">
        <f t="shared" si="365"/>
        <v>0</v>
      </c>
      <c r="Z941" s="377">
        <f t="shared" si="366"/>
        <v>0</v>
      </c>
      <c r="AA941" s="377">
        <f t="shared" si="367"/>
        <v>0</v>
      </c>
      <c r="AB941" s="377">
        <f t="shared" si="368"/>
        <v>0</v>
      </c>
      <c r="AC941" s="377">
        <f t="shared" si="369"/>
        <v>0</v>
      </c>
      <c r="AD941" s="376"/>
      <c r="AE941" s="332">
        <v>926</v>
      </c>
      <c r="AF941" s="350">
        <v>140273070.52797541</v>
      </c>
      <c r="AG941" s="350">
        <v>141423590.31877434</v>
      </c>
      <c r="AH941" s="350">
        <v>142525901.65012211</v>
      </c>
      <c r="AI941" s="350">
        <v>143630832.37600234</v>
      </c>
      <c r="AJ941" s="350">
        <v>144741814.74766821</v>
      </c>
      <c r="AK941" s="348">
        <v>712595209.62054253</v>
      </c>
      <c r="AL941" s="369"/>
      <c r="AM941" s="350">
        <v>172293987.40911114</v>
      </c>
      <c r="AN941" s="350">
        <v>206092606.90974724</v>
      </c>
      <c r="AO941" s="350">
        <v>240336863.33900172</v>
      </c>
      <c r="AP941" s="350">
        <v>275090986.80297965</v>
      </c>
      <c r="AQ941" s="350">
        <v>310364136.43615133</v>
      </c>
      <c r="AR941" s="348">
        <v>1204178580.896991</v>
      </c>
      <c r="AS941" s="369"/>
      <c r="AT941" s="350">
        <f t="shared" si="387"/>
        <v>32020916.881135732</v>
      </c>
      <c r="AU941" s="350">
        <f t="shared" si="370"/>
        <v>64669016.5909729</v>
      </c>
      <c r="AV941" s="350">
        <f t="shared" si="371"/>
        <v>97810961.688879609</v>
      </c>
      <c r="AW941" s="350">
        <f t="shared" si="372"/>
        <v>131460154.42697731</v>
      </c>
      <c r="AX941" s="350">
        <f t="shared" si="373"/>
        <v>165622321.68848312</v>
      </c>
      <c r="AY941" s="350">
        <f t="shared" si="374"/>
        <v>491583371.27644849</v>
      </c>
      <c r="AZ941" s="365"/>
      <c r="BA941" s="377">
        <f t="shared" si="375"/>
        <v>0</v>
      </c>
      <c r="BB941" s="377">
        <f t="shared" si="376"/>
        <v>0</v>
      </c>
      <c r="BC941" s="377">
        <f t="shared" si="377"/>
        <v>0</v>
      </c>
      <c r="BD941" s="377">
        <f t="shared" si="378"/>
        <v>0</v>
      </c>
      <c r="BE941" s="377">
        <f t="shared" si="379"/>
        <v>0</v>
      </c>
      <c r="BF941" s="377">
        <f t="shared" si="380"/>
        <v>0</v>
      </c>
      <c r="BG941" s="328"/>
    </row>
    <row r="942" spans="2:59">
      <c r="B942" s="332">
        <v>927</v>
      </c>
      <c r="C942" s="350">
        <v>128283301.44800119</v>
      </c>
      <c r="D942" s="350">
        <v>129335481.14713669</v>
      </c>
      <c r="E942" s="350">
        <v>130343572.98027751</v>
      </c>
      <c r="F942" s="350">
        <v>131354060.31654057</v>
      </c>
      <c r="G942" s="350">
        <v>132370082.0372557</v>
      </c>
      <c r="H942" s="348">
        <v>651686497.92921162</v>
      </c>
      <c r="I942" s="369"/>
      <c r="J942" s="350">
        <v>156476138.65289301</v>
      </c>
      <c r="K942" s="350">
        <v>186288205.08206624</v>
      </c>
      <c r="L942" s="350">
        <v>216491221.57114843</v>
      </c>
      <c r="M942" s="350">
        <v>247143472.33581573</v>
      </c>
      <c r="N942" s="350">
        <v>278253140.76159388</v>
      </c>
      <c r="O942" s="348">
        <v>1084652178.4035172</v>
      </c>
      <c r="P942" s="369"/>
      <c r="Q942" s="350">
        <f t="shared" si="381"/>
        <v>28192837.204891816</v>
      </c>
      <c r="R942" s="350">
        <f t="shared" si="382"/>
        <v>56952723.93492955</v>
      </c>
      <c r="S942" s="350">
        <f t="shared" si="383"/>
        <v>86147648.590870917</v>
      </c>
      <c r="T942" s="350">
        <f t="shared" si="384"/>
        <v>115789412.01927516</v>
      </c>
      <c r="U942" s="350">
        <f t="shared" si="385"/>
        <v>145883058.72433817</v>
      </c>
      <c r="V942" s="350">
        <f t="shared" si="386"/>
        <v>432965680.47430563</v>
      </c>
      <c r="W942" s="365"/>
      <c r="X942" s="377">
        <f t="shared" si="364"/>
        <v>0</v>
      </c>
      <c r="Y942" s="377">
        <f t="shared" si="365"/>
        <v>0</v>
      </c>
      <c r="Z942" s="377">
        <f t="shared" si="366"/>
        <v>0</v>
      </c>
      <c r="AA942" s="377">
        <f t="shared" si="367"/>
        <v>0</v>
      </c>
      <c r="AB942" s="377">
        <f t="shared" si="368"/>
        <v>0</v>
      </c>
      <c r="AC942" s="377">
        <f t="shared" si="369"/>
        <v>0</v>
      </c>
      <c r="AD942" s="376"/>
      <c r="AE942" s="332">
        <v>927</v>
      </c>
      <c r="AF942" s="350">
        <v>154108647.89329642</v>
      </c>
      <c r="AG942" s="350">
        <v>155372647.09618783</v>
      </c>
      <c r="AH942" s="350">
        <v>156583682.88653642</v>
      </c>
      <c r="AI942" s="350">
        <v>157797596.430599</v>
      </c>
      <c r="AJ942" s="350">
        <v>159018158.51344419</v>
      </c>
      <c r="AK942" s="348">
        <v>782880732.82006383</v>
      </c>
      <c r="AL942" s="369"/>
      <c r="AM942" s="350">
        <v>201930817.85198492</v>
      </c>
      <c r="AN942" s="350">
        <v>251926913.97123179</v>
      </c>
      <c r="AO942" s="350">
        <v>302607171.27735829</v>
      </c>
      <c r="AP942" s="350">
        <v>354047445.26622856</v>
      </c>
      <c r="AQ942" s="350">
        <v>406260055.54861283</v>
      </c>
      <c r="AR942" s="348">
        <v>1516772403.9154165</v>
      </c>
      <c r="AS942" s="369"/>
      <c r="AT942" s="350">
        <f t="shared" si="387"/>
        <v>47822169.958688498</v>
      </c>
      <c r="AU942" s="350">
        <f t="shared" si="370"/>
        <v>96554266.875043958</v>
      </c>
      <c r="AV942" s="350">
        <f t="shared" si="371"/>
        <v>146023488.39082187</v>
      </c>
      <c r="AW942" s="350">
        <f t="shared" si="372"/>
        <v>196249848.83562955</v>
      </c>
      <c r="AX942" s="350">
        <f t="shared" si="373"/>
        <v>247241897.03516865</v>
      </c>
      <c r="AY942" s="350">
        <f t="shared" si="374"/>
        <v>733891671.09535265</v>
      </c>
      <c r="AZ942" s="365"/>
      <c r="BA942" s="377">
        <f t="shared" si="375"/>
        <v>0</v>
      </c>
      <c r="BB942" s="377">
        <f t="shared" si="376"/>
        <v>0</v>
      </c>
      <c r="BC942" s="377">
        <f t="shared" si="377"/>
        <v>0</v>
      </c>
      <c r="BD942" s="377">
        <f t="shared" si="378"/>
        <v>0</v>
      </c>
      <c r="BE942" s="377">
        <f t="shared" si="379"/>
        <v>0</v>
      </c>
      <c r="BF942" s="377">
        <f t="shared" si="380"/>
        <v>0</v>
      </c>
      <c r="BG942" s="328"/>
    </row>
    <row r="943" spans="2:59">
      <c r="B943" s="332">
        <v>928</v>
      </c>
      <c r="C943" s="350">
        <v>139417315.71307743</v>
      </c>
      <c r="D943" s="350">
        <v>140560816.6024799</v>
      </c>
      <c r="E943" s="350">
        <v>141656403.13465008</v>
      </c>
      <c r="F943" s="350">
        <v>142754593.08138257</v>
      </c>
      <c r="G943" s="350">
        <v>143858797.75501817</v>
      </c>
      <c r="H943" s="348">
        <v>708247926.28660822</v>
      </c>
      <c r="I943" s="369"/>
      <c r="J943" s="350">
        <v>173172574.64354652</v>
      </c>
      <c r="K943" s="350">
        <v>208727424.48106396</v>
      </c>
      <c r="L943" s="350">
        <v>244754874.46857834</v>
      </c>
      <c r="M943" s="350">
        <v>281319570.25199854</v>
      </c>
      <c r="N943" s="350">
        <v>318430959.43803596</v>
      </c>
      <c r="O943" s="348">
        <v>1226405403.2832232</v>
      </c>
      <c r="P943" s="369"/>
      <c r="Q943" s="350">
        <f t="shared" si="381"/>
        <v>33755258.930469096</v>
      </c>
      <c r="R943" s="350">
        <f t="shared" si="382"/>
        <v>68166607.878584057</v>
      </c>
      <c r="S943" s="350">
        <f t="shared" si="383"/>
        <v>103098471.33392826</v>
      </c>
      <c r="T943" s="350">
        <f t="shared" si="384"/>
        <v>138564977.17061597</v>
      </c>
      <c r="U943" s="350">
        <f t="shared" si="385"/>
        <v>174572161.68301779</v>
      </c>
      <c r="V943" s="350">
        <f t="shared" si="386"/>
        <v>518157476.99661493</v>
      </c>
      <c r="W943" s="365"/>
      <c r="X943" s="377">
        <f t="shared" si="364"/>
        <v>0</v>
      </c>
      <c r="Y943" s="377">
        <f t="shared" si="365"/>
        <v>0</v>
      </c>
      <c r="Z943" s="377">
        <f t="shared" si="366"/>
        <v>0</v>
      </c>
      <c r="AA943" s="377">
        <f t="shared" si="367"/>
        <v>0</v>
      </c>
      <c r="AB943" s="377">
        <f t="shared" si="368"/>
        <v>0</v>
      </c>
      <c r="AC943" s="377">
        <f t="shared" si="369"/>
        <v>0</v>
      </c>
      <c r="AD943" s="376"/>
      <c r="AE943" s="332">
        <v>928</v>
      </c>
      <c r="AF943" s="350">
        <v>120455305.5395098</v>
      </c>
      <c r="AG943" s="350">
        <v>121443280.01250243</v>
      </c>
      <c r="AH943" s="350">
        <v>122389856.91224086</v>
      </c>
      <c r="AI943" s="350">
        <v>123338683.13872138</v>
      </c>
      <c r="AJ943" s="350">
        <v>124292706.03509286</v>
      </c>
      <c r="AK943" s="348">
        <v>611919831.63806725</v>
      </c>
      <c r="AL943" s="369"/>
      <c r="AM943" s="350">
        <v>150246179.76650023</v>
      </c>
      <c r="AN943" s="350">
        <v>181610837.35606039</v>
      </c>
      <c r="AO943" s="350">
        <v>213393585.66726562</v>
      </c>
      <c r="AP943" s="350">
        <v>245650540.6031146</v>
      </c>
      <c r="AQ943" s="350">
        <v>278389977.90273023</v>
      </c>
      <c r="AR943" s="348">
        <v>1069291121.2956711</v>
      </c>
      <c r="AS943" s="369"/>
      <c r="AT943" s="350">
        <f t="shared" si="387"/>
        <v>29790874.226990432</v>
      </c>
      <c r="AU943" s="350">
        <f t="shared" si="370"/>
        <v>60167557.343557954</v>
      </c>
      <c r="AV943" s="350">
        <f t="shared" si="371"/>
        <v>91003728.755024761</v>
      </c>
      <c r="AW943" s="350">
        <f t="shared" si="372"/>
        <v>122311857.46439323</v>
      </c>
      <c r="AX943" s="350">
        <f t="shared" si="373"/>
        <v>154097271.86763737</v>
      </c>
      <c r="AY943" s="350">
        <f t="shared" si="374"/>
        <v>457371289.65760386</v>
      </c>
      <c r="AZ943" s="365"/>
      <c r="BA943" s="377">
        <f t="shared" si="375"/>
        <v>0</v>
      </c>
      <c r="BB943" s="377">
        <f t="shared" si="376"/>
        <v>0</v>
      </c>
      <c r="BC943" s="377">
        <f t="shared" si="377"/>
        <v>0</v>
      </c>
      <c r="BD943" s="377">
        <f t="shared" si="378"/>
        <v>0</v>
      </c>
      <c r="BE943" s="377">
        <f t="shared" si="379"/>
        <v>0</v>
      </c>
      <c r="BF943" s="377">
        <f t="shared" si="380"/>
        <v>0</v>
      </c>
      <c r="BG943" s="328"/>
    </row>
    <row r="944" spans="2:59">
      <c r="B944" s="332">
        <v>929</v>
      </c>
      <c r="C944" s="350">
        <v>113058889.25724246</v>
      </c>
      <c r="D944" s="350">
        <v>113986198.32039049</v>
      </c>
      <c r="E944" s="350">
        <v>114874651.7795525</v>
      </c>
      <c r="F944" s="350">
        <v>115765216.44819501</v>
      </c>
      <c r="G944" s="350">
        <v>116660658.6913294</v>
      </c>
      <c r="H944" s="348">
        <v>574345614.49670982</v>
      </c>
      <c r="I944" s="369"/>
      <c r="J944" s="350">
        <v>144189087.10140437</v>
      </c>
      <c r="K944" s="350">
        <v>176853264.40728945</v>
      </c>
      <c r="L944" s="350">
        <v>209958646.50645351</v>
      </c>
      <c r="M944" s="350">
        <v>243559229.48651284</v>
      </c>
      <c r="N944" s="350">
        <v>277663346.82416898</v>
      </c>
      <c r="O944" s="348">
        <v>1052223574.325829</v>
      </c>
      <c r="P944" s="369"/>
      <c r="Q944" s="350">
        <f t="shared" si="381"/>
        <v>31130197.844161913</v>
      </c>
      <c r="R944" s="350">
        <f t="shared" si="382"/>
        <v>62867066.086898953</v>
      </c>
      <c r="S944" s="350">
        <f t="shared" si="383"/>
        <v>95083994.72690101</v>
      </c>
      <c r="T944" s="350">
        <f t="shared" si="384"/>
        <v>127794013.03831783</v>
      </c>
      <c r="U944" s="350">
        <f t="shared" si="385"/>
        <v>161002688.13283956</v>
      </c>
      <c r="V944" s="350">
        <f t="shared" si="386"/>
        <v>477877959.82911921</v>
      </c>
      <c r="W944" s="365"/>
      <c r="X944" s="377">
        <f t="shared" si="364"/>
        <v>0</v>
      </c>
      <c r="Y944" s="377">
        <f t="shared" si="365"/>
        <v>0</v>
      </c>
      <c r="Z944" s="377">
        <f t="shared" si="366"/>
        <v>0</v>
      </c>
      <c r="AA944" s="377">
        <f t="shared" si="367"/>
        <v>0</v>
      </c>
      <c r="AB944" s="377">
        <f t="shared" si="368"/>
        <v>0</v>
      </c>
      <c r="AC944" s="377">
        <f t="shared" si="369"/>
        <v>0</v>
      </c>
      <c r="AD944" s="376"/>
      <c r="AE944" s="332">
        <v>929</v>
      </c>
      <c r="AF944" s="350">
        <v>127764497.15142658</v>
      </c>
      <c r="AG944" s="350">
        <v>128812421.61747628</v>
      </c>
      <c r="AH944" s="350">
        <v>129816436.51801193</v>
      </c>
      <c r="AI944" s="350">
        <v>130822837.23375794</v>
      </c>
      <c r="AJ944" s="350">
        <v>131834749.95175667</v>
      </c>
      <c r="AK944" s="348">
        <v>649050942.47242951</v>
      </c>
      <c r="AL944" s="369"/>
      <c r="AM944" s="350">
        <v>159003916.86443791</v>
      </c>
      <c r="AN944" s="350">
        <v>191910023.68526024</v>
      </c>
      <c r="AO944" s="350">
        <v>225254120.97611991</v>
      </c>
      <c r="AP944" s="350">
        <v>259095579.65938866</v>
      </c>
      <c r="AQ944" s="350">
        <v>293443114.08717215</v>
      </c>
      <c r="AR944" s="348">
        <v>1128706755.2723789</v>
      </c>
      <c r="AS944" s="369"/>
      <c r="AT944" s="350">
        <f t="shared" si="387"/>
        <v>31239419.713011324</v>
      </c>
      <c r="AU944" s="350">
        <f t="shared" si="370"/>
        <v>63097602.067783952</v>
      </c>
      <c r="AV944" s="350">
        <f t="shared" si="371"/>
        <v>95437684.458107978</v>
      </c>
      <c r="AW944" s="350">
        <f t="shared" si="372"/>
        <v>128272742.42563072</v>
      </c>
      <c r="AX944" s="350">
        <f t="shared" si="373"/>
        <v>161608364.13541549</v>
      </c>
      <c r="AY944" s="350">
        <f t="shared" si="374"/>
        <v>479655812.79994941</v>
      </c>
      <c r="AZ944" s="365"/>
      <c r="BA944" s="377">
        <f t="shared" si="375"/>
        <v>0</v>
      </c>
      <c r="BB944" s="377">
        <f t="shared" si="376"/>
        <v>0</v>
      </c>
      <c r="BC944" s="377">
        <f t="shared" si="377"/>
        <v>0</v>
      </c>
      <c r="BD944" s="377">
        <f t="shared" si="378"/>
        <v>0</v>
      </c>
      <c r="BE944" s="377">
        <f t="shared" si="379"/>
        <v>0</v>
      </c>
      <c r="BF944" s="377">
        <f t="shared" si="380"/>
        <v>0</v>
      </c>
      <c r="BG944" s="328"/>
    </row>
    <row r="945" spans="2:59">
      <c r="B945" s="332">
        <v>930</v>
      </c>
      <c r="C945" s="350">
        <v>126914695.793842</v>
      </c>
      <c r="D945" s="350">
        <v>127955650.18875498</v>
      </c>
      <c r="E945" s="350">
        <v>128952987.07431352</v>
      </c>
      <c r="F945" s="350">
        <v>129952693.90628448</v>
      </c>
      <c r="G945" s="350">
        <v>130957876.07846895</v>
      </c>
      <c r="H945" s="348">
        <v>644733903.04166389</v>
      </c>
      <c r="I945" s="369"/>
      <c r="J945" s="350">
        <v>161284143.10115653</v>
      </c>
      <c r="K945" s="350">
        <v>197383912.42571127</v>
      </c>
      <c r="L945" s="350">
        <v>233970382.34806067</v>
      </c>
      <c r="M945" s="350">
        <v>271103926.44528812</v>
      </c>
      <c r="N945" s="350">
        <v>308793799.49534208</v>
      </c>
      <c r="O945" s="348">
        <v>1172536163.8155587</v>
      </c>
      <c r="P945" s="369"/>
      <c r="Q945" s="350">
        <f t="shared" si="381"/>
        <v>34369447.30731453</v>
      </c>
      <c r="R945" s="350">
        <f t="shared" si="382"/>
        <v>69428262.236956298</v>
      </c>
      <c r="S945" s="350">
        <f t="shared" si="383"/>
        <v>105017395.27374715</v>
      </c>
      <c r="T945" s="350">
        <f t="shared" si="384"/>
        <v>141151232.53900364</v>
      </c>
      <c r="U945" s="350">
        <f t="shared" si="385"/>
        <v>177835923.41687313</v>
      </c>
      <c r="V945" s="350">
        <f t="shared" si="386"/>
        <v>527802260.77389479</v>
      </c>
      <c r="W945" s="365"/>
      <c r="X945" s="377">
        <f t="shared" si="364"/>
        <v>0</v>
      </c>
      <c r="Y945" s="377">
        <f t="shared" si="365"/>
        <v>0</v>
      </c>
      <c r="Z945" s="377">
        <f t="shared" si="366"/>
        <v>0</v>
      </c>
      <c r="AA945" s="377">
        <f t="shared" si="367"/>
        <v>0</v>
      </c>
      <c r="AB945" s="377">
        <f t="shared" si="368"/>
        <v>0</v>
      </c>
      <c r="AC945" s="377">
        <f t="shared" si="369"/>
        <v>0</v>
      </c>
      <c r="AD945" s="376"/>
      <c r="AE945" s="332">
        <v>930</v>
      </c>
      <c r="AF945" s="350">
        <v>143825146.28413993</v>
      </c>
      <c r="AG945" s="350">
        <v>145004800.20197052</v>
      </c>
      <c r="AH945" s="350">
        <v>146135024.8978799</v>
      </c>
      <c r="AI945" s="350">
        <v>147267935.31814384</v>
      </c>
      <c r="AJ945" s="350">
        <v>148407050.62746531</v>
      </c>
      <c r="AK945" s="348">
        <v>730639957.32959938</v>
      </c>
      <c r="AL945" s="369"/>
      <c r="AM945" s="350">
        <v>177876266.72598499</v>
      </c>
      <c r="AN945" s="350">
        <v>213788306.71288216</v>
      </c>
      <c r="AO945" s="350">
        <v>250176297.05629975</v>
      </c>
      <c r="AP945" s="350">
        <v>287106605.48539943</v>
      </c>
      <c r="AQ945" s="350">
        <v>324588843.33185798</v>
      </c>
      <c r="AR945" s="348">
        <v>1253536319.3124242</v>
      </c>
      <c r="AS945" s="369"/>
      <c r="AT945" s="350">
        <f t="shared" si="387"/>
        <v>34051120.441845059</v>
      </c>
      <c r="AU945" s="350">
        <f t="shared" si="370"/>
        <v>68783506.510911644</v>
      </c>
      <c r="AV945" s="350">
        <f t="shared" si="371"/>
        <v>104041272.15841985</v>
      </c>
      <c r="AW945" s="350">
        <f t="shared" si="372"/>
        <v>139838670.16725558</v>
      </c>
      <c r="AX945" s="350">
        <f t="shared" si="373"/>
        <v>176181792.70439267</v>
      </c>
      <c r="AY945" s="350">
        <f t="shared" si="374"/>
        <v>522896361.9828248</v>
      </c>
      <c r="AZ945" s="365"/>
      <c r="BA945" s="377">
        <f t="shared" si="375"/>
        <v>0</v>
      </c>
      <c r="BB945" s="377">
        <f t="shared" si="376"/>
        <v>0</v>
      </c>
      <c r="BC945" s="377">
        <f t="shared" si="377"/>
        <v>0</v>
      </c>
      <c r="BD945" s="377">
        <f t="shared" si="378"/>
        <v>0</v>
      </c>
      <c r="BE945" s="377">
        <f t="shared" si="379"/>
        <v>0</v>
      </c>
      <c r="BF945" s="377">
        <f t="shared" si="380"/>
        <v>0</v>
      </c>
      <c r="BG945" s="328"/>
    </row>
    <row r="946" spans="2:59">
      <c r="B946" s="332">
        <v>931</v>
      </c>
      <c r="C946" s="350">
        <v>134485001.46942711</v>
      </c>
      <c r="D946" s="350">
        <v>135588047.51507089</v>
      </c>
      <c r="E946" s="350">
        <v>136644874.32051611</v>
      </c>
      <c r="F946" s="350">
        <v>137704212.43676546</v>
      </c>
      <c r="G946" s="350">
        <v>138769352.49054503</v>
      </c>
      <c r="H946" s="348">
        <v>683191488.2323246</v>
      </c>
      <c r="I946" s="369"/>
      <c r="J946" s="350">
        <v>168871245.28689319</v>
      </c>
      <c r="K946" s="350">
        <v>205037821.97589749</v>
      </c>
      <c r="L946" s="350">
        <v>241688563.12398008</v>
      </c>
      <c r="M946" s="350">
        <v>278886591.74403793</v>
      </c>
      <c r="N946" s="350">
        <v>316641348.95671451</v>
      </c>
      <c r="O946" s="348">
        <v>1211125571.087523</v>
      </c>
      <c r="P946" s="369"/>
      <c r="Q946" s="350">
        <f t="shared" si="381"/>
        <v>34386243.81746608</v>
      </c>
      <c r="R946" s="350">
        <f t="shared" si="382"/>
        <v>69449774.460826606</v>
      </c>
      <c r="S946" s="350">
        <f t="shared" si="383"/>
        <v>105043688.80346397</v>
      </c>
      <c r="T946" s="350">
        <f t="shared" si="384"/>
        <v>141182379.30727246</v>
      </c>
      <c r="U946" s="350">
        <f t="shared" si="385"/>
        <v>177871996.46616948</v>
      </c>
      <c r="V946" s="350">
        <f t="shared" si="386"/>
        <v>527934082.85519838</v>
      </c>
      <c r="W946" s="365"/>
      <c r="X946" s="377">
        <f t="shared" si="364"/>
        <v>0</v>
      </c>
      <c r="Y946" s="377">
        <f t="shared" si="365"/>
        <v>0</v>
      </c>
      <c r="Z946" s="377">
        <f t="shared" si="366"/>
        <v>0</v>
      </c>
      <c r="AA946" s="377">
        <f t="shared" si="367"/>
        <v>0</v>
      </c>
      <c r="AB946" s="377">
        <f t="shared" si="368"/>
        <v>0</v>
      </c>
      <c r="AC946" s="377">
        <f t="shared" si="369"/>
        <v>0</v>
      </c>
      <c r="AD946" s="376"/>
      <c r="AE946" s="332">
        <v>931</v>
      </c>
      <c r="AF946" s="350">
        <v>134073027.77339414</v>
      </c>
      <c r="AG946" s="350">
        <v>135172694.81058821</v>
      </c>
      <c r="AH946" s="350">
        <v>136226284.19297251</v>
      </c>
      <c r="AI946" s="350">
        <v>137282377.19315445</v>
      </c>
      <c r="AJ946" s="350">
        <v>138344254.3575415</v>
      </c>
      <c r="AK946" s="348">
        <v>681098638.32765079</v>
      </c>
      <c r="AL946" s="369"/>
      <c r="AM946" s="350">
        <v>171563794.15698916</v>
      </c>
      <c r="AN946" s="350">
        <v>210883010.85065007</v>
      </c>
      <c r="AO946" s="350">
        <v>250734268.21544126</v>
      </c>
      <c r="AP946" s="350">
        <v>291181838.8564809</v>
      </c>
      <c r="AQ946" s="350">
        <v>332235707.63113725</v>
      </c>
      <c r="AR946" s="348">
        <v>1256598619.7106986</v>
      </c>
      <c r="AS946" s="369"/>
      <c r="AT946" s="350">
        <f t="shared" si="387"/>
        <v>37490766.38359502</v>
      </c>
      <c r="AU946" s="350">
        <f t="shared" si="370"/>
        <v>75710316.040061861</v>
      </c>
      <c r="AV946" s="350">
        <f t="shared" si="371"/>
        <v>114507984.02246875</v>
      </c>
      <c r="AW946" s="350">
        <f t="shared" si="372"/>
        <v>153899461.66332644</v>
      </c>
      <c r="AX946" s="350">
        <f t="shared" si="373"/>
        <v>193891453.27359575</v>
      </c>
      <c r="AY946" s="350">
        <f t="shared" si="374"/>
        <v>575499981.38304782</v>
      </c>
      <c r="AZ946" s="365"/>
      <c r="BA946" s="377">
        <f t="shared" si="375"/>
        <v>0</v>
      </c>
      <c r="BB946" s="377">
        <f t="shared" si="376"/>
        <v>0</v>
      </c>
      <c r="BC946" s="377">
        <f t="shared" si="377"/>
        <v>0</v>
      </c>
      <c r="BD946" s="377">
        <f t="shared" si="378"/>
        <v>0</v>
      </c>
      <c r="BE946" s="377">
        <f t="shared" si="379"/>
        <v>0</v>
      </c>
      <c r="BF946" s="377">
        <f t="shared" si="380"/>
        <v>0</v>
      </c>
      <c r="BG946" s="328"/>
    </row>
    <row r="947" spans="2:59">
      <c r="B947" s="332">
        <v>932</v>
      </c>
      <c r="C947" s="350">
        <v>118588738.96494611</v>
      </c>
      <c r="D947" s="350">
        <v>119561403.85801154</v>
      </c>
      <c r="E947" s="350">
        <v>120493312.67157984</v>
      </c>
      <c r="F947" s="350">
        <v>121427435.95648807</v>
      </c>
      <c r="G947" s="350">
        <v>122366675.38407205</v>
      </c>
      <c r="H947" s="348">
        <v>602437566.83509755</v>
      </c>
      <c r="I947" s="369"/>
      <c r="J947" s="350">
        <v>153086926.5637733</v>
      </c>
      <c r="K947" s="350">
        <v>189226858.53361568</v>
      </c>
      <c r="L947" s="350">
        <v>225857982.46330458</v>
      </c>
      <c r="M947" s="350">
        <v>263037707.64141038</v>
      </c>
      <c r="N947" s="350">
        <v>300775104.66665936</v>
      </c>
      <c r="O947" s="348">
        <v>1131984579.8687632</v>
      </c>
      <c r="P947" s="369"/>
      <c r="Q947" s="350">
        <f t="shared" si="381"/>
        <v>34498187.598827198</v>
      </c>
      <c r="R947" s="350">
        <f t="shared" si="382"/>
        <v>69665454.675604135</v>
      </c>
      <c r="S947" s="350">
        <f t="shared" si="383"/>
        <v>105364669.79172474</v>
      </c>
      <c r="T947" s="350">
        <f t="shared" si="384"/>
        <v>141610271.68492231</v>
      </c>
      <c r="U947" s="350">
        <f t="shared" si="385"/>
        <v>178408429.28258729</v>
      </c>
      <c r="V947" s="350">
        <f t="shared" si="386"/>
        <v>529547013.03366566</v>
      </c>
      <c r="W947" s="365"/>
      <c r="X947" s="377">
        <f t="shared" si="364"/>
        <v>0</v>
      </c>
      <c r="Y947" s="377">
        <f t="shared" si="365"/>
        <v>0</v>
      </c>
      <c r="Z947" s="377">
        <f t="shared" si="366"/>
        <v>0</v>
      </c>
      <c r="AA947" s="377">
        <f t="shared" si="367"/>
        <v>0</v>
      </c>
      <c r="AB947" s="377">
        <f t="shared" si="368"/>
        <v>0</v>
      </c>
      <c r="AC947" s="377">
        <f t="shared" si="369"/>
        <v>0</v>
      </c>
      <c r="AD947" s="376"/>
      <c r="AE947" s="332">
        <v>932</v>
      </c>
      <c r="AF947" s="350">
        <v>148547181.25517732</v>
      </c>
      <c r="AG947" s="350">
        <v>149765565.30607316</v>
      </c>
      <c r="AH947" s="350">
        <v>150932897.28591096</v>
      </c>
      <c r="AI947" s="350">
        <v>152103003.16720349</v>
      </c>
      <c r="AJ947" s="350">
        <v>153279517.65508053</v>
      </c>
      <c r="AK947" s="348">
        <v>754628164.66944551</v>
      </c>
      <c r="AL947" s="369"/>
      <c r="AM947" s="350">
        <v>187303967.77456164</v>
      </c>
      <c r="AN947" s="350">
        <v>228042341.58710802</v>
      </c>
      <c r="AO947" s="350">
        <v>269327456.96947289</v>
      </c>
      <c r="AP947" s="350">
        <v>311229361.65004247</v>
      </c>
      <c r="AQ947" s="350">
        <v>353758622.53917861</v>
      </c>
      <c r="AR947" s="348">
        <v>1349661750.5203636</v>
      </c>
      <c r="AS947" s="369"/>
      <c r="AT947" s="350">
        <f t="shared" si="387"/>
        <v>38756786.519384325</v>
      </c>
      <c r="AU947" s="350">
        <f t="shared" si="370"/>
        <v>78276776.281034857</v>
      </c>
      <c r="AV947" s="350">
        <f t="shared" si="371"/>
        <v>118394559.68356192</v>
      </c>
      <c r="AW947" s="350">
        <f t="shared" si="372"/>
        <v>159126358.48283899</v>
      </c>
      <c r="AX947" s="350">
        <f t="shared" si="373"/>
        <v>200479104.88409808</v>
      </c>
      <c r="AY947" s="350">
        <f t="shared" si="374"/>
        <v>595033585.85091805</v>
      </c>
      <c r="AZ947" s="365"/>
      <c r="BA947" s="377">
        <f t="shared" si="375"/>
        <v>0</v>
      </c>
      <c r="BB947" s="377">
        <f t="shared" si="376"/>
        <v>0</v>
      </c>
      <c r="BC947" s="377">
        <f t="shared" si="377"/>
        <v>0</v>
      </c>
      <c r="BD947" s="377">
        <f t="shared" si="378"/>
        <v>0</v>
      </c>
      <c r="BE947" s="377">
        <f t="shared" si="379"/>
        <v>0</v>
      </c>
      <c r="BF947" s="377">
        <f t="shared" si="380"/>
        <v>0</v>
      </c>
      <c r="BG947" s="328"/>
    </row>
    <row r="948" spans="2:59">
      <c r="B948" s="332">
        <v>933</v>
      </c>
      <c r="C948" s="350">
        <v>121589464.04369229</v>
      </c>
      <c r="D948" s="350">
        <v>122586740.8852725</v>
      </c>
      <c r="E948" s="350">
        <v>123542230.37076952</v>
      </c>
      <c r="F948" s="350">
        <v>124499990.36176075</v>
      </c>
      <c r="G948" s="350">
        <v>125462995.95238769</v>
      </c>
      <c r="H948" s="348">
        <v>617681421.61388278</v>
      </c>
      <c r="I948" s="369"/>
      <c r="J948" s="350">
        <v>148052052.82100752</v>
      </c>
      <c r="K948" s="350">
        <v>176036712.13712099</v>
      </c>
      <c r="L948" s="350">
        <v>204387806.69908825</v>
      </c>
      <c r="M948" s="350">
        <v>233160470.56025466</v>
      </c>
      <c r="N948" s="350">
        <v>262362412.59013835</v>
      </c>
      <c r="O948" s="348">
        <v>1023999454.8076098</v>
      </c>
      <c r="P948" s="369"/>
      <c r="Q948" s="350">
        <f t="shared" si="381"/>
        <v>26462588.777315229</v>
      </c>
      <c r="R948" s="350">
        <f t="shared" si="382"/>
        <v>53449971.251848489</v>
      </c>
      <c r="S948" s="350">
        <f t="shared" si="383"/>
        <v>80845576.32831873</v>
      </c>
      <c r="T948" s="350">
        <f t="shared" si="384"/>
        <v>108660480.19849391</v>
      </c>
      <c r="U948" s="350">
        <f t="shared" si="385"/>
        <v>136899416.63775066</v>
      </c>
      <c r="V948" s="350">
        <f t="shared" si="386"/>
        <v>406318033.19372702</v>
      </c>
      <c r="W948" s="365"/>
      <c r="X948" s="377">
        <f t="shared" si="364"/>
        <v>0</v>
      </c>
      <c r="Y948" s="377">
        <f t="shared" si="365"/>
        <v>0</v>
      </c>
      <c r="Z948" s="377">
        <f t="shared" si="366"/>
        <v>0</v>
      </c>
      <c r="AA948" s="377">
        <f t="shared" si="367"/>
        <v>0</v>
      </c>
      <c r="AB948" s="377">
        <f t="shared" si="368"/>
        <v>0</v>
      </c>
      <c r="AC948" s="377">
        <f t="shared" si="369"/>
        <v>0</v>
      </c>
      <c r="AD948" s="376"/>
      <c r="AE948" s="332">
        <v>933</v>
      </c>
      <c r="AF948" s="350">
        <v>137768776.47541264</v>
      </c>
      <c r="AG948" s="350">
        <v>138898756.04520825</v>
      </c>
      <c r="AH948" s="350">
        <v>139981387.82080969</v>
      </c>
      <c r="AI948" s="350">
        <v>141066592.22691303</v>
      </c>
      <c r="AJ948" s="350">
        <v>142157740.23881626</v>
      </c>
      <c r="AK948" s="348">
        <v>699873252.8071599</v>
      </c>
      <c r="AL948" s="369"/>
      <c r="AM948" s="350">
        <v>175640738.95619389</v>
      </c>
      <c r="AN948" s="350">
        <v>215381591.26834005</v>
      </c>
      <c r="AO948" s="350">
        <v>255659134.61834854</v>
      </c>
      <c r="AP948" s="350">
        <v>296539140.4596684</v>
      </c>
      <c r="AQ948" s="350">
        <v>338031752.66091692</v>
      </c>
      <c r="AR948" s="348">
        <v>1281252357.9634676</v>
      </c>
      <c r="AS948" s="369"/>
      <c r="AT948" s="350">
        <f t="shared" si="387"/>
        <v>37871962.480781257</v>
      </c>
      <c r="AU948" s="350">
        <f t="shared" si="370"/>
        <v>76482835.223131806</v>
      </c>
      <c r="AV948" s="350">
        <f t="shared" si="371"/>
        <v>115677746.79753885</v>
      </c>
      <c r="AW948" s="350">
        <f t="shared" si="372"/>
        <v>155472548.23275536</v>
      </c>
      <c r="AX948" s="350">
        <f t="shared" si="373"/>
        <v>195874012.42210066</v>
      </c>
      <c r="AY948" s="350">
        <f t="shared" si="374"/>
        <v>581379105.1563077</v>
      </c>
      <c r="AZ948" s="365"/>
      <c r="BA948" s="377">
        <f t="shared" si="375"/>
        <v>0</v>
      </c>
      <c r="BB948" s="377">
        <f t="shared" si="376"/>
        <v>0</v>
      </c>
      <c r="BC948" s="377">
        <f t="shared" si="377"/>
        <v>0</v>
      </c>
      <c r="BD948" s="377">
        <f t="shared" si="378"/>
        <v>0</v>
      </c>
      <c r="BE948" s="377">
        <f t="shared" si="379"/>
        <v>0</v>
      </c>
      <c r="BF948" s="377">
        <f t="shared" si="380"/>
        <v>0</v>
      </c>
      <c r="BG948" s="328"/>
    </row>
    <row r="949" spans="2:59">
      <c r="B949" s="332">
        <v>934</v>
      </c>
      <c r="C949" s="350">
        <v>124119268.99854955</v>
      </c>
      <c r="D949" s="350">
        <v>125137295.30156572</v>
      </c>
      <c r="E949" s="350">
        <v>126112664.8157621</v>
      </c>
      <c r="F949" s="350">
        <v>127090352.07586193</v>
      </c>
      <c r="G949" s="350">
        <v>128073394.07617195</v>
      </c>
      <c r="H949" s="348">
        <v>630532975.26791131</v>
      </c>
      <c r="I949" s="369"/>
      <c r="J949" s="350">
        <v>153426046.75847819</v>
      </c>
      <c r="K949" s="350">
        <v>184337740.47355238</v>
      </c>
      <c r="L949" s="350">
        <v>215658964.33273777</v>
      </c>
      <c r="M949" s="350">
        <v>247446959.84364444</v>
      </c>
      <c r="N949" s="350">
        <v>279710007.42906982</v>
      </c>
      <c r="O949" s="348">
        <v>1080579718.8374825</v>
      </c>
      <c r="P949" s="369"/>
      <c r="Q949" s="350">
        <f t="shared" si="381"/>
        <v>29306777.759928644</v>
      </c>
      <c r="R949" s="350">
        <f t="shared" si="382"/>
        <v>59200445.171986654</v>
      </c>
      <c r="S949" s="350">
        <f t="shared" si="383"/>
        <v>89546299.516975671</v>
      </c>
      <c r="T949" s="350">
        <f t="shared" si="384"/>
        <v>120356607.76778251</v>
      </c>
      <c r="U949" s="350">
        <f t="shared" si="385"/>
        <v>151636613.35289788</v>
      </c>
      <c r="V949" s="350">
        <f t="shared" si="386"/>
        <v>450046743.56957114</v>
      </c>
      <c r="W949" s="365"/>
      <c r="X949" s="377">
        <f t="shared" si="364"/>
        <v>0</v>
      </c>
      <c r="Y949" s="377">
        <f t="shared" si="365"/>
        <v>0</v>
      </c>
      <c r="Z949" s="377">
        <f t="shared" si="366"/>
        <v>0</v>
      </c>
      <c r="AA949" s="377">
        <f t="shared" si="367"/>
        <v>0</v>
      </c>
      <c r="AB949" s="377">
        <f t="shared" si="368"/>
        <v>0</v>
      </c>
      <c r="AC949" s="377">
        <f t="shared" si="369"/>
        <v>0</v>
      </c>
      <c r="AD949" s="376"/>
      <c r="AE949" s="332">
        <v>934</v>
      </c>
      <c r="AF949" s="350">
        <v>129718622.44207104</v>
      </c>
      <c r="AG949" s="350">
        <v>130782574.64467865</v>
      </c>
      <c r="AH949" s="350">
        <v>131801945.69620346</v>
      </c>
      <c r="AI949" s="350">
        <v>132823739.05337188</v>
      </c>
      <c r="AJ949" s="350">
        <v>133851128.71745697</v>
      </c>
      <c r="AK949" s="348">
        <v>658978010.55378199</v>
      </c>
      <c r="AL949" s="369"/>
      <c r="AM949" s="350">
        <v>161408536.36277506</v>
      </c>
      <c r="AN949" s="350">
        <v>194798062.59865043</v>
      </c>
      <c r="AO949" s="350">
        <v>228631981.36594433</v>
      </c>
      <c r="AP949" s="350">
        <v>262970560.66455662</v>
      </c>
      <c r="AQ949" s="350">
        <v>297822644.46330023</v>
      </c>
      <c r="AR949" s="348">
        <v>1145631785.4552267</v>
      </c>
      <c r="AS949" s="369"/>
      <c r="AT949" s="350">
        <f t="shared" si="387"/>
        <v>31689913.920704022</v>
      </c>
      <c r="AU949" s="350">
        <f t="shared" si="370"/>
        <v>64015487.953971773</v>
      </c>
      <c r="AV949" s="350">
        <f t="shared" si="371"/>
        <v>96830035.669740871</v>
      </c>
      <c r="AW949" s="350">
        <f t="shared" si="372"/>
        <v>130146821.61118475</v>
      </c>
      <c r="AX949" s="350">
        <f t="shared" si="373"/>
        <v>163971515.74584326</v>
      </c>
      <c r="AY949" s="350">
        <f t="shared" si="374"/>
        <v>486653774.90144467</v>
      </c>
      <c r="AZ949" s="365"/>
      <c r="BA949" s="377">
        <f t="shared" si="375"/>
        <v>0</v>
      </c>
      <c r="BB949" s="377">
        <f t="shared" si="376"/>
        <v>0</v>
      </c>
      <c r="BC949" s="377">
        <f t="shared" si="377"/>
        <v>0</v>
      </c>
      <c r="BD949" s="377">
        <f t="shared" si="378"/>
        <v>0</v>
      </c>
      <c r="BE949" s="377">
        <f t="shared" si="379"/>
        <v>0</v>
      </c>
      <c r="BF949" s="377">
        <f t="shared" si="380"/>
        <v>0</v>
      </c>
      <c r="BG949" s="328"/>
    </row>
    <row r="950" spans="2:59">
      <c r="B950" s="332">
        <v>935</v>
      </c>
      <c r="C950" s="350">
        <v>122956646.46068178</v>
      </c>
      <c r="D950" s="350">
        <v>123965136.93309262</v>
      </c>
      <c r="E950" s="350">
        <v>124931370.18191212</v>
      </c>
      <c r="F950" s="350">
        <v>125899899.46635878</v>
      </c>
      <c r="G950" s="350">
        <v>126873733.33327858</v>
      </c>
      <c r="H950" s="348">
        <v>624626786.37532389</v>
      </c>
      <c r="I950" s="369"/>
      <c r="J950" s="350">
        <v>162883495.85523084</v>
      </c>
      <c r="K950" s="350">
        <v>204584195.36812758</v>
      </c>
      <c r="L950" s="350">
        <v>246858153.05291212</v>
      </c>
      <c r="M950" s="350">
        <v>289766632.49714786</v>
      </c>
      <c r="N950" s="350">
        <v>333319780.5475114</v>
      </c>
      <c r="O950" s="348">
        <v>1237412257.3209298</v>
      </c>
      <c r="P950" s="369"/>
      <c r="Q950" s="350">
        <f t="shared" si="381"/>
        <v>39926849.394549057</v>
      </c>
      <c r="R950" s="350">
        <f t="shared" si="382"/>
        <v>80619058.435034961</v>
      </c>
      <c r="S950" s="350">
        <f t="shared" si="383"/>
        <v>121926782.87099999</v>
      </c>
      <c r="T950" s="350">
        <f t="shared" si="384"/>
        <v>163866733.03078908</v>
      </c>
      <c r="U950" s="350">
        <f t="shared" si="385"/>
        <v>206446047.2142328</v>
      </c>
      <c r="V950" s="350">
        <f t="shared" si="386"/>
        <v>612785470.94560587</v>
      </c>
      <c r="W950" s="365"/>
      <c r="X950" s="377">
        <f t="shared" si="364"/>
        <v>0</v>
      </c>
      <c r="Y950" s="377">
        <f t="shared" si="365"/>
        <v>0</v>
      </c>
      <c r="Z950" s="377">
        <f t="shared" si="366"/>
        <v>0</v>
      </c>
      <c r="AA950" s="377">
        <f t="shared" si="367"/>
        <v>0</v>
      </c>
      <c r="AB950" s="377">
        <f t="shared" si="368"/>
        <v>0</v>
      </c>
      <c r="AC950" s="377">
        <f t="shared" si="369"/>
        <v>0</v>
      </c>
      <c r="AD950" s="376"/>
      <c r="AE950" s="332">
        <v>935</v>
      </c>
      <c r="AF950" s="350">
        <v>126728846.5045301</v>
      </c>
      <c r="AG950" s="350">
        <v>127768276.56348428</v>
      </c>
      <c r="AH950" s="350">
        <v>128764152.98498683</v>
      </c>
      <c r="AI950" s="350">
        <v>129762395.88243797</v>
      </c>
      <c r="AJ950" s="350">
        <v>130766106.10221249</v>
      </c>
      <c r="AK950" s="348">
        <v>643789778.03765178</v>
      </c>
      <c r="AL950" s="369"/>
      <c r="AM950" s="350">
        <v>160313494.76723927</v>
      </c>
      <c r="AN950" s="350">
        <v>195588313.06958762</v>
      </c>
      <c r="AO950" s="350">
        <v>231337429.67613602</v>
      </c>
      <c r="AP950" s="350">
        <v>267620821.05425751</v>
      </c>
      <c r="AQ950" s="350">
        <v>304447593.52472967</v>
      </c>
      <c r="AR950" s="348">
        <v>1159307652.0919502</v>
      </c>
      <c r="AS950" s="369"/>
      <c r="AT950" s="350">
        <f t="shared" si="387"/>
        <v>33584648.262709171</v>
      </c>
      <c r="AU950" s="350">
        <f t="shared" si="370"/>
        <v>67820036.506103337</v>
      </c>
      <c r="AV950" s="350">
        <f t="shared" si="371"/>
        <v>102573276.69114919</v>
      </c>
      <c r="AW950" s="350">
        <f t="shared" si="372"/>
        <v>137858425.17181954</v>
      </c>
      <c r="AX950" s="350">
        <f t="shared" si="373"/>
        <v>173681487.42251718</v>
      </c>
      <c r="AY950" s="350">
        <f t="shared" si="374"/>
        <v>515517874.0542984</v>
      </c>
      <c r="AZ950" s="365"/>
      <c r="BA950" s="377">
        <f t="shared" si="375"/>
        <v>0</v>
      </c>
      <c r="BB950" s="377">
        <f t="shared" si="376"/>
        <v>0</v>
      </c>
      <c r="BC950" s="377">
        <f t="shared" si="377"/>
        <v>0</v>
      </c>
      <c r="BD950" s="377">
        <f t="shared" si="378"/>
        <v>0</v>
      </c>
      <c r="BE950" s="377">
        <f t="shared" si="379"/>
        <v>0</v>
      </c>
      <c r="BF950" s="377">
        <f t="shared" si="380"/>
        <v>0</v>
      </c>
      <c r="BG950" s="328"/>
    </row>
    <row r="951" spans="2:59">
      <c r="B951" s="332">
        <v>936</v>
      </c>
      <c r="C951" s="350">
        <v>135524947.61424178</v>
      </c>
      <c r="D951" s="350">
        <v>136636523.29865703</v>
      </c>
      <c r="E951" s="350">
        <v>137701522.33855256</v>
      </c>
      <c r="F951" s="350">
        <v>138769052.10872626</v>
      </c>
      <c r="G951" s="350">
        <v>139842428.68167537</v>
      </c>
      <c r="H951" s="348">
        <v>688474474.04185295</v>
      </c>
      <c r="I951" s="369"/>
      <c r="J951" s="350">
        <v>169233255.68510306</v>
      </c>
      <c r="K951" s="350">
        <v>204734522.76072428</v>
      </c>
      <c r="L951" s="350">
        <v>240709412.22292295</v>
      </c>
      <c r="M951" s="350">
        <v>277221141.12599677</v>
      </c>
      <c r="N951" s="350">
        <v>314279057.44093019</v>
      </c>
      <c r="O951" s="348">
        <v>1206177389.2356772</v>
      </c>
      <c r="P951" s="369"/>
      <c r="Q951" s="350">
        <f t="shared" si="381"/>
        <v>33708308.07086128</v>
      </c>
      <c r="R951" s="350">
        <f t="shared" si="382"/>
        <v>68097999.462067246</v>
      </c>
      <c r="S951" s="350">
        <f t="shared" si="383"/>
        <v>103007889.88437039</v>
      </c>
      <c r="T951" s="350">
        <f t="shared" si="384"/>
        <v>138452089.01727051</v>
      </c>
      <c r="U951" s="350">
        <f t="shared" si="385"/>
        <v>174436628.75925481</v>
      </c>
      <c r="V951" s="350">
        <f t="shared" si="386"/>
        <v>517702915.19382429</v>
      </c>
      <c r="W951" s="365"/>
      <c r="X951" s="377">
        <f t="shared" si="364"/>
        <v>0</v>
      </c>
      <c r="Y951" s="377">
        <f t="shared" si="365"/>
        <v>0</v>
      </c>
      <c r="Z951" s="377">
        <f t="shared" si="366"/>
        <v>0</v>
      </c>
      <c r="AA951" s="377">
        <f t="shared" si="367"/>
        <v>0</v>
      </c>
      <c r="AB951" s="377">
        <f t="shared" si="368"/>
        <v>0</v>
      </c>
      <c r="AC951" s="377">
        <f t="shared" si="369"/>
        <v>0</v>
      </c>
      <c r="AD951" s="376"/>
      <c r="AE951" s="332">
        <v>936</v>
      </c>
      <c r="AF951" s="350">
        <v>132995779.45469937</v>
      </c>
      <c r="AG951" s="350">
        <v>134086610.90067413</v>
      </c>
      <c r="AH951" s="350">
        <v>135131734.9160147</v>
      </c>
      <c r="AI951" s="350">
        <v>136179342.43311527</v>
      </c>
      <c r="AJ951" s="350">
        <v>137232687.63988942</v>
      </c>
      <c r="AK951" s="348">
        <v>675626155.34439278</v>
      </c>
      <c r="AL951" s="369"/>
      <c r="AM951" s="350">
        <v>164994504.36169186</v>
      </c>
      <c r="AN951" s="350">
        <v>198729464.80351508</v>
      </c>
      <c r="AO951" s="350">
        <v>232912511.76844051</v>
      </c>
      <c r="AP951" s="350">
        <v>267605230.18921864</v>
      </c>
      <c r="AQ951" s="350">
        <v>302816600.0156644</v>
      </c>
      <c r="AR951" s="348">
        <v>1167058311.1385305</v>
      </c>
      <c r="AS951" s="369"/>
      <c r="AT951" s="350">
        <f t="shared" si="387"/>
        <v>31998724.906992495</v>
      </c>
      <c r="AU951" s="350">
        <f t="shared" si="370"/>
        <v>64642853.902840942</v>
      </c>
      <c r="AV951" s="350">
        <f t="shared" si="371"/>
        <v>97780776.852425814</v>
      </c>
      <c r="AW951" s="350">
        <f t="shared" si="372"/>
        <v>131425887.75610337</v>
      </c>
      <c r="AX951" s="350">
        <f t="shared" si="373"/>
        <v>165583912.37577498</v>
      </c>
      <c r="AY951" s="350">
        <f t="shared" si="374"/>
        <v>491432155.79413772</v>
      </c>
      <c r="AZ951" s="365"/>
      <c r="BA951" s="377">
        <f t="shared" si="375"/>
        <v>0</v>
      </c>
      <c r="BB951" s="377">
        <f t="shared" si="376"/>
        <v>0</v>
      </c>
      <c r="BC951" s="377">
        <f t="shared" si="377"/>
        <v>0</v>
      </c>
      <c r="BD951" s="377">
        <f t="shared" si="378"/>
        <v>0</v>
      </c>
      <c r="BE951" s="377">
        <f t="shared" si="379"/>
        <v>0</v>
      </c>
      <c r="BF951" s="377">
        <f t="shared" si="380"/>
        <v>0</v>
      </c>
      <c r="BG951" s="328"/>
    </row>
    <row r="952" spans="2:59">
      <c r="B952" s="332">
        <v>937</v>
      </c>
      <c r="C952" s="350">
        <v>99708555.696394235</v>
      </c>
      <c r="D952" s="350">
        <v>100526365.31736347</v>
      </c>
      <c r="E952" s="350">
        <v>101309907.52088669</v>
      </c>
      <c r="F952" s="350">
        <v>102095311.6359275</v>
      </c>
      <c r="G952" s="350">
        <v>102885017.36679955</v>
      </c>
      <c r="H952" s="348">
        <v>506525157.5373714</v>
      </c>
      <c r="I952" s="369"/>
      <c r="J952" s="350">
        <v>129458935.28691258</v>
      </c>
      <c r="K952" s="350">
        <v>160638771.91845834</v>
      </c>
      <c r="L952" s="350">
        <v>192243620.0511387</v>
      </c>
      <c r="M952" s="350">
        <v>224322062.54780507</v>
      </c>
      <c r="N952" s="350">
        <v>256881864.33146802</v>
      </c>
      <c r="O952" s="348">
        <v>963545254.1357826</v>
      </c>
      <c r="P952" s="369"/>
      <c r="Q952" s="350">
        <f t="shared" si="381"/>
        <v>29750379.59051834</v>
      </c>
      <c r="R952" s="350">
        <f t="shared" si="382"/>
        <v>60112406.601094872</v>
      </c>
      <c r="S952" s="350">
        <f t="shared" si="383"/>
        <v>90933712.53025201</v>
      </c>
      <c r="T952" s="350">
        <f t="shared" si="384"/>
        <v>122226750.91187757</v>
      </c>
      <c r="U952" s="350">
        <f t="shared" si="385"/>
        <v>153996846.96466845</v>
      </c>
      <c r="V952" s="350">
        <f t="shared" si="386"/>
        <v>457020096.5984112</v>
      </c>
      <c r="W952" s="365"/>
      <c r="X952" s="377">
        <f t="shared" si="364"/>
        <v>0</v>
      </c>
      <c r="Y952" s="377">
        <f t="shared" si="365"/>
        <v>0</v>
      </c>
      <c r="Z952" s="377">
        <f t="shared" si="366"/>
        <v>0</v>
      </c>
      <c r="AA952" s="377">
        <f t="shared" si="367"/>
        <v>0</v>
      </c>
      <c r="AB952" s="377">
        <f t="shared" si="368"/>
        <v>0</v>
      </c>
      <c r="AC952" s="377">
        <f t="shared" si="369"/>
        <v>0</v>
      </c>
      <c r="AD952" s="376"/>
      <c r="AE952" s="332">
        <v>937</v>
      </c>
      <c r="AF952" s="350">
        <v>128600954.92780808</v>
      </c>
      <c r="AG952" s="350">
        <v>129655740.02093521</v>
      </c>
      <c r="AH952" s="350">
        <v>130666328.07825443</v>
      </c>
      <c r="AI952" s="350">
        <v>131679317.57041025</v>
      </c>
      <c r="AJ952" s="350">
        <v>132697855.15119062</v>
      </c>
      <c r="AK952" s="348">
        <v>653300195.74859858</v>
      </c>
      <c r="AL952" s="369"/>
      <c r="AM952" s="350">
        <v>163824112.98251918</v>
      </c>
      <c r="AN952" s="350">
        <v>200781783.24512574</v>
      </c>
      <c r="AO952" s="350">
        <v>238238330.05831027</v>
      </c>
      <c r="AP952" s="350">
        <v>276255093.86713797</v>
      </c>
      <c r="AQ952" s="350">
        <v>314841519.37024391</v>
      </c>
      <c r="AR952" s="348">
        <v>1193940839.5233369</v>
      </c>
      <c r="AS952" s="369"/>
      <c r="AT952" s="350">
        <f t="shared" si="387"/>
        <v>35223158.054711103</v>
      </c>
      <c r="AU952" s="350">
        <f t="shared" si="370"/>
        <v>71126043.224190533</v>
      </c>
      <c r="AV952" s="350">
        <f t="shared" si="371"/>
        <v>107572001.98005584</v>
      </c>
      <c r="AW952" s="350">
        <f t="shared" si="372"/>
        <v>144575776.29672772</v>
      </c>
      <c r="AX952" s="350">
        <f t="shared" si="373"/>
        <v>182143664.21905327</v>
      </c>
      <c r="AY952" s="350">
        <f t="shared" si="374"/>
        <v>540640643.77473831</v>
      </c>
      <c r="AZ952" s="365"/>
      <c r="BA952" s="377">
        <f t="shared" si="375"/>
        <v>0</v>
      </c>
      <c r="BB952" s="377">
        <f t="shared" si="376"/>
        <v>0</v>
      </c>
      <c r="BC952" s="377">
        <f t="shared" si="377"/>
        <v>0</v>
      </c>
      <c r="BD952" s="377">
        <f t="shared" si="378"/>
        <v>0</v>
      </c>
      <c r="BE952" s="377">
        <f t="shared" si="379"/>
        <v>0</v>
      </c>
      <c r="BF952" s="377">
        <f t="shared" si="380"/>
        <v>0</v>
      </c>
      <c r="BG952" s="328"/>
    </row>
    <row r="953" spans="2:59">
      <c r="B953" s="332">
        <v>938</v>
      </c>
      <c r="C953" s="350">
        <v>108592630.81700498</v>
      </c>
      <c r="D953" s="350">
        <v>109483307.62631433</v>
      </c>
      <c r="E953" s="350">
        <v>110336663.77657112</v>
      </c>
      <c r="F953" s="350">
        <v>111192047.73546109</v>
      </c>
      <c r="G953" s="350">
        <v>112052116.5859997</v>
      </c>
      <c r="H953" s="348">
        <v>551656766.54135132</v>
      </c>
      <c r="I953" s="369"/>
      <c r="J953" s="350">
        <v>143029954.37117472</v>
      </c>
      <c r="K953" s="350">
        <v>179023760.9522796</v>
      </c>
      <c r="L953" s="350">
        <v>215511223.79022276</v>
      </c>
      <c r="M953" s="350">
        <v>252546104.50033391</v>
      </c>
      <c r="N953" s="350">
        <v>290137217.8899259</v>
      </c>
      <c r="O953" s="348">
        <v>1080248261.5039368</v>
      </c>
      <c r="P953" s="369"/>
      <c r="Q953" s="350">
        <f t="shared" si="381"/>
        <v>34437323.554169744</v>
      </c>
      <c r="R953" s="350">
        <f t="shared" si="382"/>
        <v>69540453.32596527</v>
      </c>
      <c r="S953" s="350">
        <f t="shared" si="383"/>
        <v>105174560.01365164</v>
      </c>
      <c r="T953" s="350">
        <f t="shared" si="384"/>
        <v>141354056.76487282</v>
      </c>
      <c r="U953" s="350">
        <f t="shared" si="385"/>
        <v>178085101.3039262</v>
      </c>
      <c r="V953" s="350">
        <f t="shared" si="386"/>
        <v>528591494.96258545</v>
      </c>
      <c r="W953" s="365"/>
      <c r="X953" s="377">
        <f t="shared" si="364"/>
        <v>0</v>
      </c>
      <c r="Y953" s="377">
        <f t="shared" si="365"/>
        <v>0</v>
      </c>
      <c r="Z953" s="377">
        <f t="shared" si="366"/>
        <v>0</v>
      </c>
      <c r="AA953" s="377">
        <f t="shared" si="367"/>
        <v>0</v>
      </c>
      <c r="AB953" s="377">
        <f t="shared" si="368"/>
        <v>0</v>
      </c>
      <c r="AC953" s="377">
        <f t="shared" si="369"/>
        <v>0</v>
      </c>
      <c r="AD953" s="376"/>
      <c r="AE953" s="332">
        <v>938</v>
      </c>
      <c r="AF953" s="350">
        <v>121053029.28969307</v>
      </c>
      <c r="AG953" s="350">
        <v>122045906.29316729</v>
      </c>
      <c r="AH953" s="350">
        <v>122997180.30020052</v>
      </c>
      <c r="AI953" s="350">
        <v>123950714.79559311</v>
      </c>
      <c r="AJ953" s="350">
        <v>124909471.74781066</v>
      </c>
      <c r="AK953" s="348">
        <v>614956302.42646456</v>
      </c>
      <c r="AL953" s="369"/>
      <c r="AM953" s="350">
        <v>150569436.9220039</v>
      </c>
      <c r="AN953" s="350">
        <v>181690798.21492937</v>
      </c>
      <c r="AO953" s="350">
        <v>213226305.10752052</v>
      </c>
      <c r="AP953" s="350">
        <v>245232176.96874169</v>
      </c>
      <c r="AQ953" s="350">
        <v>277716659.90532941</v>
      </c>
      <c r="AR953" s="348">
        <v>1068435377.1185248</v>
      </c>
      <c r="AS953" s="369"/>
      <c r="AT953" s="350">
        <f t="shared" si="387"/>
        <v>29516407.632310823</v>
      </c>
      <c r="AU953" s="350">
        <f t="shared" si="370"/>
        <v>59644891.921762079</v>
      </c>
      <c r="AV953" s="350">
        <f t="shared" si="371"/>
        <v>90229124.807319999</v>
      </c>
      <c r="AW953" s="350">
        <f t="shared" si="372"/>
        <v>121281462.17314857</v>
      </c>
      <c r="AX953" s="350">
        <f t="shared" si="373"/>
        <v>152807188.15751874</v>
      </c>
      <c r="AY953" s="350">
        <f t="shared" si="374"/>
        <v>453479074.69206023</v>
      </c>
      <c r="AZ953" s="365"/>
      <c r="BA953" s="377">
        <f t="shared" si="375"/>
        <v>0</v>
      </c>
      <c r="BB953" s="377">
        <f t="shared" si="376"/>
        <v>0</v>
      </c>
      <c r="BC953" s="377">
        <f t="shared" si="377"/>
        <v>0</v>
      </c>
      <c r="BD953" s="377">
        <f t="shared" si="378"/>
        <v>0</v>
      </c>
      <c r="BE953" s="377">
        <f t="shared" si="379"/>
        <v>0</v>
      </c>
      <c r="BF953" s="377">
        <f t="shared" si="380"/>
        <v>0</v>
      </c>
      <c r="BG953" s="328"/>
    </row>
    <row r="954" spans="2:59">
      <c r="B954" s="332">
        <v>939</v>
      </c>
      <c r="C954" s="350">
        <v>114406370.64387995</v>
      </c>
      <c r="D954" s="350">
        <v>115344731.74999835</v>
      </c>
      <c r="E954" s="350">
        <v>116243774.15538985</v>
      </c>
      <c r="F954" s="350">
        <v>117144952.93250695</v>
      </c>
      <c r="G954" s="350">
        <v>118051067.41701365</v>
      </c>
      <c r="H954" s="348">
        <v>581190896.89878869</v>
      </c>
      <c r="I954" s="369"/>
      <c r="J954" s="350">
        <v>140759508.7983509</v>
      </c>
      <c r="K954" s="350">
        <v>168592410.63249099</v>
      </c>
      <c r="L954" s="350">
        <v>196792820.68714988</v>
      </c>
      <c r="M954" s="350">
        <v>225413225.45832902</v>
      </c>
      <c r="N954" s="350">
        <v>254461141.34446567</v>
      </c>
      <c r="O954" s="348">
        <v>986019106.92078662</v>
      </c>
      <c r="P954" s="369"/>
      <c r="Q954" s="350">
        <f t="shared" si="381"/>
        <v>26353138.15447095</v>
      </c>
      <c r="R954" s="350">
        <f t="shared" si="382"/>
        <v>53247678.882492647</v>
      </c>
      <c r="S954" s="350">
        <f t="shared" si="383"/>
        <v>80549046.531760037</v>
      </c>
      <c r="T954" s="350">
        <f t="shared" si="384"/>
        <v>108268272.52582207</v>
      </c>
      <c r="U954" s="350">
        <f t="shared" si="385"/>
        <v>136410073.92745203</v>
      </c>
      <c r="V954" s="350">
        <f t="shared" si="386"/>
        <v>404828210.02199793</v>
      </c>
      <c r="W954" s="365"/>
      <c r="X954" s="377">
        <f t="shared" si="364"/>
        <v>0</v>
      </c>
      <c r="Y954" s="377">
        <f t="shared" si="365"/>
        <v>0</v>
      </c>
      <c r="Z954" s="377">
        <f t="shared" si="366"/>
        <v>0</v>
      </c>
      <c r="AA954" s="377">
        <f t="shared" si="367"/>
        <v>0</v>
      </c>
      <c r="AB954" s="377">
        <f t="shared" si="368"/>
        <v>0</v>
      </c>
      <c r="AC954" s="377">
        <f t="shared" si="369"/>
        <v>0</v>
      </c>
      <c r="AD954" s="376"/>
      <c r="AE954" s="332">
        <v>939</v>
      </c>
      <c r="AF954" s="350">
        <v>158901342.89505136</v>
      </c>
      <c r="AG954" s="350">
        <v>160204651.78461346</v>
      </c>
      <c r="AH954" s="350">
        <v>161453350.12835336</v>
      </c>
      <c r="AI954" s="350">
        <v>162705015.72238022</v>
      </c>
      <c r="AJ954" s="350">
        <v>163963536.62112415</v>
      </c>
      <c r="AK954" s="348">
        <v>807227897.15152252</v>
      </c>
      <c r="AL954" s="369"/>
      <c r="AM954" s="350">
        <v>198963508.2620219</v>
      </c>
      <c r="AN954" s="350">
        <v>241132022.9914493</v>
      </c>
      <c r="AO954" s="350">
        <v>283864075.57509935</v>
      </c>
      <c r="AP954" s="350">
        <v>327234012.71995425</v>
      </c>
      <c r="AQ954" s="350">
        <v>371252890.32841134</v>
      </c>
      <c r="AR954" s="348">
        <v>1422446509.8769362</v>
      </c>
      <c r="AS954" s="369"/>
      <c r="AT954" s="350">
        <f t="shared" si="387"/>
        <v>40062165.366970539</v>
      </c>
      <c r="AU954" s="350">
        <f t="shared" si="370"/>
        <v>80927371.206835836</v>
      </c>
      <c r="AV954" s="350">
        <f t="shared" si="371"/>
        <v>122410725.44674599</v>
      </c>
      <c r="AW954" s="350">
        <f t="shared" si="372"/>
        <v>164528996.99757403</v>
      </c>
      <c r="AX954" s="350">
        <f t="shared" si="373"/>
        <v>207289353.70728719</v>
      </c>
      <c r="AY954" s="350">
        <f t="shared" si="374"/>
        <v>615218612.72541368</v>
      </c>
      <c r="AZ954" s="365"/>
      <c r="BA954" s="377">
        <f t="shared" si="375"/>
        <v>0</v>
      </c>
      <c r="BB954" s="377">
        <f t="shared" si="376"/>
        <v>0</v>
      </c>
      <c r="BC954" s="377">
        <f t="shared" si="377"/>
        <v>0</v>
      </c>
      <c r="BD954" s="377">
        <f t="shared" si="378"/>
        <v>0</v>
      </c>
      <c r="BE954" s="377">
        <f t="shared" si="379"/>
        <v>0</v>
      </c>
      <c r="BF954" s="377">
        <f t="shared" si="380"/>
        <v>0</v>
      </c>
      <c r="BG954" s="328"/>
    </row>
    <row r="955" spans="2:59">
      <c r="B955" s="332">
        <v>940</v>
      </c>
      <c r="C955" s="350">
        <v>142029195.30856994</v>
      </c>
      <c r="D955" s="350">
        <v>143194118.83564961</v>
      </c>
      <c r="E955" s="350">
        <v>144310230.36569288</v>
      </c>
      <c r="F955" s="350">
        <v>145428994.08333164</v>
      </c>
      <c r="G955" s="350">
        <v>146553885.20930326</v>
      </c>
      <c r="H955" s="348">
        <v>721516423.80254734</v>
      </c>
      <c r="I955" s="369"/>
      <c r="J955" s="350">
        <v>176208857.99318376</v>
      </c>
      <c r="K955" s="350">
        <v>212243123.1859417</v>
      </c>
      <c r="L955" s="350">
        <v>248756030.31997716</v>
      </c>
      <c r="M955" s="350">
        <v>285813350.49134225</v>
      </c>
      <c r="N955" s="350">
        <v>323424674.97721881</v>
      </c>
      <c r="O955" s="348">
        <v>1246446036.9676638</v>
      </c>
      <c r="P955" s="369"/>
      <c r="Q955" s="350">
        <f t="shared" si="381"/>
        <v>34179662.684613824</v>
      </c>
      <c r="R955" s="350">
        <f t="shared" si="382"/>
        <v>69049004.350292087</v>
      </c>
      <c r="S955" s="350">
        <f t="shared" si="383"/>
        <v>104445799.95428428</v>
      </c>
      <c r="T955" s="350">
        <f t="shared" si="384"/>
        <v>140384356.4080106</v>
      </c>
      <c r="U955" s="350">
        <f t="shared" si="385"/>
        <v>176870789.76791555</v>
      </c>
      <c r="V955" s="350">
        <f t="shared" si="386"/>
        <v>524929613.16511643</v>
      </c>
      <c r="W955" s="365"/>
      <c r="X955" s="377">
        <f t="shared" si="364"/>
        <v>0</v>
      </c>
      <c r="Y955" s="377">
        <f t="shared" si="365"/>
        <v>0</v>
      </c>
      <c r="Z955" s="377">
        <f t="shared" si="366"/>
        <v>0</v>
      </c>
      <c r="AA955" s="377">
        <f t="shared" si="367"/>
        <v>0</v>
      </c>
      <c r="AB955" s="377">
        <f t="shared" si="368"/>
        <v>0</v>
      </c>
      <c r="AC955" s="377">
        <f t="shared" si="369"/>
        <v>0</v>
      </c>
      <c r="AD955" s="376"/>
      <c r="AE955" s="332">
        <v>940</v>
      </c>
      <c r="AF955" s="350">
        <v>165719065.58784127</v>
      </c>
      <c r="AG955" s="350">
        <v>167078293.4421533</v>
      </c>
      <c r="AH955" s="350">
        <v>168380567.66435626</v>
      </c>
      <c r="AI955" s="350">
        <v>169685936.44785097</v>
      </c>
      <c r="AJ955" s="350">
        <v>170998454.66552493</v>
      </c>
      <c r="AK955" s="348">
        <v>841862317.80772674</v>
      </c>
      <c r="AL955" s="369"/>
      <c r="AM955" s="350">
        <v>208242221.1122213</v>
      </c>
      <c r="AN955" s="350">
        <v>252940307.16648453</v>
      </c>
      <c r="AO955" s="350">
        <v>298236988.792925</v>
      </c>
      <c r="AP955" s="350">
        <v>344210111.16056257</v>
      </c>
      <c r="AQ955" s="350">
        <v>390871331.70894504</v>
      </c>
      <c r="AR955" s="348">
        <v>1494500959.9411385</v>
      </c>
      <c r="AS955" s="369"/>
      <c r="AT955" s="350">
        <f t="shared" si="387"/>
        <v>42523155.524380028</v>
      </c>
      <c r="AU955" s="350">
        <f t="shared" si="370"/>
        <v>85862013.72433123</v>
      </c>
      <c r="AV955" s="350">
        <f t="shared" si="371"/>
        <v>129856421.12856874</v>
      </c>
      <c r="AW955" s="350">
        <f t="shared" si="372"/>
        <v>174524174.7127116</v>
      </c>
      <c r="AX955" s="350">
        <f t="shared" si="373"/>
        <v>219872877.04342011</v>
      </c>
      <c r="AY955" s="350">
        <f t="shared" si="374"/>
        <v>652638642.13341177</v>
      </c>
      <c r="AZ955" s="365"/>
      <c r="BA955" s="377">
        <f t="shared" si="375"/>
        <v>0</v>
      </c>
      <c r="BB955" s="377">
        <f t="shared" si="376"/>
        <v>0</v>
      </c>
      <c r="BC955" s="377">
        <f t="shared" si="377"/>
        <v>0</v>
      </c>
      <c r="BD955" s="377">
        <f t="shared" si="378"/>
        <v>0</v>
      </c>
      <c r="BE955" s="377">
        <f t="shared" si="379"/>
        <v>0</v>
      </c>
      <c r="BF955" s="377">
        <f t="shared" si="380"/>
        <v>0</v>
      </c>
      <c r="BG955" s="328"/>
    </row>
    <row r="956" spans="2:59">
      <c r="B956" s="332">
        <v>941</v>
      </c>
      <c r="C956" s="350">
        <v>128610321.65697439</v>
      </c>
      <c r="D956" s="350">
        <v>129665183.5760186</v>
      </c>
      <c r="E956" s="350">
        <v>130675845.24013667</v>
      </c>
      <c r="F956" s="350">
        <v>131688908.51400141</v>
      </c>
      <c r="G956" s="350">
        <v>132707520.2805891</v>
      </c>
      <c r="H956" s="348">
        <v>653347779.26772022</v>
      </c>
      <c r="I956" s="369"/>
      <c r="J956" s="350">
        <v>160395816.80180565</v>
      </c>
      <c r="K956" s="350">
        <v>193844890.67733318</v>
      </c>
      <c r="L956" s="350">
        <v>227739762.89271465</v>
      </c>
      <c r="M956" s="350">
        <v>262140338.25988588</v>
      </c>
      <c r="N956" s="350">
        <v>297055446.32544816</v>
      </c>
      <c r="O956" s="348">
        <v>1141176254.9571877</v>
      </c>
      <c r="P956" s="369"/>
      <c r="Q956" s="350">
        <f t="shared" si="381"/>
        <v>31785495.144831255</v>
      </c>
      <c r="R956" s="350">
        <f t="shared" si="382"/>
        <v>64179707.101314574</v>
      </c>
      <c r="S956" s="350">
        <f t="shared" si="383"/>
        <v>97063917.652577981</v>
      </c>
      <c r="T956" s="350">
        <f t="shared" si="384"/>
        <v>130451429.74588446</v>
      </c>
      <c r="U956" s="350">
        <f t="shared" si="385"/>
        <v>164347926.04485905</v>
      </c>
      <c r="V956" s="350">
        <f t="shared" si="386"/>
        <v>487828475.68946743</v>
      </c>
      <c r="W956" s="365"/>
      <c r="X956" s="377">
        <f t="shared" si="364"/>
        <v>0</v>
      </c>
      <c r="Y956" s="377">
        <f t="shared" si="365"/>
        <v>0</v>
      </c>
      <c r="Z956" s="377">
        <f t="shared" si="366"/>
        <v>0</v>
      </c>
      <c r="AA956" s="377">
        <f t="shared" si="367"/>
        <v>0</v>
      </c>
      <c r="AB956" s="377">
        <f t="shared" si="368"/>
        <v>0</v>
      </c>
      <c r="AC956" s="377">
        <f t="shared" si="369"/>
        <v>0</v>
      </c>
      <c r="AD956" s="376"/>
      <c r="AE956" s="332">
        <v>941</v>
      </c>
      <c r="AF956" s="350">
        <v>120798696.81540012</v>
      </c>
      <c r="AG956" s="350">
        <v>121789487.78379996</v>
      </c>
      <c r="AH956" s="350">
        <v>122738763.16367486</v>
      </c>
      <c r="AI956" s="350">
        <v>123690294.28262191</v>
      </c>
      <c r="AJ956" s="350">
        <v>124647036.8860096</v>
      </c>
      <c r="AK956" s="348">
        <v>613664278.93150651</v>
      </c>
      <c r="AL956" s="369"/>
      <c r="AM956" s="350">
        <v>152421743.33268923</v>
      </c>
      <c r="AN956" s="350">
        <v>185653783.65557206</v>
      </c>
      <c r="AO956" s="350">
        <v>219331999.08303991</v>
      </c>
      <c r="AP956" s="350">
        <v>253513396.60148829</v>
      </c>
      <c r="AQ956" s="350">
        <v>288206587.49991363</v>
      </c>
      <c r="AR956" s="348">
        <v>1099127510.1727033</v>
      </c>
      <c r="AS956" s="369"/>
      <c r="AT956" s="350">
        <f t="shared" si="387"/>
        <v>31623046.517289102</v>
      </c>
      <c r="AU956" s="350">
        <f t="shared" si="370"/>
        <v>63864295.871772096</v>
      </c>
      <c r="AV956" s="350">
        <f t="shared" si="371"/>
        <v>96593235.919365048</v>
      </c>
      <c r="AW956" s="350">
        <f t="shared" si="372"/>
        <v>129823102.31886639</v>
      </c>
      <c r="AX956" s="350">
        <f t="shared" si="373"/>
        <v>163559550.61390403</v>
      </c>
      <c r="AY956" s="350">
        <f t="shared" si="374"/>
        <v>485463231.24119675</v>
      </c>
      <c r="AZ956" s="365"/>
      <c r="BA956" s="377">
        <f t="shared" si="375"/>
        <v>0</v>
      </c>
      <c r="BB956" s="377">
        <f t="shared" si="376"/>
        <v>0</v>
      </c>
      <c r="BC956" s="377">
        <f t="shared" si="377"/>
        <v>0</v>
      </c>
      <c r="BD956" s="377">
        <f t="shared" si="378"/>
        <v>0</v>
      </c>
      <c r="BE956" s="377">
        <f t="shared" si="379"/>
        <v>0</v>
      </c>
      <c r="BF956" s="377">
        <f t="shared" si="380"/>
        <v>0</v>
      </c>
      <c r="BG956" s="328"/>
    </row>
    <row r="957" spans="2:59">
      <c r="B957" s="332">
        <v>942</v>
      </c>
      <c r="C957" s="350">
        <v>139091127.6469278</v>
      </c>
      <c r="D957" s="350">
        <v>140231953.14165738</v>
      </c>
      <c r="E957" s="350">
        <v>141324976.38209876</v>
      </c>
      <c r="F957" s="350">
        <v>142420596.94601709</v>
      </c>
      <c r="G957" s="350">
        <v>143522218.1644679</v>
      </c>
      <c r="H957" s="348">
        <v>706590872.28116906</v>
      </c>
      <c r="I957" s="369"/>
      <c r="J957" s="350">
        <v>177118723.07788986</v>
      </c>
      <c r="K957" s="350">
        <v>217035680.43697643</v>
      </c>
      <c r="L957" s="350">
        <v>257491377.17720124</v>
      </c>
      <c r="M957" s="350">
        <v>298552129.41025198</v>
      </c>
      <c r="N957" s="350">
        <v>340228142.19923085</v>
      </c>
      <c r="O957" s="348">
        <v>1290426052.3015504</v>
      </c>
      <c r="P957" s="369"/>
      <c r="Q957" s="350">
        <f t="shared" si="381"/>
        <v>38027595.430962056</v>
      </c>
      <c r="R957" s="350">
        <f t="shared" si="382"/>
        <v>76803727.295319051</v>
      </c>
      <c r="S957" s="350">
        <f t="shared" si="383"/>
        <v>116166400.79510248</v>
      </c>
      <c r="T957" s="350">
        <f t="shared" si="384"/>
        <v>156131532.46423489</v>
      </c>
      <c r="U957" s="350">
        <f t="shared" si="385"/>
        <v>196705924.03476295</v>
      </c>
      <c r="V957" s="350">
        <f t="shared" si="386"/>
        <v>583835180.02038133</v>
      </c>
      <c r="W957" s="365"/>
      <c r="X957" s="377">
        <f t="shared" si="364"/>
        <v>0</v>
      </c>
      <c r="Y957" s="377">
        <f t="shared" si="365"/>
        <v>0</v>
      </c>
      <c r="Z957" s="377">
        <f t="shared" si="366"/>
        <v>0</v>
      </c>
      <c r="AA957" s="377">
        <f t="shared" si="367"/>
        <v>0</v>
      </c>
      <c r="AB957" s="377">
        <f t="shared" si="368"/>
        <v>0</v>
      </c>
      <c r="AC957" s="377">
        <f t="shared" si="369"/>
        <v>0</v>
      </c>
      <c r="AD957" s="376"/>
      <c r="AE957" s="332">
        <v>942</v>
      </c>
      <c r="AF957" s="350">
        <v>123130856.76163565</v>
      </c>
      <c r="AG957" s="350">
        <v>124140776.10701726</v>
      </c>
      <c r="AH957" s="350">
        <v>125108378.35694335</v>
      </c>
      <c r="AI957" s="350">
        <v>126078279.89561932</v>
      </c>
      <c r="AJ957" s="350">
        <v>127053493.53253056</v>
      </c>
      <c r="AK957" s="348">
        <v>625511784.65374613</v>
      </c>
      <c r="AL957" s="369"/>
      <c r="AM957" s="350">
        <v>156640188.06950974</v>
      </c>
      <c r="AN957" s="350">
        <v>191817663.31707725</v>
      </c>
      <c r="AO957" s="350">
        <v>227469651.50129777</v>
      </c>
      <c r="AP957" s="350">
        <v>263654794.33453071</v>
      </c>
      <c r="AQ957" s="350">
        <v>300382097.99800819</v>
      </c>
      <c r="AR957" s="348">
        <v>1139964395.2204237</v>
      </c>
      <c r="AS957" s="369"/>
      <c r="AT957" s="350">
        <f t="shared" si="387"/>
        <v>33509331.307874098</v>
      </c>
      <c r="AU957" s="350">
        <f t="shared" si="370"/>
        <v>67676887.210059986</v>
      </c>
      <c r="AV957" s="350">
        <f t="shared" si="371"/>
        <v>102361273.14435442</v>
      </c>
      <c r="AW957" s="350">
        <f t="shared" si="372"/>
        <v>137576514.43891138</v>
      </c>
      <c r="AX957" s="350">
        <f t="shared" si="373"/>
        <v>173328604.46547765</v>
      </c>
      <c r="AY957" s="350">
        <f t="shared" si="374"/>
        <v>514452610.56667757</v>
      </c>
      <c r="AZ957" s="365"/>
      <c r="BA957" s="377">
        <f t="shared" si="375"/>
        <v>0</v>
      </c>
      <c r="BB957" s="377">
        <f t="shared" si="376"/>
        <v>0</v>
      </c>
      <c r="BC957" s="377">
        <f t="shared" si="377"/>
        <v>0</v>
      </c>
      <c r="BD957" s="377">
        <f t="shared" si="378"/>
        <v>0</v>
      </c>
      <c r="BE957" s="377">
        <f t="shared" si="379"/>
        <v>0</v>
      </c>
      <c r="BF957" s="377">
        <f t="shared" si="380"/>
        <v>0</v>
      </c>
      <c r="BG957" s="328"/>
    </row>
    <row r="958" spans="2:59">
      <c r="B958" s="332">
        <v>943</v>
      </c>
      <c r="C958" s="350">
        <v>114639390.74044374</v>
      </c>
      <c r="D958" s="350">
        <v>115579663.07750431</v>
      </c>
      <c r="E958" s="350">
        <v>116480536.6304704</v>
      </c>
      <c r="F958" s="350">
        <v>117383550.90647176</v>
      </c>
      <c r="G958" s="350">
        <v>118291510.94279069</v>
      </c>
      <c r="H958" s="348">
        <v>582374652.29768085</v>
      </c>
      <c r="I958" s="369"/>
      <c r="J958" s="350">
        <v>142588694.30308086</v>
      </c>
      <c r="K958" s="350">
        <v>172046665.22646341</v>
      </c>
      <c r="L958" s="350">
        <v>201896614.70617241</v>
      </c>
      <c r="M958" s="350">
        <v>232191781.5054791</v>
      </c>
      <c r="N958" s="350">
        <v>262939972.5437929</v>
      </c>
      <c r="O958" s="348">
        <v>1011663728.2849886</v>
      </c>
      <c r="P958" s="369"/>
      <c r="Q958" s="350">
        <f t="shared" si="381"/>
        <v>27949303.56263712</v>
      </c>
      <c r="R958" s="350">
        <f t="shared" si="382"/>
        <v>56467002.1489591</v>
      </c>
      <c r="S958" s="350">
        <f t="shared" si="383"/>
        <v>85416078.075702012</v>
      </c>
      <c r="T958" s="350">
        <f t="shared" si="384"/>
        <v>114808230.59900734</v>
      </c>
      <c r="U958" s="350">
        <f t="shared" si="385"/>
        <v>144648461.60100222</v>
      </c>
      <c r="V958" s="350">
        <f t="shared" si="386"/>
        <v>429289075.98730779</v>
      </c>
      <c r="W958" s="365"/>
      <c r="X958" s="377">
        <f t="shared" si="364"/>
        <v>0</v>
      </c>
      <c r="Y958" s="377">
        <f t="shared" si="365"/>
        <v>0</v>
      </c>
      <c r="Z958" s="377">
        <f t="shared" si="366"/>
        <v>0</v>
      </c>
      <c r="AA958" s="377">
        <f t="shared" si="367"/>
        <v>0</v>
      </c>
      <c r="AB958" s="377">
        <f t="shared" si="368"/>
        <v>0</v>
      </c>
      <c r="AC958" s="377">
        <f t="shared" si="369"/>
        <v>0</v>
      </c>
      <c r="AD958" s="376"/>
      <c r="AE958" s="332">
        <v>943</v>
      </c>
      <c r="AF958" s="350">
        <v>138484833.30409107</v>
      </c>
      <c r="AG958" s="350">
        <v>139620685.97233406</v>
      </c>
      <c r="AH958" s="350">
        <v>140708944.75498092</v>
      </c>
      <c r="AI958" s="350">
        <v>141799789.53944421</v>
      </c>
      <c r="AJ958" s="350">
        <v>142896608.82175431</v>
      </c>
      <c r="AK958" s="348">
        <v>703510862.39260459</v>
      </c>
      <c r="AL958" s="369"/>
      <c r="AM958" s="350">
        <v>170204675.01200551</v>
      </c>
      <c r="AN958" s="350">
        <v>203695686.09064004</v>
      </c>
      <c r="AO958" s="350">
        <v>237628524.03882378</v>
      </c>
      <c r="AP958" s="350">
        <v>272066645.76166886</v>
      </c>
      <c r="AQ958" s="350">
        <v>307019114.93338132</v>
      </c>
      <c r="AR958" s="348">
        <v>1190614645.8365195</v>
      </c>
      <c r="AS958" s="369"/>
      <c r="AT958" s="350">
        <f t="shared" si="387"/>
        <v>31719841.707914442</v>
      </c>
      <c r="AU958" s="350">
        <f t="shared" si="370"/>
        <v>64075000.118305981</v>
      </c>
      <c r="AV958" s="350">
        <f t="shared" si="371"/>
        <v>96919579.283842862</v>
      </c>
      <c r="AW958" s="350">
        <f t="shared" si="372"/>
        <v>130266856.22222465</v>
      </c>
      <c r="AX958" s="350">
        <f t="shared" si="373"/>
        <v>164122506.11162701</v>
      </c>
      <c r="AY958" s="350">
        <f t="shared" si="374"/>
        <v>487103783.44391489</v>
      </c>
      <c r="AZ958" s="365"/>
      <c r="BA958" s="377">
        <f t="shared" si="375"/>
        <v>0</v>
      </c>
      <c r="BB958" s="377">
        <f t="shared" si="376"/>
        <v>0</v>
      </c>
      <c r="BC958" s="377">
        <f t="shared" si="377"/>
        <v>0</v>
      </c>
      <c r="BD958" s="377">
        <f t="shared" si="378"/>
        <v>0</v>
      </c>
      <c r="BE958" s="377">
        <f t="shared" si="379"/>
        <v>0</v>
      </c>
      <c r="BF958" s="377">
        <f t="shared" si="380"/>
        <v>0</v>
      </c>
      <c r="BG958" s="328"/>
    </row>
    <row r="959" spans="2:59">
      <c r="B959" s="332">
        <v>944</v>
      </c>
      <c r="C959" s="350">
        <v>115605690.72406127</v>
      </c>
      <c r="D959" s="350">
        <v>116553888.6540444</v>
      </c>
      <c r="E959" s="350">
        <v>117462355.70601505</v>
      </c>
      <c r="F959" s="350">
        <v>118372981.52526054</v>
      </c>
      <c r="G959" s="350">
        <v>119288594.79283409</v>
      </c>
      <c r="H959" s="348">
        <v>587283511.40221536</v>
      </c>
      <c r="I959" s="369"/>
      <c r="J959" s="350">
        <v>144457532.45783937</v>
      </c>
      <c r="K959" s="350">
        <v>174818015.86997455</v>
      </c>
      <c r="L959" s="350">
        <v>205583665.69345883</v>
      </c>
      <c r="M959" s="350">
        <v>236808447.16010824</v>
      </c>
      <c r="N959" s="350">
        <v>268500348.33836609</v>
      </c>
      <c r="O959" s="348">
        <v>1030168009.519747</v>
      </c>
      <c r="P959" s="369"/>
      <c r="Q959" s="350">
        <f t="shared" si="381"/>
        <v>28851841.733778104</v>
      </c>
      <c r="R959" s="350">
        <f t="shared" si="382"/>
        <v>58264127.215930149</v>
      </c>
      <c r="S959" s="350">
        <f t="shared" si="383"/>
        <v>88121309.987443775</v>
      </c>
      <c r="T959" s="350">
        <f t="shared" si="384"/>
        <v>118435465.6348477</v>
      </c>
      <c r="U959" s="350">
        <f t="shared" si="385"/>
        <v>149211753.54553199</v>
      </c>
      <c r="V959" s="350">
        <f t="shared" si="386"/>
        <v>442884498.11753166</v>
      </c>
      <c r="W959" s="365"/>
      <c r="X959" s="377">
        <f t="shared" si="364"/>
        <v>0</v>
      </c>
      <c r="Y959" s="377">
        <f t="shared" si="365"/>
        <v>0</v>
      </c>
      <c r="Z959" s="377">
        <f t="shared" si="366"/>
        <v>0</v>
      </c>
      <c r="AA959" s="377">
        <f t="shared" si="367"/>
        <v>0</v>
      </c>
      <c r="AB959" s="377">
        <f t="shared" si="368"/>
        <v>0</v>
      </c>
      <c r="AC959" s="377">
        <f t="shared" si="369"/>
        <v>0</v>
      </c>
      <c r="AD959" s="376"/>
      <c r="AE959" s="332">
        <v>944</v>
      </c>
      <c r="AF959" s="350">
        <v>127113106.11273339</v>
      </c>
      <c r="AG959" s="350">
        <v>128155687.86917569</v>
      </c>
      <c r="AH959" s="350">
        <v>129154583.92743897</v>
      </c>
      <c r="AI959" s="350">
        <v>130155853.63713725</v>
      </c>
      <c r="AJ959" s="350">
        <v>131162607.24684577</v>
      </c>
      <c r="AK959" s="348">
        <v>645741838.79333103</v>
      </c>
      <c r="AL959" s="369"/>
      <c r="AM959" s="350">
        <v>158552648.05439973</v>
      </c>
      <c r="AN959" s="350">
        <v>191652474.93623391</v>
      </c>
      <c r="AO959" s="350">
        <v>225193524.93853822</v>
      </c>
      <c r="AP959" s="350">
        <v>259235016.43642345</v>
      </c>
      <c r="AQ959" s="350">
        <v>293785682.87499487</v>
      </c>
      <c r="AR959" s="348">
        <v>1128419347.2405901</v>
      </c>
      <c r="AS959" s="369"/>
      <c r="AT959" s="350">
        <f t="shared" si="387"/>
        <v>31439541.941666335</v>
      </c>
      <c r="AU959" s="350">
        <f t="shared" si="370"/>
        <v>63496787.067058221</v>
      </c>
      <c r="AV959" s="350">
        <f t="shared" si="371"/>
        <v>96038941.011099249</v>
      </c>
      <c r="AW959" s="350">
        <f t="shared" si="372"/>
        <v>129079162.7992862</v>
      </c>
      <c r="AX959" s="350">
        <f t="shared" si="373"/>
        <v>162623075.62814909</v>
      </c>
      <c r="AY959" s="350">
        <f t="shared" si="374"/>
        <v>482677508.44725907</v>
      </c>
      <c r="AZ959" s="365"/>
      <c r="BA959" s="377">
        <f t="shared" si="375"/>
        <v>0</v>
      </c>
      <c r="BB959" s="377">
        <f t="shared" si="376"/>
        <v>0</v>
      </c>
      <c r="BC959" s="377">
        <f t="shared" si="377"/>
        <v>0</v>
      </c>
      <c r="BD959" s="377">
        <f t="shared" si="378"/>
        <v>0</v>
      </c>
      <c r="BE959" s="377">
        <f t="shared" si="379"/>
        <v>0</v>
      </c>
      <c r="BF959" s="377">
        <f t="shared" si="380"/>
        <v>0</v>
      </c>
      <c r="BG959" s="328"/>
    </row>
    <row r="960" spans="2:59">
      <c r="B960" s="332">
        <v>945</v>
      </c>
      <c r="C960" s="350">
        <v>132951058.84082222</v>
      </c>
      <c r="D960" s="350">
        <v>134041523.48830086</v>
      </c>
      <c r="E960" s="350">
        <v>135086296.0745379</v>
      </c>
      <c r="F960" s="350">
        <v>136133551.32744288</v>
      </c>
      <c r="G960" s="350">
        <v>137186542.34068948</v>
      </c>
      <c r="H960" s="348">
        <v>675398972.07179332</v>
      </c>
      <c r="I960" s="369"/>
      <c r="J960" s="350">
        <v>167051273.84797335</v>
      </c>
      <c r="K960" s="350">
        <v>202924004.00826409</v>
      </c>
      <c r="L960" s="350">
        <v>239277176.09612417</v>
      </c>
      <c r="M960" s="350">
        <v>276173238.16090256</v>
      </c>
      <c r="N960" s="350">
        <v>313621544.21674603</v>
      </c>
      <c r="O960" s="348">
        <v>1199047236.3300102</v>
      </c>
      <c r="P960" s="369"/>
      <c r="Q960" s="350">
        <f t="shared" si="381"/>
        <v>34100215.007151127</v>
      </c>
      <c r="R960" s="350">
        <f t="shared" si="382"/>
        <v>68882480.519963235</v>
      </c>
      <c r="S960" s="350">
        <f t="shared" si="383"/>
        <v>104190880.02158627</v>
      </c>
      <c r="T960" s="350">
        <f t="shared" si="384"/>
        <v>140039686.83345968</v>
      </c>
      <c r="U960" s="350">
        <f t="shared" si="385"/>
        <v>176435001.87605655</v>
      </c>
      <c r="V960" s="350">
        <f t="shared" si="386"/>
        <v>523648264.25821686</v>
      </c>
      <c r="W960" s="365"/>
      <c r="X960" s="377">
        <f t="shared" si="364"/>
        <v>0</v>
      </c>
      <c r="Y960" s="377">
        <f t="shared" si="365"/>
        <v>0</v>
      </c>
      <c r="Z960" s="377">
        <f t="shared" si="366"/>
        <v>0</v>
      </c>
      <c r="AA960" s="377">
        <f t="shared" si="367"/>
        <v>0</v>
      </c>
      <c r="AB960" s="377">
        <f t="shared" si="368"/>
        <v>0</v>
      </c>
      <c r="AC960" s="377">
        <f t="shared" si="369"/>
        <v>0</v>
      </c>
      <c r="AD960" s="376"/>
      <c r="AE960" s="332">
        <v>945</v>
      </c>
      <c r="AF960" s="350">
        <v>138833477.35306874</v>
      </c>
      <c r="AG960" s="350">
        <v>139972189.59996629</v>
      </c>
      <c r="AH960" s="350">
        <v>141063188.14074594</v>
      </c>
      <c r="AI960" s="350">
        <v>142156779.19376001</v>
      </c>
      <c r="AJ960" s="350">
        <v>143256359.78578514</v>
      </c>
      <c r="AK960" s="348">
        <v>705281994.07332611</v>
      </c>
      <c r="AL960" s="369"/>
      <c r="AM960" s="350">
        <v>179512673.28802812</v>
      </c>
      <c r="AN960" s="350">
        <v>222133161.59143481</v>
      </c>
      <c r="AO960" s="350">
        <v>265333405.22090197</v>
      </c>
      <c r="AP960" s="350">
        <v>309180736.86470926</v>
      </c>
      <c r="AQ960" s="350">
        <v>353685829.83736902</v>
      </c>
      <c r="AR960" s="348">
        <v>1329845806.8024433</v>
      </c>
      <c r="AS960" s="369"/>
      <c r="AT960" s="350">
        <f t="shared" si="387"/>
        <v>40679195.934959382</v>
      </c>
      <c r="AU960" s="350">
        <f t="shared" si="370"/>
        <v>82160971.991468519</v>
      </c>
      <c r="AV960" s="350">
        <f t="shared" si="371"/>
        <v>124270217.08015603</v>
      </c>
      <c r="AW960" s="350">
        <f t="shared" si="372"/>
        <v>167023957.67094925</v>
      </c>
      <c r="AX960" s="350">
        <f t="shared" si="373"/>
        <v>210429470.05158389</v>
      </c>
      <c r="AY960" s="350">
        <f t="shared" si="374"/>
        <v>624563812.72911716</v>
      </c>
      <c r="AZ960" s="365"/>
      <c r="BA960" s="377">
        <f t="shared" si="375"/>
        <v>0</v>
      </c>
      <c r="BB960" s="377">
        <f t="shared" si="376"/>
        <v>0</v>
      </c>
      <c r="BC960" s="377">
        <f t="shared" si="377"/>
        <v>0</v>
      </c>
      <c r="BD960" s="377">
        <f t="shared" si="378"/>
        <v>0</v>
      </c>
      <c r="BE960" s="377">
        <f t="shared" si="379"/>
        <v>0</v>
      </c>
      <c r="BF960" s="377">
        <f t="shared" si="380"/>
        <v>0</v>
      </c>
      <c r="BG960" s="328"/>
    </row>
    <row r="961" spans="2:59">
      <c r="B961" s="332">
        <v>946</v>
      </c>
      <c r="C961" s="350">
        <v>126427998.62956116</v>
      </c>
      <c r="D961" s="350">
        <v>127464961.13410257</v>
      </c>
      <c r="E961" s="350">
        <v>128458473.3953259</v>
      </c>
      <c r="F961" s="350">
        <v>129454346.51460351</v>
      </c>
      <c r="G961" s="350">
        <v>130455673.97705775</v>
      </c>
      <c r="H961" s="348">
        <v>642261453.65065086</v>
      </c>
      <c r="I961" s="369"/>
      <c r="J961" s="350">
        <v>157328497.79651836</v>
      </c>
      <c r="K961" s="350">
        <v>189897387.27740368</v>
      </c>
      <c r="L961" s="350">
        <v>222899800.43683398</v>
      </c>
      <c r="M961" s="350">
        <v>256394483.13631687</v>
      </c>
      <c r="N961" s="350">
        <v>290390059.35723406</v>
      </c>
      <c r="O961" s="348">
        <v>1116910228.004307</v>
      </c>
      <c r="P961" s="369"/>
      <c r="Q961" s="350">
        <f t="shared" si="381"/>
        <v>30900499.1669572</v>
      </c>
      <c r="R961" s="350">
        <f t="shared" si="382"/>
        <v>62432426.143301114</v>
      </c>
      <c r="S961" s="350">
        <f t="shared" si="383"/>
        <v>94441327.041508079</v>
      </c>
      <c r="T961" s="350">
        <f t="shared" si="384"/>
        <v>126940136.62171336</v>
      </c>
      <c r="U961" s="350">
        <f t="shared" si="385"/>
        <v>159934385.38017631</v>
      </c>
      <c r="V961" s="350">
        <f t="shared" si="386"/>
        <v>474648774.35365617</v>
      </c>
      <c r="W961" s="365"/>
      <c r="X961" s="377">
        <f t="shared" si="364"/>
        <v>0</v>
      </c>
      <c r="Y961" s="377">
        <f t="shared" si="365"/>
        <v>0</v>
      </c>
      <c r="Z961" s="377">
        <f t="shared" si="366"/>
        <v>0</v>
      </c>
      <c r="AA961" s="377">
        <f t="shared" si="367"/>
        <v>0</v>
      </c>
      <c r="AB961" s="377">
        <f t="shared" si="368"/>
        <v>0</v>
      </c>
      <c r="AC961" s="377">
        <f t="shared" si="369"/>
        <v>0</v>
      </c>
      <c r="AD961" s="376"/>
      <c r="AE961" s="332">
        <v>946</v>
      </c>
      <c r="AF961" s="350">
        <v>126230715.32536149</v>
      </c>
      <c r="AG961" s="350">
        <v>127266059.71214858</v>
      </c>
      <c r="AH961" s="350">
        <v>128258021.65711455</v>
      </c>
      <c r="AI961" s="350">
        <v>129252340.77615756</v>
      </c>
      <c r="AJ961" s="350">
        <v>130252105.727202</v>
      </c>
      <c r="AK961" s="348">
        <v>641259243.19798422</v>
      </c>
      <c r="AL961" s="369"/>
      <c r="AM961" s="350">
        <v>158870383.84643766</v>
      </c>
      <c r="AN961" s="350">
        <v>193185701.01362497</v>
      </c>
      <c r="AO961" s="350">
        <v>227961039.50062585</v>
      </c>
      <c r="AP961" s="350">
        <v>263255800.20766026</v>
      </c>
      <c r="AQ961" s="350">
        <v>299078909.49145448</v>
      </c>
      <c r="AR961" s="348">
        <v>1142351834.059803</v>
      </c>
      <c r="AS961" s="369"/>
      <c r="AT961" s="350">
        <f t="shared" si="387"/>
        <v>32639668.521076173</v>
      </c>
      <c r="AU961" s="350">
        <f t="shared" si="370"/>
        <v>65919641.301476389</v>
      </c>
      <c r="AV961" s="350">
        <f t="shared" si="371"/>
        <v>99703017.843511298</v>
      </c>
      <c r="AW961" s="350">
        <f t="shared" si="372"/>
        <v>134003459.4315027</v>
      </c>
      <c r="AX961" s="350">
        <f t="shared" si="373"/>
        <v>168826803.76425248</v>
      </c>
      <c r="AY961" s="350">
        <f t="shared" si="374"/>
        <v>501092590.86181879</v>
      </c>
      <c r="AZ961" s="365"/>
      <c r="BA961" s="377">
        <f t="shared" si="375"/>
        <v>0</v>
      </c>
      <c r="BB961" s="377">
        <f t="shared" si="376"/>
        <v>0</v>
      </c>
      <c r="BC961" s="377">
        <f t="shared" si="377"/>
        <v>0</v>
      </c>
      <c r="BD961" s="377">
        <f t="shared" si="378"/>
        <v>0</v>
      </c>
      <c r="BE961" s="377">
        <f t="shared" si="379"/>
        <v>0</v>
      </c>
      <c r="BF961" s="377">
        <f t="shared" si="380"/>
        <v>0</v>
      </c>
      <c r="BG961" s="328"/>
    </row>
    <row r="962" spans="2:59">
      <c r="B962" s="332">
        <v>947</v>
      </c>
      <c r="C962" s="350">
        <v>144994854.8202472</v>
      </c>
      <c r="D962" s="350">
        <v>146184102.68804401</v>
      </c>
      <c r="E962" s="350">
        <v>147323519.33340508</v>
      </c>
      <c r="F962" s="350">
        <v>148465643.54571766</v>
      </c>
      <c r="G962" s="350">
        <v>149614023.11052817</v>
      </c>
      <c r="H962" s="348">
        <v>736582143.49794221</v>
      </c>
      <c r="I962" s="369"/>
      <c r="J962" s="350">
        <v>178344978.49904549</v>
      </c>
      <c r="K962" s="350">
        <v>213530829.75922903</v>
      </c>
      <c r="L962" s="350">
        <v>249181089.95827457</v>
      </c>
      <c r="M962" s="350">
        <v>285362256.09854841</v>
      </c>
      <c r="N962" s="350">
        <v>322083839.54657441</v>
      </c>
      <c r="O962" s="348">
        <v>1248502993.8616719</v>
      </c>
      <c r="P962" s="369"/>
      <c r="Q962" s="350">
        <f t="shared" si="381"/>
        <v>33350123.678798288</v>
      </c>
      <c r="R962" s="350">
        <f t="shared" si="382"/>
        <v>67346727.071185023</v>
      </c>
      <c r="S962" s="350">
        <f t="shared" si="383"/>
        <v>101857570.6248695</v>
      </c>
      <c r="T962" s="350">
        <f t="shared" si="384"/>
        <v>136896612.55283076</v>
      </c>
      <c r="U962" s="350">
        <f t="shared" si="385"/>
        <v>172469816.43604624</v>
      </c>
      <c r="V962" s="350">
        <f t="shared" si="386"/>
        <v>511920850.36372972</v>
      </c>
      <c r="W962" s="365"/>
      <c r="X962" s="377">
        <f t="shared" si="364"/>
        <v>0</v>
      </c>
      <c r="Y962" s="377">
        <f t="shared" si="365"/>
        <v>0</v>
      </c>
      <c r="Z962" s="377">
        <f t="shared" si="366"/>
        <v>0</v>
      </c>
      <c r="AA962" s="377">
        <f t="shared" si="367"/>
        <v>0</v>
      </c>
      <c r="AB962" s="377">
        <f t="shared" si="368"/>
        <v>0</v>
      </c>
      <c r="AC962" s="377">
        <f t="shared" si="369"/>
        <v>0</v>
      </c>
      <c r="AD962" s="376"/>
      <c r="AE962" s="332">
        <v>947</v>
      </c>
      <c r="AF962" s="350">
        <v>139234421.85827917</v>
      </c>
      <c r="AG962" s="350">
        <v>140376422.65219808</v>
      </c>
      <c r="AH962" s="350">
        <v>141470571.94507626</v>
      </c>
      <c r="AI962" s="350">
        <v>142567321.23724136</v>
      </c>
      <c r="AJ962" s="350">
        <v>143670077.36592242</v>
      </c>
      <c r="AK962" s="348">
        <v>707318815.05871737</v>
      </c>
      <c r="AL962" s="369"/>
      <c r="AM962" s="350">
        <v>180638161.60283694</v>
      </c>
      <c r="AN962" s="350">
        <v>223967338.23151374</v>
      </c>
      <c r="AO962" s="350">
        <v>267886787.07258821</v>
      </c>
      <c r="AP962" s="350">
        <v>312464287.49952579</v>
      </c>
      <c r="AQ962" s="350">
        <v>357710647.13225615</v>
      </c>
      <c r="AR962" s="348">
        <v>1342667221.5387208</v>
      </c>
      <c r="AS962" s="369"/>
      <c r="AT962" s="350">
        <f t="shared" si="387"/>
        <v>41403739.744557768</v>
      </c>
      <c r="AU962" s="350">
        <f t="shared" si="370"/>
        <v>83590915.579315662</v>
      </c>
      <c r="AV962" s="350">
        <f t="shared" si="371"/>
        <v>126416215.12751195</v>
      </c>
      <c r="AW962" s="350">
        <f t="shared" si="372"/>
        <v>169896966.26228443</v>
      </c>
      <c r="AX962" s="350">
        <f t="shared" si="373"/>
        <v>214040569.76633373</v>
      </c>
      <c r="AY962" s="350">
        <f t="shared" si="374"/>
        <v>635348406.48000348</v>
      </c>
      <c r="AZ962" s="365"/>
      <c r="BA962" s="377">
        <f t="shared" si="375"/>
        <v>0</v>
      </c>
      <c r="BB962" s="377">
        <f t="shared" si="376"/>
        <v>0</v>
      </c>
      <c r="BC962" s="377">
        <f t="shared" si="377"/>
        <v>0</v>
      </c>
      <c r="BD962" s="377">
        <f t="shared" si="378"/>
        <v>0</v>
      </c>
      <c r="BE962" s="377">
        <f t="shared" si="379"/>
        <v>0</v>
      </c>
      <c r="BF962" s="377">
        <f t="shared" si="380"/>
        <v>0</v>
      </c>
      <c r="BG962" s="328"/>
    </row>
    <row r="963" spans="2:59">
      <c r="B963" s="332">
        <v>948</v>
      </c>
      <c r="C963" s="350">
        <v>114764262.09020488</v>
      </c>
      <c r="D963" s="350">
        <v>115705558.62213528</v>
      </c>
      <c r="E963" s="350">
        <v>116607413.45471038</v>
      </c>
      <c r="F963" s="350">
        <v>117511411.34211063</v>
      </c>
      <c r="G963" s="350">
        <v>118420360.37701491</v>
      </c>
      <c r="H963" s="348">
        <v>583009005.88617611</v>
      </c>
      <c r="I963" s="369"/>
      <c r="J963" s="350">
        <v>146402582.35866761</v>
      </c>
      <c r="K963" s="350">
        <v>179591275.16303319</v>
      </c>
      <c r="L963" s="350">
        <v>213228305.58205792</v>
      </c>
      <c r="M963" s="350">
        <v>247368499.897746</v>
      </c>
      <c r="N963" s="350">
        <v>282020323.03928369</v>
      </c>
      <c r="O963" s="348">
        <v>1068610986.0407884</v>
      </c>
      <c r="P963" s="369"/>
      <c r="Q963" s="350">
        <f t="shared" si="381"/>
        <v>31638320.268462732</v>
      </c>
      <c r="R963" s="350">
        <f t="shared" si="382"/>
        <v>63885716.540897906</v>
      </c>
      <c r="S963" s="350">
        <f t="shared" si="383"/>
        <v>96620892.127347544</v>
      </c>
      <c r="T963" s="350">
        <f t="shared" si="384"/>
        <v>129857088.55563536</v>
      </c>
      <c r="U963" s="350">
        <f t="shared" si="385"/>
        <v>163599962.66226879</v>
      </c>
      <c r="V963" s="350">
        <f t="shared" si="386"/>
        <v>485601980.1546123</v>
      </c>
      <c r="W963" s="365"/>
      <c r="X963" s="377">
        <f t="shared" si="364"/>
        <v>0</v>
      </c>
      <c r="Y963" s="377">
        <f t="shared" si="365"/>
        <v>0</v>
      </c>
      <c r="Z963" s="377">
        <f t="shared" si="366"/>
        <v>0</v>
      </c>
      <c r="AA963" s="377">
        <f t="shared" si="367"/>
        <v>0</v>
      </c>
      <c r="AB963" s="377">
        <f t="shared" si="368"/>
        <v>0</v>
      </c>
      <c r="AC963" s="377">
        <f t="shared" si="369"/>
        <v>0</v>
      </c>
      <c r="AD963" s="376"/>
      <c r="AE963" s="332">
        <v>948</v>
      </c>
      <c r="AF963" s="350">
        <v>141748821.03187606</v>
      </c>
      <c r="AG963" s="350">
        <v>142911444.92900577</v>
      </c>
      <c r="AH963" s="350">
        <v>144025353.18695226</v>
      </c>
      <c r="AI963" s="350">
        <v>145141908.39691454</v>
      </c>
      <c r="AJ963" s="350">
        <v>146264578.91933265</v>
      </c>
      <c r="AK963" s="348">
        <v>720092106.46408117</v>
      </c>
      <c r="AL963" s="369"/>
      <c r="AM963" s="350">
        <v>178378472.56094307</v>
      </c>
      <c r="AN963" s="350">
        <v>216908410.80773559</v>
      </c>
      <c r="AO963" s="350">
        <v>255954872.46982932</v>
      </c>
      <c r="AP963" s="350">
        <v>295584552.48463994</v>
      </c>
      <c r="AQ963" s="350">
        <v>335807473.44463944</v>
      </c>
      <c r="AR963" s="348">
        <v>1282633781.7677875</v>
      </c>
      <c r="AS963" s="369"/>
      <c r="AT963" s="350">
        <f t="shared" si="387"/>
        <v>36629651.52906701</v>
      </c>
      <c r="AU963" s="350">
        <f t="shared" si="370"/>
        <v>73996965.87872982</v>
      </c>
      <c r="AV963" s="350">
        <f t="shared" si="371"/>
        <v>111929519.28287706</v>
      </c>
      <c r="AW963" s="350">
        <f t="shared" si="372"/>
        <v>150442644.0877254</v>
      </c>
      <c r="AX963" s="350">
        <f t="shared" si="373"/>
        <v>189542894.52530679</v>
      </c>
      <c r="AY963" s="350">
        <f t="shared" si="374"/>
        <v>562541675.30370629</v>
      </c>
      <c r="AZ963" s="365"/>
      <c r="BA963" s="377">
        <f t="shared" si="375"/>
        <v>0</v>
      </c>
      <c r="BB963" s="377">
        <f t="shared" si="376"/>
        <v>0</v>
      </c>
      <c r="BC963" s="377">
        <f t="shared" si="377"/>
        <v>0</v>
      </c>
      <c r="BD963" s="377">
        <f t="shared" si="378"/>
        <v>0</v>
      </c>
      <c r="BE963" s="377">
        <f t="shared" si="379"/>
        <v>0</v>
      </c>
      <c r="BF963" s="377">
        <f t="shared" si="380"/>
        <v>0</v>
      </c>
      <c r="BG963" s="328"/>
    </row>
    <row r="964" spans="2:59">
      <c r="B964" s="332">
        <v>949</v>
      </c>
      <c r="C964" s="350">
        <v>127752683.05278</v>
      </c>
      <c r="D964" s="350">
        <v>128800510.61958706</v>
      </c>
      <c r="E964" s="350">
        <v>129804432.68109976</v>
      </c>
      <c r="F964" s="350">
        <v>130810740.33721185</v>
      </c>
      <c r="G964" s="350">
        <v>131822559.4858941</v>
      </c>
      <c r="H964" s="348">
        <v>648990926.1765728</v>
      </c>
      <c r="I964" s="369"/>
      <c r="J964" s="350">
        <v>162009083.90338728</v>
      </c>
      <c r="K964" s="350">
        <v>197992751.91971618</v>
      </c>
      <c r="L964" s="350">
        <v>234460968.81991109</v>
      </c>
      <c r="M964" s="350">
        <v>271474364.08133298</v>
      </c>
      <c r="N964" s="350">
        <v>309042191.59049159</v>
      </c>
      <c r="O964" s="348">
        <v>1174979360.3148391</v>
      </c>
      <c r="P964" s="369"/>
      <c r="Q964" s="350">
        <f t="shared" si="381"/>
        <v>34256400.850607276</v>
      </c>
      <c r="R964" s="350">
        <f t="shared" si="382"/>
        <v>69192241.300129116</v>
      </c>
      <c r="S964" s="350">
        <f t="shared" si="383"/>
        <v>104656536.13881133</v>
      </c>
      <c r="T964" s="350">
        <f t="shared" si="384"/>
        <v>140663623.74412113</v>
      </c>
      <c r="U964" s="350">
        <f t="shared" si="385"/>
        <v>177219632.10459751</v>
      </c>
      <c r="V964" s="350">
        <f t="shared" si="386"/>
        <v>525988434.13826632</v>
      </c>
      <c r="W964" s="365"/>
      <c r="X964" s="377">
        <f t="shared" si="364"/>
        <v>0</v>
      </c>
      <c r="Y964" s="377">
        <f t="shared" si="365"/>
        <v>0</v>
      </c>
      <c r="Z964" s="377">
        <f t="shared" si="366"/>
        <v>0</v>
      </c>
      <c r="AA964" s="377">
        <f t="shared" si="367"/>
        <v>0</v>
      </c>
      <c r="AB964" s="377">
        <f t="shared" si="368"/>
        <v>0</v>
      </c>
      <c r="AC964" s="377">
        <f t="shared" si="369"/>
        <v>0</v>
      </c>
      <c r="AD964" s="376"/>
      <c r="AE964" s="332">
        <v>949</v>
      </c>
      <c r="AF964" s="350">
        <v>113109713.61625692</v>
      </c>
      <c r="AG964" s="350">
        <v>114037439.54082166</v>
      </c>
      <c r="AH964" s="350">
        <v>114926292.39429815</v>
      </c>
      <c r="AI964" s="350">
        <v>115817257.40632583</v>
      </c>
      <c r="AJ964" s="350">
        <v>116713102.18550441</v>
      </c>
      <c r="AK964" s="348">
        <v>574603805.14320695</v>
      </c>
      <c r="AL964" s="369"/>
      <c r="AM964" s="350">
        <v>140143961.81942534</v>
      </c>
      <c r="AN964" s="350">
        <v>168630341.33115172</v>
      </c>
      <c r="AO964" s="350">
        <v>197494706.24172121</v>
      </c>
      <c r="AP964" s="350">
        <v>226789356.59503067</v>
      </c>
      <c r="AQ964" s="350">
        <v>256521894.24692288</v>
      </c>
      <c r="AR964" s="348">
        <v>989580260.23425186</v>
      </c>
      <c r="AS964" s="369"/>
      <c r="AT964" s="350">
        <f t="shared" si="387"/>
        <v>27034248.203168422</v>
      </c>
      <c r="AU964" s="350">
        <f t="shared" si="370"/>
        <v>54592901.790330067</v>
      </c>
      <c r="AV964" s="350">
        <f t="shared" si="371"/>
        <v>82568413.847423062</v>
      </c>
      <c r="AW964" s="350">
        <f t="shared" si="372"/>
        <v>110972099.18870483</v>
      </c>
      <c r="AX964" s="350">
        <f t="shared" si="373"/>
        <v>139808792.06141847</v>
      </c>
      <c r="AY964" s="350">
        <f t="shared" si="374"/>
        <v>414976455.0910449</v>
      </c>
      <c r="AZ964" s="365"/>
      <c r="BA964" s="377">
        <f t="shared" si="375"/>
        <v>0</v>
      </c>
      <c r="BB964" s="377">
        <f t="shared" si="376"/>
        <v>0</v>
      </c>
      <c r="BC964" s="377">
        <f t="shared" si="377"/>
        <v>0</v>
      </c>
      <c r="BD964" s="377">
        <f t="shared" si="378"/>
        <v>0</v>
      </c>
      <c r="BE964" s="377">
        <f t="shared" si="379"/>
        <v>0</v>
      </c>
      <c r="BF964" s="377">
        <f t="shared" si="380"/>
        <v>0</v>
      </c>
      <c r="BG964" s="328"/>
    </row>
    <row r="965" spans="2:59">
      <c r="B965" s="332">
        <v>950</v>
      </c>
      <c r="C965" s="350">
        <v>105229313.46188575</v>
      </c>
      <c r="D965" s="350">
        <v>106092404.34065805</v>
      </c>
      <c r="E965" s="350">
        <v>106919330.45115373</v>
      </c>
      <c r="F965" s="350">
        <v>107748221.56524774</v>
      </c>
      <c r="G965" s="350">
        <v>108581652.47111318</v>
      </c>
      <c r="H965" s="348">
        <v>534570922.29005849</v>
      </c>
      <c r="I965" s="369"/>
      <c r="J965" s="350">
        <v>136933672.17083269</v>
      </c>
      <c r="K965" s="350">
        <v>170115003.54313797</v>
      </c>
      <c r="L965" s="350">
        <v>203749022.69743246</v>
      </c>
      <c r="M965" s="350">
        <v>237887128.76875332</v>
      </c>
      <c r="N965" s="350">
        <v>272537565.7287631</v>
      </c>
      <c r="O965" s="348">
        <v>1021222392.9089196</v>
      </c>
      <c r="P965" s="369"/>
      <c r="Q965" s="350">
        <f t="shared" si="381"/>
        <v>31704358.708946943</v>
      </c>
      <c r="R965" s="350">
        <f t="shared" si="382"/>
        <v>64022599.202479914</v>
      </c>
      <c r="S965" s="350">
        <f t="shared" si="383"/>
        <v>96829692.246278733</v>
      </c>
      <c r="T965" s="350">
        <f t="shared" si="384"/>
        <v>130138907.20350558</v>
      </c>
      <c r="U965" s="350">
        <f t="shared" si="385"/>
        <v>163955913.25764993</v>
      </c>
      <c r="V965" s="350">
        <f t="shared" si="386"/>
        <v>486651470.61886108</v>
      </c>
      <c r="W965" s="365"/>
      <c r="X965" s="377">
        <f t="shared" si="364"/>
        <v>0</v>
      </c>
      <c r="Y965" s="377">
        <f t="shared" si="365"/>
        <v>0</v>
      </c>
      <c r="Z965" s="377">
        <f t="shared" si="366"/>
        <v>0</v>
      </c>
      <c r="AA965" s="377">
        <f t="shared" si="367"/>
        <v>0</v>
      </c>
      <c r="AB965" s="377">
        <f t="shared" si="368"/>
        <v>0</v>
      </c>
      <c r="AC965" s="377">
        <f t="shared" si="369"/>
        <v>0</v>
      </c>
      <c r="AD965" s="376"/>
      <c r="AE965" s="332">
        <v>950</v>
      </c>
      <c r="AF965" s="350">
        <v>123728316.25493687</v>
      </c>
      <c r="AG965" s="350">
        <v>124743135.96336508</v>
      </c>
      <c r="AH965" s="350">
        <v>125715433.2439696</v>
      </c>
      <c r="AI965" s="350">
        <v>126690040.97000667</v>
      </c>
      <c r="AJ965" s="350">
        <v>127669986.56981242</v>
      </c>
      <c r="AK965" s="348">
        <v>628546913.00209069</v>
      </c>
      <c r="AL965" s="369"/>
      <c r="AM965" s="350">
        <v>156302954.67777219</v>
      </c>
      <c r="AN965" s="350">
        <v>190547251.64553627</v>
      </c>
      <c r="AO965" s="350">
        <v>225251673.44700468</v>
      </c>
      <c r="AP965" s="350">
        <v>260474687.90000224</v>
      </c>
      <c r="AQ965" s="350">
        <v>296225150.91416293</v>
      </c>
      <c r="AR965" s="348">
        <v>1128801718.5844784</v>
      </c>
      <c r="AS965" s="369"/>
      <c r="AT965" s="350">
        <f t="shared" si="387"/>
        <v>32574638.42283532</v>
      </c>
      <c r="AU965" s="350">
        <f t="shared" si="370"/>
        <v>65804115.682171196</v>
      </c>
      <c r="AV965" s="350">
        <f t="shared" si="371"/>
        <v>99536240.203035071</v>
      </c>
      <c r="AW965" s="350">
        <f t="shared" si="372"/>
        <v>133784646.92999557</v>
      </c>
      <c r="AX965" s="350">
        <f t="shared" si="373"/>
        <v>168555164.34435052</v>
      </c>
      <c r="AY965" s="350">
        <f t="shared" si="374"/>
        <v>500254805.58238769</v>
      </c>
      <c r="AZ965" s="365"/>
      <c r="BA965" s="377">
        <f t="shared" si="375"/>
        <v>0</v>
      </c>
      <c r="BB965" s="377">
        <f t="shared" si="376"/>
        <v>0</v>
      </c>
      <c r="BC965" s="377">
        <f t="shared" si="377"/>
        <v>0</v>
      </c>
      <c r="BD965" s="377">
        <f t="shared" si="378"/>
        <v>0</v>
      </c>
      <c r="BE965" s="377">
        <f t="shared" si="379"/>
        <v>0</v>
      </c>
      <c r="BF965" s="377">
        <f t="shared" si="380"/>
        <v>0</v>
      </c>
      <c r="BG965" s="328"/>
    </row>
    <row r="966" spans="2:59">
      <c r="B966" s="332">
        <v>951</v>
      </c>
      <c r="C966" s="350">
        <v>155415816.84531802</v>
      </c>
      <c r="D966" s="350">
        <v>156690537.44857201</v>
      </c>
      <c r="E966" s="350">
        <v>157911845.39695042</v>
      </c>
      <c r="F966" s="350">
        <v>159136055.5085122</v>
      </c>
      <c r="G966" s="350">
        <v>160366970.55259952</v>
      </c>
      <c r="H966" s="348">
        <v>789521225.75195217</v>
      </c>
      <c r="I966" s="369"/>
      <c r="J966" s="350">
        <v>193896670.74360171</v>
      </c>
      <c r="K966" s="350">
        <v>234409750.51514965</v>
      </c>
      <c r="L966" s="350">
        <v>275462951.10440236</v>
      </c>
      <c r="M966" s="350">
        <v>317128693.57827705</v>
      </c>
      <c r="N966" s="350">
        <v>359417663.51651502</v>
      </c>
      <c r="O966" s="348">
        <v>1380315729.4579458</v>
      </c>
      <c r="P966" s="369"/>
      <c r="Q966" s="350">
        <f t="shared" si="381"/>
        <v>38480853.89828369</v>
      </c>
      <c r="R966" s="350">
        <f t="shared" si="382"/>
        <v>77719213.066577643</v>
      </c>
      <c r="S966" s="350">
        <f t="shared" si="383"/>
        <v>117551105.70745194</v>
      </c>
      <c r="T966" s="350">
        <f t="shared" si="384"/>
        <v>157992638.06976485</v>
      </c>
      <c r="U966" s="350">
        <f t="shared" si="385"/>
        <v>199050692.9639155</v>
      </c>
      <c r="V966" s="350">
        <f t="shared" si="386"/>
        <v>590794503.70599365</v>
      </c>
      <c r="W966" s="365"/>
      <c r="X966" s="377">
        <f t="shared" si="364"/>
        <v>0</v>
      </c>
      <c r="Y966" s="377">
        <f t="shared" si="365"/>
        <v>0</v>
      </c>
      <c r="Z966" s="377">
        <f t="shared" si="366"/>
        <v>0</v>
      </c>
      <c r="AA966" s="377">
        <f t="shared" si="367"/>
        <v>0</v>
      </c>
      <c r="AB966" s="377">
        <f t="shared" si="368"/>
        <v>0</v>
      </c>
      <c r="AC966" s="377">
        <f t="shared" si="369"/>
        <v>0</v>
      </c>
      <c r="AD966" s="376"/>
      <c r="AE966" s="332">
        <v>951</v>
      </c>
      <c r="AF966" s="350">
        <v>133569721.77543876</v>
      </c>
      <c r="AG966" s="350">
        <v>134665260.69659969</v>
      </c>
      <c r="AH966" s="350">
        <v>135714894.93704125</v>
      </c>
      <c r="AI966" s="350">
        <v>136767023.39677665</v>
      </c>
      <c r="AJ966" s="350">
        <v>137824914.30714372</v>
      </c>
      <c r="AK966" s="348">
        <v>678541815.11300004</v>
      </c>
      <c r="AL966" s="369"/>
      <c r="AM966" s="350">
        <v>168341557.64959514</v>
      </c>
      <c r="AN966" s="350">
        <v>204916037.26848119</v>
      </c>
      <c r="AO966" s="350">
        <v>241981289.82588756</v>
      </c>
      <c r="AP966" s="350">
        <v>279600269.30922276</v>
      </c>
      <c r="AQ966" s="350">
        <v>317782466.80484354</v>
      </c>
      <c r="AR966" s="348">
        <v>1212621620.8580303</v>
      </c>
      <c r="AS966" s="369"/>
      <c r="AT966" s="350">
        <f t="shared" si="387"/>
        <v>34771835.874156386</v>
      </c>
      <c r="AU966" s="350">
        <f t="shared" si="370"/>
        <v>70250776.571881503</v>
      </c>
      <c r="AV966" s="350">
        <f t="shared" si="371"/>
        <v>106266394.88884631</v>
      </c>
      <c r="AW966" s="350">
        <f t="shared" si="372"/>
        <v>142833245.91244611</v>
      </c>
      <c r="AX966" s="350">
        <f t="shared" si="373"/>
        <v>179957552.49769983</v>
      </c>
      <c r="AY966" s="350">
        <f t="shared" si="374"/>
        <v>534079805.74503028</v>
      </c>
      <c r="AZ966" s="365"/>
      <c r="BA966" s="377">
        <f t="shared" si="375"/>
        <v>0</v>
      </c>
      <c r="BB966" s="377">
        <f t="shared" si="376"/>
        <v>0</v>
      </c>
      <c r="BC966" s="377">
        <f t="shared" si="377"/>
        <v>0</v>
      </c>
      <c r="BD966" s="377">
        <f t="shared" si="378"/>
        <v>0</v>
      </c>
      <c r="BE966" s="377">
        <f t="shared" si="379"/>
        <v>0</v>
      </c>
      <c r="BF966" s="377">
        <f t="shared" si="380"/>
        <v>0</v>
      </c>
      <c r="BG966" s="328"/>
    </row>
    <row r="967" spans="2:59">
      <c r="B967" s="332">
        <v>952</v>
      </c>
      <c r="C967" s="350">
        <v>104644987.56835328</v>
      </c>
      <c r="D967" s="350">
        <v>105503285.80587053</v>
      </c>
      <c r="E967" s="350">
        <v>106325620.09377888</v>
      </c>
      <c r="F967" s="350">
        <v>107149908.47385374</v>
      </c>
      <c r="G967" s="350">
        <v>107978711.43677488</v>
      </c>
      <c r="H967" s="348">
        <v>531602513.37863123</v>
      </c>
      <c r="I967" s="369"/>
      <c r="J967" s="350">
        <v>131845544.92510241</v>
      </c>
      <c r="K967" s="350">
        <v>160441832.88230336</v>
      </c>
      <c r="L967" s="350">
        <v>189421732.57255447</v>
      </c>
      <c r="M967" s="350">
        <v>218834547.00289491</v>
      </c>
      <c r="N967" s="350">
        <v>248687702.14658192</v>
      </c>
      <c r="O967" s="348">
        <v>949231359.52943707</v>
      </c>
      <c r="P967" s="369"/>
      <c r="Q967" s="350">
        <f t="shared" si="381"/>
        <v>27200557.356749132</v>
      </c>
      <c r="R967" s="350">
        <f t="shared" si="382"/>
        <v>54938547.076432824</v>
      </c>
      <c r="S967" s="350">
        <f t="shared" si="383"/>
        <v>83096112.478775591</v>
      </c>
      <c r="T967" s="350">
        <f t="shared" si="384"/>
        <v>111684638.52904117</v>
      </c>
      <c r="U967" s="350">
        <f t="shared" si="385"/>
        <v>140708990.70980704</v>
      </c>
      <c r="V967" s="350">
        <f t="shared" si="386"/>
        <v>417628846.15080583</v>
      </c>
      <c r="W967" s="365"/>
      <c r="X967" s="377">
        <f t="shared" si="364"/>
        <v>0</v>
      </c>
      <c r="Y967" s="377">
        <f t="shared" si="365"/>
        <v>0</v>
      </c>
      <c r="Z967" s="377">
        <f t="shared" si="366"/>
        <v>0</v>
      </c>
      <c r="AA967" s="377">
        <f t="shared" si="367"/>
        <v>0</v>
      </c>
      <c r="AB967" s="377">
        <f t="shared" si="368"/>
        <v>0</v>
      </c>
      <c r="AC967" s="377">
        <f t="shared" si="369"/>
        <v>0</v>
      </c>
      <c r="AD967" s="376"/>
      <c r="AE967" s="332">
        <v>952</v>
      </c>
      <c r="AF967" s="350">
        <v>143553892.23416877</v>
      </c>
      <c r="AG967" s="350">
        <v>144731321.32615319</v>
      </c>
      <c r="AH967" s="350">
        <v>145859414.41966856</v>
      </c>
      <c r="AI967" s="350">
        <v>146990188.17226562</v>
      </c>
      <c r="AJ967" s="350">
        <v>148127155.11150706</v>
      </c>
      <c r="AK967" s="348">
        <v>729261971.26376319</v>
      </c>
      <c r="AL967" s="369"/>
      <c r="AM967" s="350">
        <v>173967366.08450854</v>
      </c>
      <c r="AN967" s="350">
        <v>206191044.11357683</v>
      </c>
      <c r="AO967" s="350">
        <v>238835018.58254859</v>
      </c>
      <c r="AP967" s="350">
        <v>271964037.67112988</v>
      </c>
      <c r="AQ967" s="350">
        <v>305587058.96127814</v>
      </c>
      <c r="AR967" s="348">
        <v>1196544525.4130421</v>
      </c>
      <c r="AS967" s="369"/>
      <c r="AT967" s="350">
        <f t="shared" si="387"/>
        <v>30413473.85033977</v>
      </c>
      <c r="AU967" s="350">
        <f t="shared" si="370"/>
        <v>61459722.78742364</v>
      </c>
      <c r="AV967" s="350">
        <f t="shared" si="371"/>
        <v>92975604.162880033</v>
      </c>
      <c r="AW967" s="350">
        <f t="shared" si="372"/>
        <v>124973849.49886426</v>
      </c>
      <c r="AX967" s="350">
        <f t="shared" si="373"/>
        <v>157459903.84977108</v>
      </c>
      <c r="AY967" s="350">
        <f t="shared" si="374"/>
        <v>467282554.14927888</v>
      </c>
      <c r="AZ967" s="365"/>
      <c r="BA967" s="377">
        <f t="shared" si="375"/>
        <v>0</v>
      </c>
      <c r="BB967" s="377">
        <f t="shared" si="376"/>
        <v>0</v>
      </c>
      <c r="BC967" s="377">
        <f t="shared" si="377"/>
        <v>0</v>
      </c>
      <c r="BD967" s="377">
        <f t="shared" si="378"/>
        <v>0</v>
      </c>
      <c r="BE967" s="377">
        <f t="shared" si="379"/>
        <v>0</v>
      </c>
      <c r="BF967" s="377">
        <f t="shared" si="380"/>
        <v>0</v>
      </c>
      <c r="BG967" s="328"/>
    </row>
    <row r="968" spans="2:59">
      <c r="B968" s="332">
        <v>953</v>
      </c>
      <c r="C968" s="350">
        <v>130106668.38268636</v>
      </c>
      <c r="D968" s="350">
        <v>131173803.33828235</v>
      </c>
      <c r="E968" s="350">
        <v>132196223.78079732</v>
      </c>
      <c r="F968" s="350">
        <v>133221073.77514648</v>
      </c>
      <c r="G968" s="350">
        <v>134251536.81744879</v>
      </c>
      <c r="H968" s="348">
        <v>660949306.09436131</v>
      </c>
      <c r="I968" s="369"/>
      <c r="J968" s="350">
        <v>162910106.08221069</v>
      </c>
      <c r="K968" s="350">
        <v>197433588.54931062</v>
      </c>
      <c r="L968" s="350">
        <v>232418432.51071429</v>
      </c>
      <c r="M968" s="350">
        <v>267925512.38291436</v>
      </c>
      <c r="N968" s="350">
        <v>303963880.08516258</v>
      </c>
      <c r="O968" s="348">
        <v>1164651519.6103127</v>
      </c>
      <c r="P968" s="369"/>
      <c r="Q968" s="350">
        <f t="shared" si="381"/>
        <v>32803437.699524328</v>
      </c>
      <c r="R968" s="350">
        <f t="shared" si="382"/>
        <v>66259785.211028278</v>
      </c>
      <c r="S968" s="350">
        <f t="shared" si="383"/>
        <v>100222208.72991697</v>
      </c>
      <c r="T968" s="350">
        <f t="shared" si="384"/>
        <v>134704438.60776788</v>
      </c>
      <c r="U968" s="350">
        <f t="shared" si="385"/>
        <v>169712343.26771379</v>
      </c>
      <c r="V968" s="350">
        <f t="shared" si="386"/>
        <v>503702213.5159514</v>
      </c>
      <c r="W968" s="365"/>
      <c r="X968" s="377">
        <f t="shared" si="364"/>
        <v>0</v>
      </c>
      <c r="Y968" s="377">
        <f t="shared" si="365"/>
        <v>0</v>
      </c>
      <c r="Z968" s="377">
        <f t="shared" si="366"/>
        <v>0</v>
      </c>
      <c r="AA968" s="377">
        <f t="shared" si="367"/>
        <v>0</v>
      </c>
      <c r="AB968" s="377">
        <f t="shared" si="368"/>
        <v>0</v>
      </c>
      <c r="AC968" s="377">
        <f t="shared" si="369"/>
        <v>0</v>
      </c>
      <c r="AD968" s="376"/>
      <c r="AE968" s="332">
        <v>953</v>
      </c>
      <c r="AF968" s="350">
        <v>127761075.87820017</v>
      </c>
      <c r="AG968" s="350">
        <v>128808972.28296529</v>
      </c>
      <c r="AH968" s="350">
        <v>129812960.29802506</v>
      </c>
      <c r="AI968" s="350">
        <v>130819334.064408</v>
      </c>
      <c r="AJ968" s="350">
        <v>131831219.68544346</v>
      </c>
      <c r="AK968" s="348">
        <v>649033562.20904207</v>
      </c>
      <c r="AL968" s="369"/>
      <c r="AM968" s="350">
        <v>163969125.95098311</v>
      </c>
      <c r="AN968" s="350">
        <v>201941203.45978549</v>
      </c>
      <c r="AO968" s="350">
        <v>240427902.52208936</v>
      </c>
      <c r="AP968" s="350">
        <v>279490672.42763251</v>
      </c>
      <c r="AQ968" s="350">
        <v>319139116.08294159</v>
      </c>
      <c r="AR968" s="348">
        <v>1204968020.4434321</v>
      </c>
      <c r="AS968" s="369"/>
      <c r="AT968" s="350">
        <f t="shared" si="387"/>
        <v>36208050.072782934</v>
      </c>
      <c r="AU968" s="350">
        <f t="shared" si="370"/>
        <v>73132231.176820204</v>
      </c>
      <c r="AV968" s="350">
        <f t="shared" si="371"/>
        <v>110614942.22406431</v>
      </c>
      <c r="AW968" s="350">
        <f t="shared" si="372"/>
        <v>148671338.36322451</v>
      </c>
      <c r="AX968" s="350">
        <f t="shared" si="373"/>
        <v>187307896.39749813</v>
      </c>
      <c r="AY968" s="350">
        <f t="shared" si="374"/>
        <v>555934458.23439002</v>
      </c>
      <c r="AZ968" s="365"/>
      <c r="BA968" s="377">
        <f t="shared" si="375"/>
        <v>0</v>
      </c>
      <c r="BB968" s="377">
        <f t="shared" si="376"/>
        <v>0</v>
      </c>
      <c r="BC968" s="377">
        <f t="shared" si="377"/>
        <v>0</v>
      </c>
      <c r="BD968" s="377">
        <f t="shared" si="378"/>
        <v>0</v>
      </c>
      <c r="BE968" s="377">
        <f t="shared" si="379"/>
        <v>0</v>
      </c>
      <c r="BF968" s="377">
        <f t="shared" si="380"/>
        <v>0</v>
      </c>
      <c r="BG968" s="328"/>
    </row>
    <row r="969" spans="2:59">
      <c r="B969" s="332">
        <v>954</v>
      </c>
      <c r="C969" s="350">
        <v>121204904.7863182</v>
      </c>
      <c r="D969" s="350">
        <v>122199027.47268757</v>
      </c>
      <c r="E969" s="350">
        <v>123151494.96668348</v>
      </c>
      <c r="F969" s="350">
        <v>124106225.78509155</v>
      </c>
      <c r="G969" s="350">
        <v>125066185.61252107</v>
      </c>
      <c r="H969" s="348">
        <v>615727838.62330186</v>
      </c>
      <c r="I969" s="369"/>
      <c r="J969" s="350">
        <v>151176879.77426553</v>
      </c>
      <c r="K969" s="350">
        <v>182771087.34787089</v>
      </c>
      <c r="L969" s="350">
        <v>214786525.19195148</v>
      </c>
      <c r="M969" s="350">
        <v>247279658.77879086</v>
      </c>
      <c r="N969" s="350">
        <v>280258820.49398452</v>
      </c>
      <c r="O969" s="348">
        <v>1076272971.5868633</v>
      </c>
      <c r="P969" s="369"/>
      <c r="Q969" s="350">
        <f t="shared" si="381"/>
        <v>29971974.98794733</v>
      </c>
      <c r="R969" s="350">
        <f t="shared" si="382"/>
        <v>60572059.875183314</v>
      </c>
      <c r="S969" s="350">
        <f t="shared" si="383"/>
        <v>91635030.225268006</v>
      </c>
      <c r="T969" s="350">
        <f t="shared" si="384"/>
        <v>123173432.99369931</v>
      </c>
      <c r="U969" s="350">
        <f t="shared" si="385"/>
        <v>155192634.88146347</v>
      </c>
      <c r="V969" s="350">
        <f t="shared" si="386"/>
        <v>460545132.96356142</v>
      </c>
      <c r="W969" s="365"/>
      <c r="X969" s="377">
        <f t="shared" si="364"/>
        <v>0</v>
      </c>
      <c r="Y969" s="377">
        <f t="shared" si="365"/>
        <v>0</v>
      </c>
      <c r="Z969" s="377">
        <f t="shared" si="366"/>
        <v>0</v>
      </c>
      <c r="AA969" s="377">
        <f t="shared" si="367"/>
        <v>0</v>
      </c>
      <c r="AB969" s="377">
        <f t="shared" si="368"/>
        <v>0</v>
      </c>
      <c r="AC969" s="377">
        <f t="shared" si="369"/>
        <v>0</v>
      </c>
      <c r="AD969" s="376"/>
      <c r="AE969" s="332">
        <v>954</v>
      </c>
      <c r="AF969" s="350">
        <v>160862910.74097899</v>
      </c>
      <c r="AG969" s="350">
        <v>162182308.41094089</v>
      </c>
      <c r="AH969" s="350">
        <v>163446421.39168584</v>
      </c>
      <c r="AI969" s="350">
        <v>164713538.25212973</v>
      </c>
      <c r="AJ969" s="350">
        <v>165987595.04304069</v>
      </c>
      <c r="AK969" s="348">
        <v>817192773.83877611</v>
      </c>
      <c r="AL969" s="369"/>
      <c r="AM969" s="350">
        <v>191231272.42938581</v>
      </c>
      <c r="AN969" s="350">
        <v>223541927.45535943</v>
      </c>
      <c r="AO969" s="350">
        <v>256266094.25024086</v>
      </c>
      <c r="AP969" s="350">
        <v>289474773.52369887</v>
      </c>
      <c r="AQ969" s="350">
        <v>323177336.93952656</v>
      </c>
      <c r="AR969" s="348">
        <v>1283691404.5982115</v>
      </c>
      <c r="AS969" s="369"/>
      <c r="AT969" s="350">
        <f t="shared" si="387"/>
        <v>30368361.688406825</v>
      </c>
      <c r="AU969" s="350">
        <f t="shared" si="370"/>
        <v>61359619.044418544</v>
      </c>
      <c r="AV969" s="350">
        <f t="shared" si="371"/>
        <v>92819672.858555019</v>
      </c>
      <c r="AW969" s="350">
        <f t="shared" si="372"/>
        <v>124761235.27156913</v>
      </c>
      <c r="AX969" s="350">
        <f t="shared" si="373"/>
        <v>157189741.89648587</v>
      </c>
      <c r="AY969" s="350">
        <f t="shared" si="374"/>
        <v>466498630.75943542</v>
      </c>
      <c r="AZ969" s="365"/>
      <c r="BA969" s="377">
        <f t="shared" si="375"/>
        <v>0</v>
      </c>
      <c r="BB969" s="377">
        <f t="shared" si="376"/>
        <v>0</v>
      </c>
      <c r="BC969" s="377">
        <f t="shared" si="377"/>
        <v>0</v>
      </c>
      <c r="BD969" s="377">
        <f t="shared" si="378"/>
        <v>0</v>
      </c>
      <c r="BE969" s="377">
        <f t="shared" si="379"/>
        <v>0</v>
      </c>
      <c r="BF969" s="377">
        <f t="shared" si="380"/>
        <v>0</v>
      </c>
      <c r="BG969" s="328"/>
    </row>
    <row r="970" spans="2:59">
      <c r="B970" s="332">
        <v>955</v>
      </c>
      <c r="C970" s="350">
        <v>129763318.98258877</v>
      </c>
      <c r="D970" s="350">
        <v>130827637.78624286</v>
      </c>
      <c r="E970" s="350">
        <v>131847360.07769492</v>
      </c>
      <c r="F970" s="350">
        <v>132869505.50943312</v>
      </c>
      <c r="G970" s="350">
        <v>133897249.17638136</v>
      </c>
      <c r="H970" s="348">
        <v>659205071.532341</v>
      </c>
      <c r="I970" s="369"/>
      <c r="J970" s="350">
        <v>162091243.00205648</v>
      </c>
      <c r="K970" s="350">
        <v>196141584.80944979</v>
      </c>
      <c r="L970" s="350">
        <v>230646298.54337439</v>
      </c>
      <c r="M970" s="350">
        <v>265665935.98902094</v>
      </c>
      <c r="N970" s="350">
        <v>301209457.83343464</v>
      </c>
      <c r="O970" s="348">
        <v>1155754520.1773362</v>
      </c>
      <c r="P970" s="369"/>
      <c r="Q970" s="350">
        <f t="shared" si="381"/>
        <v>32327924.019467711</v>
      </c>
      <c r="R970" s="350">
        <f t="shared" si="382"/>
        <v>65313947.023206934</v>
      </c>
      <c r="S970" s="350">
        <f t="shared" si="383"/>
        <v>98798938.465679467</v>
      </c>
      <c r="T970" s="350">
        <f t="shared" si="384"/>
        <v>132796430.47958782</v>
      </c>
      <c r="U970" s="350">
        <f t="shared" si="385"/>
        <v>167312208.65705329</v>
      </c>
      <c r="V970" s="350">
        <f t="shared" si="386"/>
        <v>496549448.64499521</v>
      </c>
      <c r="W970" s="365"/>
      <c r="X970" s="377">
        <f t="shared" si="364"/>
        <v>0</v>
      </c>
      <c r="Y970" s="377">
        <f t="shared" si="365"/>
        <v>0</v>
      </c>
      <c r="Z970" s="377">
        <f t="shared" si="366"/>
        <v>0</v>
      </c>
      <c r="AA970" s="377">
        <f t="shared" si="367"/>
        <v>0</v>
      </c>
      <c r="AB970" s="377">
        <f t="shared" si="368"/>
        <v>0</v>
      </c>
      <c r="AC970" s="377">
        <f t="shared" si="369"/>
        <v>0</v>
      </c>
      <c r="AD970" s="376"/>
      <c r="AE970" s="332">
        <v>955</v>
      </c>
      <c r="AF970" s="350">
        <v>122490099.0937525</v>
      </c>
      <c r="AG970" s="350">
        <v>123494762.94443917</v>
      </c>
      <c r="AH970" s="350">
        <v>124457329.91257313</v>
      </c>
      <c r="AI970" s="350">
        <v>125422184.20424424</v>
      </c>
      <c r="AJ970" s="350">
        <v>126392322.95065196</v>
      </c>
      <c r="AK970" s="348">
        <v>622256699.10566103</v>
      </c>
      <c r="AL970" s="369"/>
      <c r="AM970" s="350">
        <v>152391732.69144663</v>
      </c>
      <c r="AN970" s="350">
        <v>183885688.7421945</v>
      </c>
      <c r="AO970" s="350">
        <v>215798739.41772676</v>
      </c>
      <c r="AP970" s="350">
        <v>248187784.26735124</v>
      </c>
      <c r="AQ970" s="350">
        <v>281061168.57855648</v>
      </c>
      <c r="AR970" s="348">
        <v>1081325113.6972756</v>
      </c>
      <c r="AS970" s="369"/>
      <c r="AT970" s="350">
        <f t="shared" si="387"/>
        <v>29901633.597694129</v>
      </c>
      <c r="AU970" s="350">
        <f t="shared" si="370"/>
        <v>60390925.797755331</v>
      </c>
      <c r="AV970" s="350">
        <f t="shared" si="371"/>
        <v>91341409.505153626</v>
      </c>
      <c r="AW970" s="350">
        <f t="shared" si="372"/>
        <v>122765600.063107</v>
      </c>
      <c r="AX970" s="350">
        <f t="shared" si="373"/>
        <v>154668845.62790453</v>
      </c>
      <c r="AY970" s="350">
        <f t="shared" si="374"/>
        <v>459068414.5916146</v>
      </c>
      <c r="AZ970" s="365"/>
      <c r="BA970" s="377">
        <f t="shared" si="375"/>
        <v>0</v>
      </c>
      <c r="BB970" s="377">
        <f t="shared" si="376"/>
        <v>0</v>
      </c>
      <c r="BC970" s="377">
        <f t="shared" si="377"/>
        <v>0</v>
      </c>
      <c r="BD970" s="377">
        <f t="shared" si="378"/>
        <v>0</v>
      </c>
      <c r="BE970" s="377">
        <f t="shared" si="379"/>
        <v>0</v>
      </c>
      <c r="BF970" s="377">
        <f t="shared" si="380"/>
        <v>0</v>
      </c>
      <c r="BG970" s="328"/>
    </row>
    <row r="971" spans="2:59">
      <c r="B971" s="332">
        <v>956</v>
      </c>
      <c r="C971" s="350">
        <v>145359301.87207827</v>
      </c>
      <c r="D971" s="350">
        <v>146551538.93476656</v>
      </c>
      <c r="E971" s="350">
        <v>147693819.52338767</v>
      </c>
      <c r="F971" s="350">
        <v>148838814.48447633</v>
      </c>
      <c r="G971" s="350">
        <v>149990080.52099848</v>
      </c>
      <c r="H971" s="348">
        <v>738433555.33570731</v>
      </c>
      <c r="I971" s="369"/>
      <c r="J971" s="350">
        <v>189288205.48945388</v>
      </c>
      <c r="K971" s="350">
        <v>235251515.99782962</v>
      </c>
      <c r="L971" s="350">
        <v>281842082.87973464</v>
      </c>
      <c r="M971" s="350">
        <v>329130962.2694068</v>
      </c>
      <c r="N971" s="350">
        <v>377129564.68915069</v>
      </c>
      <c r="O971" s="348">
        <v>1412642331.3255756</v>
      </c>
      <c r="P971" s="369"/>
      <c r="Q971" s="350">
        <f t="shared" si="381"/>
        <v>43928903.617375612</v>
      </c>
      <c r="R971" s="350">
        <f t="shared" si="382"/>
        <v>88699977.063063055</v>
      </c>
      <c r="S971" s="350">
        <f t="shared" si="383"/>
        <v>134148263.35634696</v>
      </c>
      <c r="T971" s="350">
        <f t="shared" si="384"/>
        <v>180292147.78493047</v>
      </c>
      <c r="U971" s="350">
        <f t="shared" si="385"/>
        <v>227139484.16815221</v>
      </c>
      <c r="V971" s="350">
        <f t="shared" si="386"/>
        <v>674208775.98986828</v>
      </c>
      <c r="W971" s="365"/>
      <c r="X971" s="377">
        <f t="shared" si="364"/>
        <v>0</v>
      </c>
      <c r="Y971" s="377">
        <f t="shared" si="365"/>
        <v>0</v>
      </c>
      <c r="Z971" s="377">
        <f t="shared" si="366"/>
        <v>0</v>
      </c>
      <c r="AA971" s="377">
        <f t="shared" si="367"/>
        <v>0</v>
      </c>
      <c r="AB971" s="377">
        <f t="shared" si="368"/>
        <v>0</v>
      </c>
      <c r="AC971" s="377">
        <f t="shared" si="369"/>
        <v>0</v>
      </c>
      <c r="AD971" s="376"/>
      <c r="AE971" s="332">
        <v>956</v>
      </c>
      <c r="AF971" s="350">
        <v>113610952.54203877</v>
      </c>
      <c r="AG971" s="350">
        <v>114542789.62850973</v>
      </c>
      <c r="AH971" s="350">
        <v>115435581.38020466</v>
      </c>
      <c r="AI971" s="350">
        <v>116330494.65035507</v>
      </c>
      <c r="AJ971" s="350">
        <v>117230309.3120524</v>
      </c>
      <c r="AK971" s="348">
        <v>577150127.51316059</v>
      </c>
      <c r="AL971" s="369"/>
      <c r="AM971" s="350">
        <v>144587911.17680949</v>
      </c>
      <c r="AN971" s="350">
        <v>177106171.45042345</v>
      </c>
      <c r="AO971" s="350">
        <v>210063173.78779536</v>
      </c>
      <c r="AP971" s="350">
        <v>243513050.50055814</v>
      </c>
      <c r="AQ971" s="350">
        <v>277464122.05158919</v>
      </c>
      <c r="AR971" s="348">
        <v>1052734428.9671757</v>
      </c>
      <c r="AS971" s="369"/>
      <c r="AT971" s="350">
        <f t="shared" si="387"/>
        <v>30976958.634770721</v>
      </c>
      <c r="AU971" s="350">
        <f t="shared" si="370"/>
        <v>62563381.821913719</v>
      </c>
      <c r="AV971" s="350">
        <f t="shared" si="371"/>
        <v>94627592.407590702</v>
      </c>
      <c r="AW971" s="350">
        <f t="shared" si="372"/>
        <v>127182555.85020307</v>
      </c>
      <c r="AX971" s="350">
        <f t="shared" si="373"/>
        <v>160233812.73953679</v>
      </c>
      <c r="AY971" s="350">
        <f t="shared" si="374"/>
        <v>475584301.45401514</v>
      </c>
      <c r="AZ971" s="365"/>
      <c r="BA971" s="377">
        <f t="shared" si="375"/>
        <v>0</v>
      </c>
      <c r="BB971" s="377">
        <f t="shared" si="376"/>
        <v>0</v>
      </c>
      <c r="BC971" s="377">
        <f t="shared" si="377"/>
        <v>0</v>
      </c>
      <c r="BD971" s="377">
        <f t="shared" si="378"/>
        <v>0</v>
      </c>
      <c r="BE971" s="377">
        <f t="shared" si="379"/>
        <v>0</v>
      </c>
      <c r="BF971" s="377">
        <f t="shared" si="380"/>
        <v>0</v>
      </c>
      <c r="BG971" s="328"/>
    </row>
    <row r="972" spans="2:59">
      <c r="B972" s="332">
        <v>957</v>
      </c>
      <c r="C972" s="350">
        <v>163974207.05103362</v>
      </c>
      <c r="D972" s="350">
        <v>165319123.57480174</v>
      </c>
      <c r="E972" s="350">
        <v>166607686.13211083</v>
      </c>
      <c r="F972" s="350">
        <v>167899310.66802916</v>
      </c>
      <c r="G972" s="350">
        <v>169198009.36162663</v>
      </c>
      <c r="H972" s="348">
        <v>832998336.78760195</v>
      </c>
      <c r="I972" s="369"/>
      <c r="J972" s="350">
        <v>208083122.86852789</v>
      </c>
      <c r="K972" s="350">
        <v>254396975.90676653</v>
      </c>
      <c r="L972" s="350">
        <v>301334687.38992387</v>
      </c>
      <c r="M972" s="350">
        <v>348974134.69026899</v>
      </c>
      <c r="N972" s="350">
        <v>397327218.18766975</v>
      </c>
      <c r="O972" s="348">
        <v>1510116139.0431571</v>
      </c>
      <c r="P972" s="369"/>
      <c r="Q972" s="350">
        <f t="shared" si="381"/>
        <v>44108915.817494273</v>
      </c>
      <c r="R972" s="350">
        <f t="shared" si="382"/>
        <v>89077852.331964791</v>
      </c>
      <c r="S972" s="350">
        <f t="shared" si="383"/>
        <v>134727001.25781304</v>
      </c>
      <c r="T972" s="350">
        <f t="shared" si="384"/>
        <v>181074824.02223983</v>
      </c>
      <c r="U972" s="350">
        <f t="shared" si="385"/>
        <v>228129208.82604313</v>
      </c>
      <c r="V972" s="350">
        <f t="shared" si="386"/>
        <v>677117802.25555515</v>
      </c>
      <c r="W972" s="365"/>
      <c r="X972" s="377">
        <f t="shared" si="364"/>
        <v>0</v>
      </c>
      <c r="Y972" s="377">
        <f t="shared" si="365"/>
        <v>0</v>
      </c>
      <c r="Z972" s="377">
        <f t="shared" si="366"/>
        <v>0</v>
      </c>
      <c r="AA972" s="377">
        <f t="shared" si="367"/>
        <v>0</v>
      </c>
      <c r="AB972" s="377">
        <f t="shared" si="368"/>
        <v>0</v>
      </c>
      <c r="AC972" s="377">
        <f t="shared" si="369"/>
        <v>0</v>
      </c>
      <c r="AD972" s="376"/>
      <c r="AE972" s="332">
        <v>957</v>
      </c>
      <c r="AF972" s="350">
        <v>144629161.89688629</v>
      </c>
      <c r="AG972" s="350">
        <v>145815410.35115275</v>
      </c>
      <c r="AH972" s="350">
        <v>146951953.2627908</v>
      </c>
      <c r="AI972" s="350">
        <v>148091196.91259956</v>
      </c>
      <c r="AJ972" s="350">
        <v>149236680.13822132</v>
      </c>
      <c r="AK972" s="348">
        <v>734724402.56165075</v>
      </c>
      <c r="AL972" s="369"/>
      <c r="AM972" s="350">
        <v>183937568.25116882</v>
      </c>
      <c r="AN972" s="350">
        <v>225175922.64147818</v>
      </c>
      <c r="AO972" s="350">
        <v>266970400.06928676</v>
      </c>
      <c r="AP972" s="350">
        <v>309389857.76591814</v>
      </c>
      <c r="AQ972" s="350">
        <v>352444860.8041752</v>
      </c>
      <c r="AR972" s="348">
        <v>1337918609.5320272</v>
      </c>
      <c r="AS972" s="369"/>
      <c r="AT972" s="350">
        <f t="shared" si="387"/>
        <v>39308406.354282528</v>
      </c>
      <c r="AU972" s="350">
        <f t="shared" si="370"/>
        <v>79360512.290325433</v>
      </c>
      <c r="AV972" s="350">
        <f t="shared" si="371"/>
        <v>120018446.80649596</v>
      </c>
      <c r="AW972" s="350">
        <f t="shared" si="372"/>
        <v>161298660.85331857</v>
      </c>
      <c r="AX972" s="350">
        <f t="shared" si="373"/>
        <v>203208180.66595387</v>
      </c>
      <c r="AY972" s="350">
        <f t="shared" si="374"/>
        <v>603194206.97037649</v>
      </c>
      <c r="AZ972" s="365"/>
      <c r="BA972" s="377">
        <f t="shared" si="375"/>
        <v>0</v>
      </c>
      <c r="BB972" s="377">
        <f t="shared" si="376"/>
        <v>0</v>
      </c>
      <c r="BC972" s="377">
        <f t="shared" si="377"/>
        <v>0</v>
      </c>
      <c r="BD972" s="377">
        <f t="shared" si="378"/>
        <v>0</v>
      </c>
      <c r="BE972" s="377">
        <f t="shared" si="379"/>
        <v>0</v>
      </c>
      <c r="BF972" s="377">
        <f t="shared" si="380"/>
        <v>0</v>
      </c>
      <c r="BG972" s="328"/>
    </row>
    <row r="973" spans="2:59">
      <c r="B973" s="332">
        <v>958</v>
      </c>
      <c r="C973" s="350">
        <v>130942775.36801133</v>
      </c>
      <c r="D973" s="350">
        <v>132016768.07349631</v>
      </c>
      <c r="E973" s="350">
        <v>133045758.91616486</v>
      </c>
      <c r="F973" s="350">
        <v>134077194.92374334</v>
      </c>
      <c r="G973" s="350">
        <v>135114280.05051291</v>
      </c>
      <c r="H973" s="348">
        <v>665196777.33192873</v>
      </c>
      <c r="I973" s="369"/>
      <c r="J973" s="350">
        <v>164614639.54130679</v>
      </c>
      <c r="K973" s="350">
        <v>200026354.77952957</v>
      </c>
      <c r="L973" s="350">
        <v>235912474.23898295</v>
      </c>
      <c r="M973" s="350">
        <v>272334538.55043715</v>
      </c>
      <c r="N973" s="350">
        <v>309301774.78793103</v>
      </c>
      <c r="O973" s="348">
        <v>1182189781.8981874</v>
      </c>
      <c r="P973" s="369"/>
      <c r="Q973" s="350">
        <f t="shared" si="381"/>
        <v>33671864.173295468</v>
      </c>
      <c r="R973" s="350">
        <f t="shared" si="382"/>
        <v>68009586.70603326</v>
      </c>
      <c r="S973" s="350">
        <f t="shared" si="383"/>
        <v>102866715.32281809</v>
      </c>
      <c r="T973" s="350">
        <f t="shared" si="384"/>
        <v>138257343.62669381</v>
      </c>
      <c r="U973" s="350">
        <f t="shared" si="385"/>
        <v>174187494.73741812</v>
      </c>
      <c r="V973" s="350">
        <f t="shared" si="386"/>
        <v>516993004.56625867</v>
      </c>
      <c r="W973" s="365"/>
      <c r="X973" s="377">
        <f t="shared" si="364"/>
        <v>0</v>
      </c>
      <c r="Y973" s="377">
        <f t="shared" si="365"/>
        <v>0</v>
      </c>
      <c r="Z973" s="377">
        <f t="shared" si="366"/>
        <v>0</v>
      </c>
      <c r="AA973" s="377">
        <f t="shared" si="367"/>
        <v>0</v>
      </c>
      <c r="AB973" s="377">
        <f t="shared" si="368"/>
        <v>0</v>
      </c>
      <c r="AC973" s="377">
        <f t="shared" si="369"/>
        <v>0</v>
      </c>
      <c r="AD973" s="376"/>
      <c r="AE973" s="332">
        <v>958</v>
      </c>
      <c r="AF973" s="350">
        <v>128407560.58098698</v>
      </c>
      <c r="AG973" s="350">
        <v>129460759.45359004</v>
      </c>
      <c r="AH973" s="350">
        <v>130469827.75534163</v>
      </c>
      <c r="AI973" s="350">
        <v>131481293.88057314</v>
      </c>
      <c r="AJ973" s="350">
        <v>132498299.75103101</v>
      </c>
      <c r="AK973" s="348">
        <v>652317741.42152286</v>
      </c>
      <c r="AL973" s="369"/>
      <c r="AM973" s="350">
        <v>161423324.1749261</v>
      </c>
      <c r="AN973" s="350">
        <v>196130218.38925457</v>
      </c>
      <c r="AO973" s="350">
        <v>231302034.33491203</v>
      </c>
      <c r="AP973" s="350">
        <v>266999118.5627946</v>
      </c>
      <c r="AQ973" s="350">
        <v>303230516.47080147</v>
      </c>
      <c r="AR973" s="348">
        <v>1159085211.9326887</v>
      </c>
      <c r="AS973" s="369"/>
      <c r="AT973" s="350">
        <f t="shared" si="387"/>
        <v>33015763.593939126</v>
      </c>
      <c r="AU973" s="350">
        <f t="shared" si="370"/>
        <v>66669458.935664535</v>
      </c>
      <c r="AV973" s="350">
        <f t="shared" si="371"/>
        <v>100832206.5795704</v>
      </c>
      <c r="AW973" s="350">
        <f t="shared" si="372"/>
        <v>135517824.68222147</v>
      </c>
      <c r="AX973" s="350">
        <f t="shared" si="373"/>
        <v>170732216.71977046</v>
      </c>
      <c r="AY973" s="350">
        <f t="shared" si="374"/>
        <v>506767470.51116586</v>
      </c>
      <c r="AZ973" s="365"/>
      <c r="BA973" s="377">
        <f t="shared" si="375"/>
        <v>0</v>
      </c>
      <c r="BB973" s="377">
        <f t="shared" si="376"/>
        <v>0</v>
      </c>
      <c r="BC973" s="377">
        <f t="shared" si="377"/>
        <v>0</v>
      </c>
      <c r="BD973" s="377">
        <f t="shared" si="378"/>
        <v>0</v>
      </c>
      <c r="BE973" s="377">
        <f t="shared" si="379"/>
        <v>0</v>
      </c>
      <c r="BF973" s="377">
        <f t="shared" si="380"/>
        <v>0</v>
      </c>
      <c r="BG973" s="328"/>
    </row>
    <row r="974" spans="2:59">
      <c r="B974" s="332">
        <v>959</v>
      </c>
      <c r="C974" s="350">
        <v>125554298.42527033</v>
      </c>
      <c r="D974" s="350">
        <v>126584094.84032303</v>
      </c>
      <c r="E974" s="350">
        <v>127570741.28167254</v>
      </c>
      <c r="F974" s="350">
        <v>128559732.26600228</v>
      </c>
      <c r="G974" s="350">
        <v>129554139.900428</v>
      </c>
      <c r="H974" s="348">
        <v>637823006.71369624</v>
      </c>
      <c r="I974" s="369"/>
      <c r="J974" s="350">
        <v>159191285.65352207</v>
      </c>
      <c r="K974" s="350">
        <v>194514013.19046113</v>
      </c>
      <c r="L974" s="350">
        <v>230312315.03954503</v>
      </c>
      <c r="M974" s="350">
        <v>266645764.20992911</v>
      </c>
      <c r="N974" s="350">
        <v>303523448.28171682</v>
      </c>
      <c r="O974" s="348">
        <v>1154186826.375174</v>
      </c>
      <c r="P974" s="369"/>
      <c r="Q974" s="350">
        <f t="shared" si="381"/>
        <v>33636987.22825174</v>
      </c>
      <c r="R974" s="350">
        <f t="shared" si="382"/>
        <v>67929918.350138098</v>
      </c>
      <c r="S974" s="350">
        <f t="shared" si="383"/>
        <v>102741573.75787249</v>
      </c>
      <c r="T974" s="350">
        <f t="shared" si="384"/>
        <v>138086031.94392681</v>
      </c>
      <c r="U974" s="350">
        <f t="shared" si="385"/>
        <v>173969308.38128883</v>
      </c>
      <c r="V974" s="350">
        <f t="shared" si="386"/>
        <v>516363819.6614778</v>
      </c>
      <c r="W974" s="365"/>
      <c r="X974" s="377">
        <f t="shared" si="364"/>
        <v>0</v>
      </c>
      <c r="Y974" s="377">
        <f t="shared" si="365"/>
        <v>0</v>
      </c>
      <c r="Z974" s="377">
        <f t="shared" si="366"/>
        <v>0</v>
      </c>
      <c r="AA974" s="377">
        <f t="shared" si="367"/>
        <v>0</v>
      </c>
      <c r="AB974" s="377">
        <f t="shared" si="368"/>
        <v>0</v>
      </c>
      <c r="AC974" s="377">
        <f t="shared" si="369"/>
        <v>0</v>
      </c>
      <c r="AD974" s="376"/>
      <c r="AE974" s="332">
        <v>959</v>
      </c>
      <c r="AF974" s="350">
        <v>129128358.76438294</v>
      </c>
      <c r="AG974" s="350">
        <v>130187469.624027</v>
      </c>
      <c r="AH974" s="350">
        <v>131202202.19192879</v>
      </c>
      <c r="AI974" s="350">
        <v>132219346.04316282</v>
      </c>
      <c r="AJ974" s="350">
        <v>133242060.73622124</v>
      </c>
      <c r="AK974" s="348">
        <v>655979437.35972273</v>
      </c>
      <c r="AL974" s="369"/>
      <c r="AM974" s="350">
        <v>164163267.79501548</v>
      </c>
      <c r="AN974" s="350">
        <v>200937078.56651527</v>
      </c>
      <c r="AO974" s="350">
        <v>238206739.81819534</v>
      </c>
      <c r="AP974" s="350">
        <v>276033704.5169456</v>
      </c>
      <c r="AQ974" s="350">
        <v>314427397.17065781</v>
      </c>
      <c r="AR974" s="348">
        <v>1193768187.8673296</v>
      </c>
      <c r="AS974" s="369"/>
      <c r="AT974" s="350">
        <f t="shared" si="387"/>
        <v>35034909.030632541</v>
      </c>
      <c r="AU974" s="350">
        <f t="shared" si="370"/>
        <v>70749608.942488268</v>
      </c>
      <c r="AV974" s="350">
        <f t="shared" si="371"/>
        <v>107004537.62626655</v>
      </c>
      <c r="AW974" s="350">
        <f t="shared" si="372"/>
        <v>143814358.47378278</v>
      </c>
      <c r="AX974" s="350">
        <f t="shared" si="373"/>
        <v>181185336.43443656</v>
      </c>
      <c r="AY974" s="350">
        <f t="shared" si="374"/>
        <v>537788750.50760686</v>
      </c>
      <c r="AZ974" s="365"/>
      <c r="BA974" s="377">
        <f t="shared" si="375"/>
        <v>0</v>
      </c>
      <c r="BB974" s="377">
        <f t="shared" si="376"/>
        <v>0</v>
      </c>
      <c r="BC974" s="377">
        <f t="shared" si="377"/>
        <v>0</v>
      </c>
      <c r="BD974" s="377">
        <f t="shared" si="378"/>
        <v>0</v>
      </c>
      <c r="BE974" s="377">
        <f t="shared" si="379"/>
        <v>0</v>
      </c>
      <c r="BF974" s="377">
        <f t="shared" si="380"/>
        <v>0</v>
      </c>
      <c r="BG974" s="328"/>
    </row>
    <row r="975" spans="2:59">
      <c r="B975" s="332">
        <v>960</v>
      </c>
      <c r="C975" s="350">
        <v>130240205.05132005</v>
      </c>
      <c r="D975" s="350">
        <v>131308435.27473533</v>
      </c>
      <c r="E975" s="350">
        <v>132331905.09174837</v>
      </c>
      <c r="F975" s="350">
        <v>133357806.95419779</v>
      </c>
      <c r="G975" s="350">
        <v>134389327.62562495</v>
      </c>
      <c r="H975" s="348">
        <v>661627679.99762654</v>
      </c>
      <c r="I975" s="369"/>
      <c r="J975" s="350">
        <v>161430862.89420795</v>
      </c>
      <c r="K975" s="350">
        <v>194301242.97595325</v>
      </c>
      <c r="L975" s="350">
        <v>227607912.20095408</v>
      </c>
      <c r="M975" s="350">
        <v>261411117.8026495</v>
      </c>
      <c r="N975" s="350">
        <v>295719625.02465397</v>
      </c>
      <c r="O975" s="348">
        <v>1140470760.8984187</v>
      </c>
      <c r="P975" s="369"/>
      <c r="Q975" s="350">
        <f t="shared" si="381"/>
        <v>31190657.842887908</v>
      </c>
      <c r="R975" s="350">
        <f t="shared" si="382"/>
        <v>62992807.70121792</v>
      </c>
      <c r="S975" s="350">
        <f t="shared" si="383"/>
        <v>95276007.109205708</v>
      </c>
      <c r="T975" s="350">
        <f t="shared" si="384"/>
        <v>128053310.8484517</v>
      </c>
      <c r="U975" s="350">
        <f t="shared" si="385"/>
        <v>161330297.39902902</v>
      </c>
      <c r="V975" s="350">
        <f t="shared" si="386"/>
        <v>478843080.90079212</v>
      </c>
      <c r="W975" s="365"/>
      <c r="X975" s="377">
        <f t="shared" si="364"/>
        <v>0</v>
      </c>
      <c r="Y975" s="377">
        <f t="shared" si="365"/>
        <v>0</v>
      </c>
      <c r="Z975" s="377">
        <f t="shared" si="366"/>
        <v>0</v>
      </c>
      <c r="AA975" s="377">
        <f t="shared" si="367"/>
        <v>0</v>
      </c>
      <c r="AB975" s="377">
        <f t="shared" si="368"/>
        <v>0</v>
      </c>
      <c r="AC975" s="377">
        <f t="shared" si="369"/>
        <v>0</v>
      </c>
      <c r="AD975" s="376"/>
      <c r="AE975" s="332">
        <v>960</v>
      </c>
      <c r="AF975" s="350">
        <v>167123342.27476931</v>
      </c>
      <c r="AG975" s="350">
        <v>168494088.00713155</v>
      </c>
      <c r="AH975" s="350">
        <v>169807397.49147379</v>
      </c>
      <c r="AI975" s="350">
        <v>171123827.75992191</v>
      </c>
      <c r="AJ975" s="350">
        <v>172447468.04570383</v>
      </c>
      <c r="AK975" s="348">
        <v>848996123.57900047</v>
      </c>
      <c r="AL975" s="369"/>
      <c r="AM975" s="350">
        <v>205255154.98303747</v>
      </c>
      <c r="AN975" s="350">
        <v>245517454.95378289</v>
      </c>
      <c r="AO975" s="350">
        <v>286310610.46499431</v>
      </c>
      <c r="AP975" s="350">
        <v>327711139.21171457</v>
      </c>
      <c r="AQ975" s="350">
        <v>369729952.19707596</v>
      </c>
      <c r="AR975" s="348">
        <v>1434524311.810605</v>
      </c>
      <c r="AS975" s="369"/>
      <c r="AT975" s="350">
        <f t="shared" si="387"/>
        <v>38131812.708268166</v>
      </c>
      <c r="AU975" s="350">
        <f t="shared" si="370"/>
        <v>77023366.94665134</v>
      </c>
      <c r="AV975" s="350">
        <f t="shared" si="371"/>
        <v>116503212.97352052</v>
      </c>
      <c r="AW975" s="350">
        <f t="shared" si="372"/>
        <v>156587311.45179266</v>
      </c>
      <c r="AX975" s="350">
        <f t="shared" si="373"/>
        <v>197282484.15137213</v>
      </c>
      <c r="AY975" s="350">
        <f t="shared" si="374"/>
        <v>585528188.23160458</v>
      </c>
      <c r="AZ975" s="365"/>
      <c r="BA975" s="377">
        <f t="shared" si="375"/>
        <v>0</v>
      </c>
      <c r="BB975" s="377">
        <f t="shared" si="376"/>
        <v>0</v>
      </c>
      <c r="BC975" s="377">
        <f t="shared" si="377"/>
        <v>0</v>
      </c>
      <c r="BD975" s="377">
        <f t="shared" si="378"/>
        <v>0</v>
      </c>
      <c r="BE975" s="377">
        <f t="shared" si="379"/>
        <v>0</v>
      </c>
      <c r="BF975" s="377">
        <f t="shared" si="380"/>
        <v>0</v>
      </c>
      <c r="BG975" s="328"/>
    </row>
    <row r="976" spans="2:59">
      <c r="B976" s="332">
        <v>961</v>
      </c>
      <c r="C976" s="350">
        <v>101736369.61350268</v>
      </c>
      <c r="D976" s="350">
        <v>102570811.36517891</v>
      </c>
      <c r="E976" s="350">
        <v>103370288.78884292</v>
      </c>
      <c r="F976" s="350">
        <v>104171665.99048513</v>
      </c>
      <c r="G976" s="350">
        <v>104977432.29168937</v>
      </c>
      <c r="H976" s="348">
        <v>516826568.04969895</v>
      </c>
      <c r="I976" s="369"/>
      <c r="J976" s="350">
        <v>126019794.00697733</v>
      </c>
      <c r="K976" s="350">
        <v>151621887.2875137</v>
      </c>
      <c r="L976" s="350">
        <v>177563663.47462735</v>
      </c>
      <c r="M976" s="350">
        <v>203892150.90138355</v>
      </c>
      <c r="N976" s="350">
        <v>230614183.24811333</v>
      </c>
      <c r="O976" s="348">
        <v>889711678.91861534</v>
      </c>
      <c r="P976" s="369"/>
      <c r="Q976" s="350">
        <f t="shared" si="381"/>
        <v>24283424.393474653</v>
      </c>
      <c r="R976" s="350">
        <f t="shared" si="382"/>
        <v>49051075.92233479</v>
      </c>
      <c r="S976" s="350">
        <f t="shared" si="383"/>
        <v>74193374.685784429</v>
      </c>
      <c r="T976" s="350">
        <f t="shared" si="384"/>
        <v>99720484.910898417</v>
      </c>
      <c r="U976" s="350">
        <f t="shared" si="385"/>
        <v>125636750.95642397</v>
      </c>
      <c r="V976" s="350">
        <f t="shared" si="386"/>
        <v>372885110.86891639</v>
      </c>
      <c r="W976" s="365"/>
      <c r="X976" s="377">
        <f t="shared" ref="X976:X1015" si="388">IF(Q976&lt;Q$8,1,0)</f>
        <v>0</v>
      </c>
      <c r="Y976" s="377">
        <f t="shared" ref="Y976:Y1015" si="389">IF(R976&lt;R$8,1,0)</f>
        <v>0</v>
      </c>
      <c r="Z976" s="377">
        <f t="shared" ref="Z976:Z1015" si="390">IF(S976&lt;S$8,1,0)</f>
        <v>0</v>
      </c>
      <c r="AA976" s="377">
        <f t="shared" ref="AA976:AA1015" si="391">IF(T976&lt;T$8,1,0)</f>
        <v>0</v>
      </c>
      <c r="AB976" s="377">
        <f t="shared" ref="AB976:AB1015" si="392">IF(U976&lt;U$8,1,0)</f>
        <v>0</v>
      </c>
      <c r="AC976" s="377">
        <f t="shared" ref="AC976:AC1015" si="393">IF(V976&lt;V$8,1,0)</f>
        <v>0</v>
      </c>
      <c r="AD976" s="376"/>
      <c r="AE976" s="332">
        <v>961</v>
      </c>
      <c r="AF976" s="350">
        <v>132509941.20229629</v>
      </c>
      <c r="AG976" s="350">
        <v>133596787.80269518</v>
      </c>
      <c r="AH976" s="350">
        <v>134638093.94330883</v>
      </c>
      <c r="AI976" s="350">
        <v>135681874.51336345</v>
      </c>
      <c r="AJ976" s="350">
        <v>136731371.81310976</v>
      </c>
      <c r="AK976" s="348">
        <v>673158069.27477348</v>
      </c>
      <c r="AL976" s="369"/>
      <c r="AM976" s="350">
        <v>168132101.25304171</v>
      </c>
      <c r="AN976" s="350">
        <v>205543678.41436952</v>
      </c>
      <c r="AO976" s="350">
        <v>243459176.61812311</v>
      </c>
      <c r="AP976" s="350">
        <v>281941520.56400049</v>
      </c>
      <c r="AQ976" s="350">
        <v>321000324.25183398</v>
      </c>
      <c r="AR976" s="348">
        <v>1220076801.1013689</v>
      </c>
      <c r="AS976" s="369"/>
      <c r="AT976" s="350">
        <f t="shared" si="387"/>
        <v>35622160.050745428</v>
      </c>
      <c r="AU976" s="350">
        <f t="shared" ref="AU976:AU1015" si="394">AN976-AG976</f>
        <v>71946890.611674339</v>
      </c>
      <c r="AV976" s="350">
        <f t="shared" ref="AV976:AV1015" si="395">AO976-AH976</f>
        <v>108821082.67481428</v>
      </c>
      <c r="AW976" s="350">
        <f t="shared" ref="AW976:AW1015" si="396">AP976-AI976</f>
        <v>146259646.05063704</v>
      </c>
      <c r="AX976" s="350">
        <f t="shared" ref="AX976:AX1015" si="397">AQ976-AJ976</f>
        <v>184268952.43872422</v>
      </c>
      <c r="AY976" s="350">
        <f t="shared" ref="AY976:AY1015" si="398">AR976-AK976</f>
        <v>546918731.82659543</v>
      </c>
      <c r="AZ976" s="365"/>
      <c r="BA976" s="377">
        <f t="shared" ref="BA976:BA1015" si="399">IF(AT976&lt;AT$8,1,0)</f>
        <v>0</v>
      </c>
      <c r="BB976" s="377">
        <f t="shared" ref="BB976:BB1015" si="400">IF(AU976&lt;AU$8,1,0)</f>
        <v>0</v>
      </c>
      <c r="BC976" s="377">
        <f t="shared" ref="BC976:BC1015" si="401">IF(AV976&lt;AV$8,1,0)</f>
        <v>0</v>
      </c>
      <c r="BD976" s="377">
        <f t="shared" ref="BD976:BD1015" si="402">IF(AW976&lt;AW$8,1,0)</f>
        <v>0</v>
      </c>
      <c r="BE976" s="377">
        <f t="shared" ref="BE976:BE1015" si="403">IF(AX976&lt;AX$8,1,0)</f>
        <v>0</v>
      </c>
      <c r="BF976" s="377">
        <f t="shared" ref="BF976:BF1015" si="404">IF(AY976&lt;AY$8,1,0)</f>
        <v>0</v>
      </c>
      <c r="BG976" s="328"/>
    </row>
    <row r="977" spans="2:59">
      <c r="B977" s="332">
        <v>962</v>
      </c>
      <c r="C977" s="350">
        <v>112885736.61539011</v>
      </c>
      <c r="D977" s="350">
        <v>113811625.48048782</v>
      </c>
      <c r="E977" s="350">
        <v>114698718.24997178</v>
      </c>
      <c r="F977" s="350">
        <v>115587918.99556389</v>
      </c>
      <c r="G977" s="350">
        <v>116481989.8455151</v>
      </c>
      <c r="H977" s="348">
        <v>573465989.18692875</v>
      </c>
      <c r="I977" s="369"/>
      <c r="J977" s="350">
        <v>141966207.48864657</v>
      </c>
      <c r="K977" s="350">
        <v>172540441.58300099</v>
      </c>
      <c r="L977" s="350">
        <v>203524348.95029327</v>
      </c>
      <c r="M977" s="350">
        <v>234971005.10482422</v>
      </c>
      <c r="N977" s="350">
        <v>266888372.90282375</v>
      </c>
      <c r="O977" s="348">
        <v>1019890376.0295887</v>
      </c>
      <c r="P977" s="369"/>
      <c r="Q977" s="350">
        <f t="shared" ref="Q977:Q1015" si="405">J977-C977</f>
        <v>29080470.87325646</v>
      </c>
      <c r="R977" s="350">
        <f t="shared" ref="R977:R1015" si="406">K977-D977</f>
        <v>58728816.102513164</v>
      </c>
      <c r="S977" s="350">
        <f t="shared" ref="S977:S1015" si="407">L977-E977</f>
        <v>88825630.700321496</v>
      </c>
      <c r="T977" s="350">
        <f t="shared" ref="T977:T1015" si="408">M977-F977</f>
        <v>119383086.10926032</v>
      </c>
      <c r="U977" s="350">
        <f t="shared" ref="U977:U1015" si="409">N977-G977</f>
        <v>150406383.05730864</v>
      </c>
      <c r="V977" s="350">
        <f t="shared" ref="V977:V1015" si="410">O977-H977</f>
        <v>446424386.84265995</v>
      </c>
      <c r="W977" s="365"/>
      <c r="X977" s="377">
        <f t="shared" si="388"/>
        <v>0</v>
      </c>
      <c r="Y977" s="377">
        <f t="shared" si="389"/>
        <v>0</v>
      </c>
      <c r="Z977" s="377">
        <f t="shared" si="390"/>
        <v>0</v>
      </c>
      <c r="AA977" s="377">
        <f t="shared" si="391"/>
        <v>0</v>
      </c>
      <c r="AB977" s="377">
        <f t="shared" si="392"/>
        <v>0</v>
      </c>
      <c r="AC977" s="377">
        <f t="shared" si="393"/>
        <v>0</v>
      </c>
      <c r="AD977" s="376"/>
      <c r="AE977" s="332">
        <v>962</v>
      </c>
      <c r="AF977" s="350">
        <v>126732681.66252196</v>
      </c>
      <c r="AG977" s="350">
        <v>127772143.1774438</v>
      </c>
      <c r="AH977" s="350">
        <v>128768049.73686305</v>
      </c>
      <c r="AI977" s="350">
        <v>129766322.84384683</v>
      </c>
      <c r="AJ977" s="350">
        <v>130770063.43860999</v>
      </c>
      <c r="AK977" s="348">
        <v>643809260.85928559</v>
      </c>
      <c r="AL977" s="369"/>
      <c r="AM977" s="350">
        <v>159750384.00678238</v>
      </c>
      <c r="AN977" s="350">
        <v>194430830.63021043</v>
      </c>
      <c r="AO977" s="350">
        <v>229576575.54896998</v>
      </c>
      <c r="AP977" s="350">
        <v>265247358.41807169</v>
      </c>
      <c r="AQ977" s="350">
        <v>301452181.75877786</v>
      </c>
      <c r="AR977" s="348">
        <v>1150457330.3628123</v>
      </c>
      <c r="AS977" s="369"/>
      <c r="AT977" s="350">
        <f t="shared" ref="AT977:AT1015" si="411">AM977-AF977</f>
        <v>33017702.344260424</v>
      </c>
      <c r="AU977" s="350">
        <f t="shared" si="394"/>
        <v>66658687.452766627</v>
      </c>
      <c r="AV977" s="350">
        <f t="shared" si="395"/>
        <v>100808525.81210694</v>
      </c>
      <c r="AW977" s="350">
        <f t="shared" si="396"/>
        <v>135481035.57422486</v>
      </c>
      <c r="AX977" s="350">
        <f t="shared" si="397"/>
        <v>170682118.32016787</v>
      </c>
      <c r="AY977" s="350">
        <f t="shared" si="398"/>
        <v>506648069.50352669</v>
      </c>
      <c r="AZ977" s="365"/>
      <c r="BA977" s="377">
        <f t="shared" si="399"/>
        <v>0</v>
      </c>
      <c r="BB977" s="377">
        <f t="shared" si="400"/>
        <v>0</v>
      </c>
      <c r="BC977" s="377">
        <f t="shared" si="401"/>
        <v>0</v>
      </c>
      <c r="BD977" s="377">
        <f t="shared" si="402"/>
        <v>0</v>
      </c>
      <c r="BE977" s="377">
        <f t="shared" si="403"/>
        <v>0</v>
      </c>
      <c r="BF977" s="377">
        <f t="shared" si="404"/>
        <v>0</v>
      </c>
      <c r="BG977" s="328"/>
    </row>
    <row r="978" spans="2:59">
      <c r="B978" s="332">
        <v>963</v>
      </c>
      <c r="C978" s="350">
        <v>123391005.51186579</v>
      </c>
      <c r="D978" s="350">
        <v>124403058.59741987</v>
      </c>
      <c r="E978" s="350">
        <v>125372705.18068904</v>
      </c>
      <c r="F978" s="350">
        <v>126344655.91060565</v>
      </c>
      <c r="G978" s="350">
        <v>127321929.96206713</v>
      </c>
      <c r="H978" s="348">
        <v>626833355.16264749</v>
      </c>
      <c r="I978" s="369"/>
      <c r="J978" s="350">
        <v>153028932.92885596</v>
      </c>
      <c r="K978" s="350">
        <v>184258893.34883001</v>
      </c>
      <c r="L978" s="350">
        <v>215903532.55886349</v>
      </c>
      <c r="M978" s="350">
        <v>248019966.03806418</v>
      </c>
      <c r="N978" s="350">
        <v>280616513.5705688</v>
      </c>
      <c r="O978" s="348">
        <v>1081827838.4451826</v>
      </c>
      <c r="P978" s="369"/>
      <c r="Q978" s="350">
        <f t="shared" si="405"/>
        <v>29637927.416990161</v>
      </c>
      <c r="R978" s="350">
        <f t="shared" si="406"/>
        <v>59855834.751410142</v>
      </c>
      <c r="S978" s="350">
        <f t="shared" si="407"/>
        <v>90530827.378174454</v>
      </c>
      <c r="T978" s="350">
        <f t="shared" si="408"/>
        <v>121675310.12745853</v>
      </c>
      <c r="U978" s="350">
        <f t="shared" si="409"/>
        <v>153294583.60850167</v>
      </c>
      <c r="V978" s="350">
        <f t="shared" si="410"/>
        <v>454994483.28253508</v>
      </c>
      <c r="W978" s="365"/>
      <c r="X978" s="377">
        <f t="shared" si="388"/>
        <v>0</v>
      </c>
      <c r="Y978" s="377">
        <f t="shared" si="389"/>
        <v>0</v>
      </c>
      <c r="Z978" s="377">
        <f t="shared" si="390"/>
        <v>0</v>
      </c>
      <c r="AA978" s="377">
        <f t="shared" si="391"/>
        <v>0</v>
      </c>
      <c r="AB978" s="377">
        <f t="shared" si="392"/>
        <v>0</v>
      </c>
      <c r="AC978" s="377">
        <f t="shared" si="393"/>
        <v>0</v>
      </c>
      <c r="AD978" s="376"/>
      <c r="AE978" s="332">
        <v>963</v>
      </c>
      <c r="AF978" s="350">
        <v>126792438.74173783</v>
      </c>
      <c r="AG978" s="350">
        <v>127832390.38425162</v>
      </c>
      <c r="AH978" s="350">
        <v>128828766.534201</v>
      </c>
      <c r="AI978" s="350">
        <v>129827510.34759098</v>
      </c>
      <c r="AJ978" s="350">
        <v>130831724.22679384</v>
      </c>
      <c r="AK978" s="348">
        <v>644112830.23457527</v>
      </c>
      <c r="AL978" s="369"/>
      <c r="AM978" s="350">
        <v>159334253.58245471</v>
      </c>
      <c r="AN978" s="350">
        <v>193550403.37155515</v>
      </c>
      <c r="AO978" s="350">
        <v>228224809.85018435</v>
      </c>
      <c r="AP978" s="350">
        <v>263417036.27982491</v>
      </c>
      <c r="AQ978" s="350">
        <v>299136004.64946818</v>
      </c>
      <c r="AR978" s="348">
        <v>1143662507.7334874</v>
      </c>
      <c r="AS978" s="369"/>
      <c r="AT978" s="350">
        <f t="shared" si="411"/>
        <v>32541814.840716884</v>
      </c>
      <c r="AU978" s="350">
        <f t="shared" si="394"/>
        <v>65718012.987303525</v>
      </c>
      <c r="AV978" s="350">
        <f t="shared" si="395"/>
        <v>99396043.315983355</v>
      </c>
      <c r="AW978" s="350">
        <f t="shared" si="396"/>
        <v>133589525.93223393</v>
      </c>
      <c r="AX978" s="350">
        <f t="shared" si="397"/>
        <v>168304280.42267436</v>
      </c>
      <c r="AY978" s="350">
        <f t="shared" si="398"/>
        <v>499549677.4989121</v>
      </c>
      <c r="AZ978" s="365"/>
      <c r="BA978" s="377">
        <f t="shared" si="399"/>
        <v>0</v>
      </c>
      <c r="BB978" s="377">
        <f t="shared" si="400"/>
        <v>0</v>
      </c>
      <c r="BC978" s="377">
        <f t="shared" si="401"/>
        <v>0</v>
      </c>
      <c r="BD978" s="377">
        <f t="shared" si="402"/>
        <v>0</v>
      </c>
      <c r="BE978" s="377">
        <f t="shared" si="403"/>
        <v>0</v>
      </c>
      <c r="BF978" s="377">
        <f t="shared" si="404"/>
        <v>0</v>
      </c>
      <c r="BG978" s="328"/>
    </row>
    <row r="979" spans="2:59">
      <c r="B979" s="332">
        <v>964</v>
      </c>
      <c r="C979" s="350">
        <v>136568567.94260901</v>
      </c>
      <c r="D979" s="350">
        <v>137688703.40145105</v>
      </c>
      <c r="E979" s="350">
        <v>138761903.54872414</v>
      </c>
      <c r="F979" s="350">
        <v>139837653.91435942</v>
      </c>
      <c r="G979" s="350">
        <v>140919296.10652655</v>
      </c>
      <c r="H979" s="348">
        <v>693776124.9136703</v>
      </c>
      <c r="I979" s="369"/>
      <c r="J979" s="350">
        <v>165631826.98231465</v>
      </c>
      <c r="K979" s="350">
        <v>196427585.73563829</v>
      </c>
      <c r="L979" s="350">
        <v>227625311.89396042</v>
      </c>
      <c r="M979" s="350">
        <v>259286657.71664095</v>
      </c>
      <c r="N979" s="350">
        <v>291420169.30401194</v>
      </c>
      <c r="O979" s="348">
        <v>1140391551.6325665</v>
      </c>
      <c r="P979" s="369"/>
      <c r="Q979" s="350">
        <f t="shared" si="405"/>
        <v>29063259.039705634</v>
      </c>
      <c r="R979" s="350">
        <f t="shared" si="406"/>
        <v>58738882.334187239</v>
      </c>
      <c r="S979" s="350">
        <f t="shared" si="407"/>
        <v>88863408.345236272</v>
      </c>
      <c r="T979" s="350">
        <f t="shared" si="408"/>
        <v>119449003.80228153</v>
      </c>
      <c r="U979" s="350">
        <f t="shared" si="409"/>
        <v>150500873.19748539</v>
      </c>
      <c r="V979" s="350">
        <f t="shared" si="410"/>
        <v>446615426.71889615</v>
      </c>
      <c r="W979" s="365"/>
      <c r="X979" s="377">
        <f t="shared" si="388"/>
        <v>0</v>
      </c>
      <c r="Y979" s="377">
        <f t="shared" si="389"/>
        <v>0</v>
      </c>
      <c r="Z979" s="377">
        <f t="shared" si="390"/>
        <v>0</v>
      </c>
      <c r="AA979" s="377">
        <f t="shared" si="391"/>
        <v>0</v>
      </c>
      <c r="AB979" s="377">
        <f t="shared" si="392"/>
        <v>0</v>
      </c>
      <c r="AC979" s="377">
        <f t="shared" si="393"/>
        <v>0</v>
      </c>
      <c r="AD979" s="376"/>
      <c r="AE979" s="332">
        <v>964</v>
      </c>
      <c r="AF979" s="350">
        <v>146160248.84592175</v>
      </c>
      <c r="AG979" s="350">
        <v>147359055.27606821</v>
      </c>
      <c r="AH979" s="350">
        <v>148507629.96605718</v>
      </c>
      <c r="AI979" s="350">
        <v>149658933.98502746</v>
      </c>
      <c r="AJ979" s="350">
        <v>150816543.63379985</v>
      </c>
      <c r="AK979" s="348">
        <v>742502411.70687437</v>
      </c>
      <c r="AL979" s="369"/>
      <c r="AM979" s="350">
        <v>188007855.58107904</v>
      </c>
      <c r="AN979" s="350">
        <v>231864140.09128943</v>
      </c>
      <c r="AO979" s="350">
        <v>276315438.71891099</v>
      </c>
      <c r="AP979" s="350">
        <v>321432227.17112422</v>
      </c>
      <c r="AQ979" s="350">
        <v>367225564.62434214</v>
      </c>
      <c r="AR979" s="348">
        <v>1384845226.1867459</v>
      </c>
      <c r="AS979" s="369"/>
      <c r="AT979" s="350">
        <f t="shared" si="411"/>
        <v>41847606.735157281</v>
      </c>
      <c r="AU979" s="350">
        <f t="shared" si="394"/>
        <v>84505084.81522122</v>
      </c>
      <c r="AV979" s="350">
        <f t="shared" si="395"/>
        <v>127807808.75285381</v>
      </c>
      <c r="AW979" s="350">
        <f t="shared" si="396"/>
        <v>171773293.18609676</v>
      </c>
      <c r="AX979" s="350">
        <f t="shared" si="397"/>
        <v>216409020.99054229</v>
      </c>
      <c r="AY979" s="350">
        <f t="shared" si="398"/>
        <v>642342814.47987151</v>
      </c>
      <c r="AZ979" s="365"/>
      <c r="BA979" s="377">
        <f t="shared" si="399"/>
        <v>0</v>
      </c>
      <c r="BB979" s="377">
        <f t="shared" si="400"/>
        <v>0</v>
      </c>
      <c r="BC979" s="377">
        <f t="shared" si="401"/>
        <v>0</v>
      </c>
      <c r="BD979" s="377">
        <f t="shared" si="402"/>
        <v>0</v>
      </c>
      <c r="BE979" s="377">
        <f t="shared" si="403"/>
        <v>0</v>
      </c>
      <c r="BF979" s="377">
        <f t="shared" si="404"/>
        <v>0</v>
      </c>
      <c r="BG979" s="328"/>
    </row>
    <row r="980" spans="2:59">
      <c r="B980" s="332">
        <v>965</v>
      </c>
      <c r="C980" s="350">
        <v>127346274.49595779</v>
      </c>
      <c r="D980" s="350">
        <v>128390768.69958961</v>
      </c>
      <c r="E980" s="350">
        <v>129391497.07071215</v>
      </c>
      <c r="F980" s="350">
        <v>130394603.4473484</v>
      </c>
      <c r="G980" s="350">
        <v>131403203.78332037</v>
      </c>
      <c r="H980" s="348">
        <v>646926347.49692833</v>
      </c>
      <c r="I980" s="369"/>
      <c r="J980" s="350">
        <v>163534677.50598037</v>
      </c>
      <c r="K980" s="350">
        <v>201477587.6193856</v>
      </c>
      <c r="L980" s="350">
        <v>239934869.45956242</v>
      </c>
      <c r="M980" s="350">
        <v>278967813.47145724</v>
      </c>
      <c r="N980" s="350">
        <v>318586008.02310342</v>
      </c>
      <c r="O980" s="348">
        <v>1202500956.079489</v>
      </c>
      <c r="P980" s="369"/>
      <c r="Q980" s="350">
        <f t="shared" si="405"/>
        <v>36188403.010022581</v>
      </c>
      <c r="R980" s="350">
        <f t="shared" si="406"/>
        <v>73086818.91979599</v>
      </c>
      <c r="S980" s="350">
        <f t="shared" si="407"/>
        <v>110543372.38885027</v>
      </c>
      <c r="T980" s="350">
        <f t="shared" si="408"/>
        <v>148573210.02410883</v>
      </c>
      <c r="U980" s="350">
        <f t="shared" si="409"/>
        <v>187182804.23978305</v>
      </c>
      <c r="V980" s="350">
        <f t="shared" si="410"/>
        <v>555574608.58256066</v>
      </c>
      <c r="W980" s="365"/>
      <c r="X980" s="377">
        <f t="shared" si="388"/>
        <v>0</v>
      </c>
      <c r="Y980" s="377">
        <f t="shared" si="389"/>
        <v>0</v>
      </c>
      <c r="Z980" s="377">
        <f t="shared" si="390"/>
        <v>0</v>
      </c>
      <c r="AA980" s="377">
        <f t="shared" si="391"/>
        <v>0</v>
      </c>
      <c r="AB980" s="377">
        <f t="shared" si="392"/>
        <v>0</v>
      </c>
      <c r="AC980" s="377">
        <f t="shared" si="393"/>
        <v>0</v>
      </c>
      <c r="AD980" s="376"/>
      <c r="AE980" s="332">
        <v>965</v>
      </c>
      <c r="AF980" s="350">
        <v>144592475.07749933</v>
      </c>
      <c r="AG980" s="350">
        <v>145778422.62645584</v>
      </c>
      <c r="AH980" s="350">
        <v>146914677.24115583</v>
      </c>
      <c r="AI980" s="350">
        <v>148053631.90895388</v>
      </c>
      <c r="AJ980" s="350">
        <v>149198824.56982601</v>
      </c>
      <c r="AK980" s="348">
        <v>734538031.42389095</v>
      </c>
      <c r="AL980" s="369"/>
      <c r="AM980" s="350">
        <v>179853798.72114784</v>
      </c>
      <c r="AN980" s="350">
        <v>217005115.44690505</v>
      </c>
      <c r="AO980" s="350">
        <v>254650768.87845194</v>
      </c>
      <c r="AP980" s="350">
        <v>292857911.26136196</v>
      </c>
      <c r="AQ980" s="350">
        <v>331636389.00421309</v>
      </c>
      <c r="AR980" s="348">
        <v>1276003983.3120799</v>
      </c>
      <c r="AS980" s="369"/>
      <c r="AT980" s="350">
        <f t="shared" si="411"/>
        <v>35261323.643648505</v>
      </c>
      <c r="AU980" s="350">
        <f t="shared" si="394"/>
        <v>71226692.820449203</v>
      </c>
      <c r="AV980" s="350">
        <f t="shared" si="395"/>
        <v>107736091.63729611</v>
      </c>
      <c r="AW980" s="350">
        <f t="shared" si="396"/>
        <v>144804279.35240808</v>
      </c>
      <c r="AX980" s="350">
        <f t="shared" si="397"/>
        <v>182437564.43438709</v>
      </c>
      <c r="AY980" s="350">
        <f t="shared" si="398"/>
        <v>541465951.88818896</v>
      </c>
      <c r="AZ980" s="365"/>
      <c r="BA980" s="377">
        <f t="shared" si="399"/>
        <v>0</v>
      </c>
      <c r="BB980" s="377">
        <f t="shared" si="400"/>
        <v>0</v>
      </c>
      <c r="BC980" s="377">
        <f t="shared" si="401"/>
        <v>0</v>
      </c>
      <c r="BD980" s="377">
        <f t="shared" si="402"/>
        <v>0</v>
      </c>
      <c r="BE980" s="377">
        <f t="shared" si="403"/>
        <v>0</v>
      </c>
      <c r="BF980" s="377">
        <f t="shared" si="404"/>
        <v>0</v>
      </c>
      <c r="BG980" s="328"/>
    </row>
    <row r="981" spans="2:59">
      <c r="B981" s="332">
        <v>966</v>
      </c>
      <c r="C981" s="350">
        <v>145373912.2099565</v>
      </c>
      <c r="D981" s="350">
        <v>146566269.1066429</v>
      </c>
      <c r="E981" s="350">
        <v>147708664.50804275</v>
      </c>
      <c r="F981" s="350">
        <v>148853774.5547367</v>
      </c>
      <c r="G981" s="350">
        <v>150005156.30718189</v>
      </c>
      <c r="H981" s="348">
        <v>738507776.68656063</v>
      </c>
      <c r="I981" s="369"/>
      <c r="J981" s="350">
        <v>184243837.7479558</v>
      </c>
      <c r="K981" s="350">
        <v>225069064.88391805</v>
      </c>
      <c r="L981" s="350">
        <v>266443830.48652646</v>
      </c>
      <c r="M981" s="350">
        <v>308437079.66871071</v>
      </c>
      <c r="N981" s="350">
        <v>351059321.55314767</v>
      </c>
      <c r="O981" s="348">
        <v>1335253134.3402586</v>
      </c>
      <c r="P981" s="369"/>
      <c r="Q981" s="350">
        <f t="shared" si="405"/>
        <v>38869925.537999302</v>
      </c>
      <c r="R981" s="350">
        <f t="shared" si="406"/>
        <v>78502795.777275145</v>
      </c>
      <c r="S981" s="350">
        <f t="shared" si="407"/>
        <v>118735165.97848371</v>
      </c>
      <c r="T981" s="350">
        <f t="shared" si="408"/>
        <v>159583305.113974</v>
      </c>
      <c r="U981" s="350">
        <f t="shared" si="409"/>
        <v>201054165.24596578</v>
      </c>
      <c r="V981" s="350">
        <f t="shared" si="410"/>
        <v>596745357.65369797</v>
      </c>
      <c r="W981" s="365"/>
      <c r="X981" s="377">
        <f t="shared" si="388"/>
        <v>0</v>
      </c>
      <c r="Y981" s="377">
        <f t="shared" si="389"/>
        <v>0</v>
      </c>
      <c r="Z981" s="377">
        <f t="shared" si="390"/>
        <v>0</v>
      </c>
      <c r="AA981" s="377">
        <f t="shared" si="391"/>
        <v>0</v>
      </c>
      <c r="AB981" s="377">
        <f t="shared" si="392"/>
        <v>0</v>
      </c>
      <c r="AC981" s="377">
        <f t="shared" si="393"/>
        <v>0</v>
      </c>
      <c r="AD981" s="376"/>
      <c r="AE981" s="332">
        <v>966</v>
      </c>
      <c r="AF981" s="350">
        <v>109361691.77406736</v>
      </c>
      <c r="AG981" s="350">
        <v>110258676.42171016</v>
      </c>
      <c r="AH981" s="350">
        <v>111118076.1026623</v>
      </c>
      <c r="AI981" s="350">
        <v>111979517.95333676</v>
      </c>
      <c r="AJ981" s="350">
        <v>112845677.87440526</v>
      </c>
      <c r="AK981" s="348">
        <v>555563640.12618184</v>
      </c>
      <c r="AL981" s="369"/>
      <c r="AM981" s="350">
        <v>140697372.8849366</v>
      </c>
      <c r="AN981" s="350">
        <v>173570571.10449541</v>
      </c>
      <c r="AO981" s="350">
        <v>206889878.96615833</v>
      </c>
      <c r="AP981" s="350">
        <v>240708040.54275832</v>
      </c>
      <c r="AQ981" s="350">
        <v>275033340.15140051</v>
      </c>
      <c r="AR981" s="348">
        <v>1036899203.649749</v>
      </c>
      <c r="AS981" s="369"/>
      <c r="AT981" s="350">
        <f t="shared" si="411"/>
        <v>31335681.110869244</v>
      </c>
      <c r="AU981" s="350">
        <f t="shared" si="394"/>
        <v>63311894.682785243</v>
      </c>
      <c r="AV981" s="350">
        <f t="shared" si="395"/>
        <v>95771802.863496035</v>
      </c>
      <c r="AW981" s="350">
        <f t="shared" si="396"/>
        <v>128728522.58942156</v>
      </c>
      <c r="AX981" s="350">
        <f t="shared" si="397"/>
        <v>162187662.27699524</v>
      </c>
      <c r="AY981" s="350">
        <f t="shared" si="398"/>
        <v>481335563.5235672</v>
      </c>
      <c r="AZ981" s="365"/>
      <c r="BA981" s="377">
        <f t="shared" si="399"/>
        <v>0</v>
      </c>
      <c r="BB981" s="377">
        <f t="shared" si="400"/>
        <v>0</v>
      </c>
      <c r="BC981" s="377">
        <f t="shared" si="401"/>
        <v>0</v>
      </c>
      <c r="BD981" s="377">
        <f t="shared" si="402"/>
        <v>0</v>
      </c>
      <c r="BE981" s="377">
        <f t="shared" si="403"/>
        <v>0</v>
      </c>
      <c r="BF981" s="377">
        <f t="shared" si="404"/>
        <v>0</v>
      </c>
      <c r="BG981" s="328"/>
    </row>
    <row r="982" spans="2:59">
      <c r="B982" s="332">
        <v>967</v>
      </c>
      <c r="C982" s="350">
        <v>122984188.00636727</v>
      </c>
      <c r="D982" s="350">
        <v>123992904.37454884</v>
      </c>
      <c r="E982" s="350">
        <v>124959354.05377638</v>
      </c>
      <c r="F982" s="350">
        <v>125928100.2829292</v>
      </c>
      <c r="G982" s="350">
        <v>126902152.28274956</v>
      </c>
      <c r="H982" s="348">
        <v>624766699.00037122</v>
      </c>
      <c r="I982" s="369"/>
      <c r="J982" s="350">
        <v>156320658.29030621</v>
      </c>
      <c r="K982" s="350">
        <v>191307732.16616946</v>
      </c>
      <c r="L982" s="350">
        <v>226766501.52116418</v>
      </c>
      <c r="M982" s="350">
        <v>262755481.85224241</v>
      </c>
      <c r="N982" s="350">
        <v>299283642.85905182</v>
      </c>
      <c r="O982" s="348">
        <v>1136434016.6889343</v>
      </c>
      <c r="P982" s="369"/>
      <c r="Q982" s="350">
        <f t="shared" si="405"/>
        <v>33336470.283938944</v>
      </c>
      <c r="R982" s="350">
        <f t="shared" si="406"/>
        <v>67314827.791620627</v>
      </c>
      <c r="S982" s="350">
        <f t="shared" si="407"/>
        <v>101807147.4673878</v>
      </c>
      <c r="T982" s="350">
        <f t="shared" si="408"/>
        <v>136827381.56931323</v>
      </c>
      <c r="U982" s="350">
        <f t="shared" si="409"/>
        <v>172381490.57630226</v>
      </c>
      <c r="V982" s="350">
        <f t="shared" si="410"/>
        <v>511667317.68856311</v>
      </c>
      <c r="W982" s="365"/>
      <c r="X982" s="377">
        <f t="shared" si="388"/>
        <v>0</v>
      </c>
      <c r="Y982" s="377">
        <f t="shared" si="389"/>
        <v>0</v>
      </c>
      <c r="Z982" s="377">
        <f t="shared" si="390"/>
        <v>0</v>
      </c>
      <c r="AA982" s="377">
        <f t="shared" si="391"/>
        <v>0</v>
      </c>
      <c r="AB982" s="377">
        <f t="shared" si="392"/>
        <v>0</v>
      </c>
      <c r="AC982" s="377">
        <f t="shared" si="393"/>
        <v>0</v>
      </c>
      <c r="AD982" s="376"/>
      <c r="AE982" s="332">
        <v>967</v>
      </c>
      <c r="AF982" s="350">
        <v>125904065.71758807</v>
      </c>
      <c r="AG982" s="350">
        <v>126936730.92413774</v>
      </c>
      <c r="AH982" s="350">
        <v>127926125.95043091</v>
      </c>
      <c r="AI982" s="350">
        <v>128917872.05109723</v>
      </c>
      <c r="AJ982" s="350">
        <v>129915049.89148253</v>
      </c>
      <c r="AK982" s="348">
        <v>639599844.53473639</v>
      </c>
      <c r="AL982" s="369"/>
      <c r="AM982" s="350">
        <v>159557723.67106125</v>
      </c>
      <c r="AN982" s="350">
        <v>194906845.0339075</v>
      </c>
      <c r="AO982" s="350">
        <v>230731779.36833709</v>
      </c>
      <c r="AP982" s="350">
        <v>267092233.76164567</v>
      </c>
      <c r="AQ982" s="350">
        <v>303997308.33011049</v>
      </c>
      <c r="AR982" s="348">
        <v>1156285890.165062</v>
      </c>
      <c r="AS982" s="369"/>
      <c r="AT982" s="350">
        <f t="shared" si="411"/>
        <v>33653657.953473181</v>
      </c>
      <c r="AU982" s="350">
        <f t="shared" si="394"/>
        <v>67970114.109769762</v>
      </c>
      <c r="AV982" s="350">
        <f t="shared" si="395"/>
        <v>102805653.41790618</v>
      </c>
      <c r="AW982" s="350">
        <f t="shared" si="396"/>
        <v>138174361.71054846</v>
      </c>
      <c r="AX982" s="350">
        <f t="shared" si="397"/>
        <v>174082258.43862796</v>
      </c>
      <c r="AY982" s="350">
        <f t="shared" si="398"/>
        <v>516686045.63032556</v>
      </c>
      <c r="AZ982" s="365"/>
      <c r="BA982" s="377">
        <f t="shared" si="399"/>
        <v>0</v>
      </c>
      <c r="BB982" s="377">
        <f t="shared" si="400"/>
        <v>0</v>
      </c>
      <c r="BC982" s="377">
        <f t="shared" si="401"/>
        <v>0</v>
      </c>
      <c r="BD982" s="377">
        <f t="shared" si="402"/>
        <v>0</v>
      </c>
      <c r="BE982" s="377">
        <f t="shared" si="403"/>
        <v>0</v>
      </c>
      <c r="BF982" s="377">
        <f t="shared" si="404"/>
        <v>0</v>
      </c>
      <c r="BG982" s="328"/>
    </row>
    <row r="983" spans="2:59">
      <c r="B983" s="332">
        <v>968</v>
      </c>
      <c r="C983" s="350">
        <v>124471278.69241489</v>
      </c>
      <c r="D983" s="350">
        <v>125492192.17910658</v>
      </c>
      <c r="E983" s="350">
        <v>126470327.89976603</v>
      </c>
      <c r="F983" s="350">
        <v>127450787.93959543</v>
      </c>
      <c r="G983" s="350">
        <v>128436617.90599945</v>
      </c>
      <c r="H983" s="348">
        <v>632321204.61688232</v>
      </c>
      <c r="I983" s="369"/>
      <c r="J983" s="350">
        <v>156946234.22674167</v>
      </c>
      <c r="K983" s="350">
        <v>191069268.41146135</v>
      </c>
      <c r="L983" s="350">
        <v>225650233.76095343</v>
      </c>
      <c r="M983" s="350">
        <v>260747824.15383902</v>
      </c>
      <c r="N983" s="350">
        <v>296370891.92457622</v>
      </c>
      <c r="O983" s="348">
        <v>1130784452.4775717</v>
      </c>
      <c r="P983" s="369"/>
      <c r="Q983" s="350">
        <f t="shared" si="405"/>
        <v>32474955.534326777</v>
      </c>
      <c r="R983" s="350">
        <f t="shared" si="406"/>
        <v>65577076.232354775</v>
      </c>
      <c r="S983" s="350">
        <f t="shared" si="407"/>
        <v>99179905.861187398</v>
      </c>
      <c r="T983" s="350">
        <f t="shared" si="408"/>
        <v>133297036.21424359</v>
      </c>
      <c r="U983" s="350">
        <f t="shared" si="409"/>
        <v>167934274.01857677</v>
      </c>
      <c r="V983" s="350">
        <f t="shared" si="410"/>
        <v>498463247.8606894</v>
      </c>
      <c r="W983" s="365"/>
      <c r="X983" s="377">
        <f t="shared" si="388"/>
        <v>0</v>
      </c>
      <c r="Y983" s="377">
        <f t="shared" si="389"/>
        <v>0</v>
      </c>
      <c r="Z983" s="377">
        <f t="shared" si="390"/>
        <v>0</v>
      </c>
      <c r="AA983" s="377">
        <f t="shared" si="391"/>
        <v>0</v>
      </c>
      <c r="AB983" s="377">
        <f t="shared" si="392"/>
        <v>0</v>
      </c>
      <c r="AC983" s="377">
        <f t="shared" si="393"/>
        <v>0</v>
      </c>
      <c r="AD983" s="376"/>
      <c r="AE983" s="332">
        <v>968</v>
      </c>
      <c r="AF983" s="350">
        <v>104572056.66928358</v>
      </c>
      <c r="AG983" s="350">
        <v>105429756.72753218</v>
      </c>
      <c r="AH983" s="350">
        <v>106251517.90075684</v>
      </c>
      <c r="AI983" s="350">
        <v>107075231.80427001</v>
      </c>
      <c r="AJ983" s="350">
        <v>107903457.14425251</v>
      </c>
      <c r="AK983" s="348">
        <v>531232020.24609518</v>
      </c>
      <c r="AL983" s="369"/>
      <c r="AM983" s="350">
        <v>132430798.31956343</v>
      </c>
      <c r="AN983" s="350">
        <v>161713723.93015426</v>
      </c>
      <c r="AO983" s="350">
        <v>191390689.15654379</v>
      </c>
      <c r="AP983" s="350">
        <v>221511246.95815757</v>
      </c>
      <c r="AQ983" s="350">
        <v>252082941.70550904</v>
      </c>
      <c r="AR983" s="348">
        <v>959129400.06992817</v>
      </c>
      <c r="AS983" s="369"/>
      <c r="AT983" s="350">
        <f t="shared" si="411"/>
        <v>27858741.65027985</v>
      </c>
      <c r="AU983" s="350">
        <f t="shared" si="394"/>
        <v>56283967.202622086</v>
      </c>
      <c r="AV983" s="350">
        <f t="shared" si="395"/>
        <v>85139171.255786955</v>
      </c>
      <c r="AW983" s="350">
        <f t="shared" si="396"/>
        <v>114436015.15388756</v>
      </c>
      <c r="AX983" s="350">
        <f t="shared" si="397"/>
        <v>144179484.56125653</v>
      </c>
      <c r="AY983" s="350">
        <f t="shared" si="398"/>
        <v>427897379.82383299</v>
      </c>
      <c r="AZ983" s="365"/>
      <c r="BA983" s="377">
        <f t="shared" si="399"/>
        <v>0</v>
      </c>
      <c r="BB983" s="377">
        <f t="shared" si="400"/>
        <v>0</v>
      </c>
      <c r="BC983" s="377">
        <f t="shared" si="401"/>
        <v>0</v>
      </c>
      <c r="BD983" s="377">
        <f t="shared" si="402"/>
        <v>0</v>
      </c>
      <c r="BE983" s="377">
        <f t="shared" si="403"/>
        <v>0</v>
      </c>
      <c r="BF983" s="377">
        <f t="shared" si="404"/>
        <v>0</v>
      </c>
      <c r="BG983" s="328"/>
    </row>
    <row r="984" spans="2:59">
      <c r="B984" s="332">
        <v>969</v>
      </c>
      <c r="C984" s="350">
        <v>144556129.86292019</v>
      </c>
      <c r="D984" s="350">
        <v>145741779.30840951</v>
      </c>
      <c r="E984" s="350">
        <v>146877748.31061295</v>
      </c>
      <c r="F984" s="350">
        <v>148016416.68722063</v>
      </c>
      <c r="G984" s="350">
        <v>149161321.4889012</v>
      </c>
      <c r="H984" s="348">
        <v>734353395.65806437</v>
      </c>
      <c r="I984" s="369"/>
      <c r="J984" s="350">
        <v>182921547.69380581</v>
      </c>
      <c r="K984" s="350">
        <v>223217806.9361392</v>
      </c>
      <c r="L984" s="350">
        <v>264055982.18178514</v>
      </c>
      <c r="M984" s="350">
        <v>305504510.62334126</v>
      </c>
      <c r="N984" s="350">
        <v>347573789.94193971</v>
      </c>
      <c r="O984" s="348">
        <v>1323273637.3770113</v>
      </c>
      <c r="P984" s="369"/>
      <c r="Q984" s="350">
        <f t="shared" si="405"/>
        <v>38365417.830885619</v>
      </c>
      <c r="R984" s="350">
        <f t="shared" si="406"/>
        <v>77476027.627729684</v>
      </c>
      <c r="S984" s="350">
        <f t="shared" si="407"/>
        <v>117178233.87117219</v>
      </c>
      <c r="T984" s="350">
        <f t="shared" si="408"/>
        <v>157488093.93612063</v>
      </c>
      <c r="U984" s="350">
        <f t="shared" si="409"/>
        <v>198412468.45303851</v>
      </c>
      <c r="V984" s="350">
        <f t="shared" si="410"/>
        <v>588920241.71894693</v>
      </c>
      <c r="W984" s="365"/>
      <c r="X984" s="377">
        <f t="shared" si="388"/>
        <v>0</v>
      </c>
      <c r="Y984" s="377">
        <f t="shared" si="389"/>
        <v>0</v>
      </c>
      <c r="Z984" s="377">
        <f t="shared" si="390"/>
        <v>0</v>
      </c>
      <c r="AA984" s="377">
        <f t="shared" si="391"/>
        <v>0</v>
      </c>
      <c r="AB984" s="377">
        <f t="shared" si="392"/>
        <v>0</v>
      </c>
      <c r="AC984" s="377">
        <f t="shared" si="393"/>
        <v>0</v>
      </c>
      <c r="AD984" s="376"/>
      <c r="AE984" s="332">
        <v>969</v>
      </c>
      <c r="AF984" s="350">
        <v>115360354.21895292</v>
      </c>
      <c r="AG984" s="350">
        <v>116306539.89880517</v>
      </c>
      <c r="AH984" s="350">
        <v>117213079.01686406</v>
      </c>
      <c r="AI984" s="350">
        <v>118121772.32089725</v>
      </c>
      <c r="AJ984" s="350">
        <v>119035442.48897724</v>
      </c>
      <c r="AK984" s="348">
        <v>586037187.94449663</v>
      </c>
      <c r="AL984" s="369"/>
      <c r="AM984" s="350">
        <v>145250851.77508256</v>
      </c>
      <c r="AN984" s="350">
        <v>176670183.31883785</v>
      </c>
      <c r="AO984" s="350">
        <v>208510813.35732594</v>
      </c>
      <c r="AP984" s="350">
        <v>240827053.0543012</v>
      </c>
      <c r="AQ984" s="350">
        <v>273627070.52097648</v>
      </c>
      <c r="AR984" s="348">
        <v>1044885972.0265241</v>
      </c>
      <c r="AS984" s="369"/>
      <c r="AT984" s="350">
        <f t="shared" si="411"/>
        <v>29890497.556129634</v>
      </c>
      <c r="AU984" s="350">
        <f t="shared" si="394"/>
        <v>60363643.42003268</v>
      </c>
      <c r="AV984" s="350">
        <f t="shared" si="395"/>
        <v>91297734.34046188</v>
      </c>
      <c r="AW984" s="350">
        <f t="shared" si="396"/>
        <v>122705280.73340395</v>
      </c>
      <c r="AX984" s="350">
        <f t="shared" si="397"/>
        <v>154591628.03199923</v>
      </c>
      <c r="AY984" s="350">
        <f t="shared" si="398"/>
        <v>458848784.08202744</v>
      </c>
      <c r="AZ984" s="365"/>
      <c r="BA984" s="377">
        <f t="shared" si="399"/>
        <v>0</v>
      </c>
      <c r="BB984" s="377">
        <f t="shared" si="400"/>
        <v>0</v>
      </c>
      <c r="BC984" s="377">
        <f t="shared" si="401"/>
        <v>0</v>
      </c>
      <c r="BD984" s="377">
        <f t="shared" si="402"/>
        <v>0</v>
      </c>
      <c r="BE984" s="377">
        <f t="shared" si="403"/>
        <v>0</v>
      </c>
      <c r="BF984" s="377">
        <f t="shared" si="404"/>
        <v>0</v>
      </c>
      <c r="BG984" s="328"/>
    </row>
    <row r="985" spans="2:59">
      <c r="B985" s="332">
        <v>970</v>
      </c>
      <c r="C985" s="350">
        <v>150010871.73930445</v>
      </c>
      <c r="D985" s="350">
        <v>151241260.98024318</v>
      </c>
      <c r="E985" s="350">
        <v>152420095.11512882</v>
      </c>
      <c r="F985" s="350">
        <v>153601730.48374918</v>
      </c>
      <c r="G985" s="350">
        <v>154789837.6053322</v>
      </c>
      <c r="H985" s="348">
        <v>762063795.92375779</v>
      </c>
      <c r="I985" s="369"/>
      <c r="J985" s="350">
        <v>188687813.58012548</v>
      </c>
      <c r="K985" s="350">
        <v>229366006.68492568</v>
      </c>
      <c r="L985" s="350">
        <v>270589350.68330669</v>
      </c>
      <c r="M985" s="350">
        <v>312428390.76465249</v>
      </c>
      <c r="N985" s="350">
        <v>354893716.78111362</v>
      </c>
      <c r="O985" s="348">
        <v>1355965278.4941239</v>
      </c>
      <c r="P985" s="369"/>
      <c r="Q985" s="350">
        <f t="shared" si="405"/>
        <v>38676941.840821028</v>
      </c>
      <c r="R985" s="350">
        <f t="shared" si="406"/>
        <v>78124745.704682499</v>
      </c>
      <c r="S985" s="350">
        <f t="shared" si="407"/>
        <v>118169255.56817788</v>
      </c>
      <c r="T985" s="350">
        <f t="shared" si="408"/>
        <v>158826660.28090331</v>
      </c>
      <c r="U985" s="350">
        <f t="shared" si="409"/>
        <v>200103879.17578143</v>
      </c>
      <c r="V985" s="350">
        <f t="shared" si="410"/>
        <v>593901482.57036614</v>
      </c>
      <c r="W985" s="365"/>
      <c r="X985" s="377">
        <f t="shared" si="388"/>
        <v>0</v>
      </c>
      <c r="Y985" s="377">
        <f t="shared" si="389"/>
        <v>0</v>
      </c>
      <c r="Z985" s="377">
        <f t="shared" si="390"/>
        <v>0</v>
      </c>
      <c r="AA985" s="377">
        <f t="shared" si="391"/>
        <v>0</v>
      </c>
      <c r="AB985" s="377">
        <f t="shared" si="392"/>
        <v>0</v>
      </c>
      <c r="AC985" s="377">
        <f t="shared" si="393"/>
        <v>0</v>
      </c>
      <c r="AD985" s="376"/>
      <c r="AE985" s="332">
        <v>970</v>
      </c>
      <c r="AF985" s="350">
        <v>116726623.2090835</v>
      </c>
      <c r="AG985" s="350">
        <v>117684015.02783881</v>
      </c>
      <c r="AH985" s="350">
        <v>118601290.73121536</v>
      </c>
      <c r="AI985" s="350">
        <v>119520746.13364226</v>
      </c>
      <c r="AJ985" s="350">
        <v>120445237.34354642</v>
      </c>
      <c r="AK985" s="348">
        <v>592977912.44532633</v>
      </c>
      <c r="AL985" s="369"/>
      <c r="AM985" s="350">
        <v>151607382.32123253</v>
      </c>
      <c r="AN985" s="350">
        <v>188122749.10136938</v>
      </c>
      <c r="AO985" s="350">
        <v>225135858.07278717</v>
      </c>
      <c r="AP985" s="350">
        <v>262703603.94746089</v>
      </c>
      <c r="AQ985" s="350">
        <v>300835080.28159332</v>
      </c>
      <c r="AR985" s="348">
        <v>1128404673.7244434</v>
      </c>
      <c r="AS985" s="369"/>
      <c r="AT985" s="350">
        <f t="shared" si="411"/>
        <v>34880759.11214903</v>
      </c>
      <c r="AU985" s="350">
        <f t="shared" si="394"/>
        <v>70438734.07353057</v>
      </c>
      <c r="AV985" s="350">
        <f t="shared" si="395"/>
        <v>106534567.34157181</v>
      </c>
      <c r="AW985" s="350">
        <f t="shared" si="396"/>
        <v>143182857.81381863</v>
      </c>
      <c r="AX985" s="350">
        <f t="shared" si="397"/>
        <v>180389842.9380469</v>
      </c>
      <c r="AY985" s="350">
        <f t="shared" si="398"/>
        <v>535426761.27911711</v>
      </c>
      <c r="AZ985" s="365"/>
      <c r="BA985" s="377">
        <f t="shared" si="399"/>
        <v>0</v>
      </c>
      <c r="BB985" s="377">
        <f t="shared" si="400"/>
        <v>0</v>
      </c>
      <c r="BC985" s="377">
        <f t="shared" si="401"/>
        <v>0</v>
      </c>
      <c r="BD985" s="377">
        <f t="shared" si="402"/>
        <v>0</v>
      </c>
      <c r="BE985" s="377">
        <f t="shared" si="403"/>
        <v>0</v>
      </c>
      <c r="BF985" s="377">
        <f t="shared" si="404"/>
        <v>0</v>
      </c>
      <c r="BG985" s="328"/>
    </row>
    <row r="986" spans="2:59">
      <c r="B986" s="332">
        <v>971</v>
      </c>
      <c r="C986" s="350">
        <v>122574487.55469832</v>
      </c>
      <c r="D986" s="350">
        <v>123579843.55958158</v>
      </c>
      <c r="E986" s="350">
        <v>124543073.67964044</v>
      </c>
      <c r="F986" s="350">
        <v>125508592.69906759</v>
      </c>
      <c r="G986" s="350">
        <v>126479399.81390934</v>
      </c>
      <c r="H986" s="348">
        <v>622685397.30689728</v>
      </c>
      <c r="I986" s="369"/>
      <c r="J986" s="350">
        <v>152055574.59946802</v>
      </c>
      <c r="K986" s="350">
        <v>183131402.9566074</v>
      </c>
      <c r="L986" s="350">
        <v>214619966.34401304</v>
      </c>
      <c r="M986" s="350">
        <v>246578019.42432135</v>
      </c>
      <c r="N986" s="350">
        <v>279013835.85677177</v>
      </c>
      <c r="O986" s="348">
        <v>1075398799.1811817</v>
      </c>
      <c r="P986" s="369"/>
      <c r="Q986" s="350">
        <f t="shared" si="405"/>
        <v>29481087.044769704</v>
      </c>
      <c r="R986" s="350">
        <f t="shared" si="406"/>
        <v>59551559.397025824</v>
      </c>
      <c r="S986" s="350">
        <f t="shared" si="407"/>
        <v>90076892.664372593</v>
      </c>
      <c r="T986" s="350">
        <f t="shared" si="408"/>
        <v>121069426.72525376</v>
      </c>
      <c r="U986" s="350">
        <f t="shared" si="409"/>
        <v>152534436.04286242</v>
      </c>
      <c r="V986" s="350">
        <f t="shared" si="410"/>
        <v>452713401.87428439</v>
      </c>
      <c r="W986" s="365"/>
      <c r="X986" s="377">
        <f t="shared" si="388"/>
        <v>0</v>
      </c>
      <c r="Y986" s="377">
        <f t="shared" si="389"/>
        <v>0</v>
      </c>
      <c r="Z986" s="377">
        <f t="shared" si="390"/>
        <v>0</v>
      </c>
      <c r="AA986" s="377">
        <f t="shared" si="391"/>
        <v>0</v>
      </c>
      <c r="AB986" s="377">
        <f t="shared" si="392"/>
        <v>0</v>
      </c>
      <c r="AC986" s="377">
        <f t="shared" si="393"/>
        <v>0</v>
      </c>
      <c r="AD986" s="376"/>
      <c r="AE986" s="332">
        <v>971</v>
      </c>
      <c r="AF986" s="350">
        <v>126821602.12379166</v>
      </c>
      <c r="AG986" s="350">
        <v>127861792.96437883</v>
      </c>
      <c r="AH986" s="350">
        <v>128858398.28965297</v>
      </c>
      <c r="AI986" s="350">
        <v>129857371.82295132</v>
      </c>
      <c r="AJ986" s="350">
        <v>130861816.680226</v>
      </c>
      <c r="AK986" s="348">
        <v>644260981.88100076</v>
      </c>
      <c r="AL986" s="369"/>
      <c r="AM986" s="350">
        <v>157483482.94769865</v>
      </c>
      <c r="AN986" s="350">
        <v>189821266.22556585</v>
      </c>
      <c r="AO986" s="350">
        <v>222588897.4349589</v>
      </c>
      <c r="AP986" s="350">
        <v>255845165.68413207</v>
      </c>
      <c r="AQ986" s="350">
        <v>289598663.27613437</v>
      </c>
      <c r="AR986" s="348">
        <v>1115337475.56849</v>
      </c>
      <c r="AS986" s="369"/>
      <c r="AT986" s="350">
        <f t="shared" si="411"/>
        <v>30661880.823906988</v>
      </c>
      <c r="AU986" s="350">
        <f t="shared" si="394"/>
        <v>61959473.261187017</v>
      </c>
      <c r="AV986" s="350">
        <f t="shared" si="395"/>
        <v>93730499.145305932</v>
      </c>
      <c r="AW986" s="350">
        <f t="shared" si="396"/>
        <v>125987793.86118075</v>
      </c>
      <c r="AX986" s="350">
        <f t="shared" si="397"/>
        <v>158736846.59590837</v>
      </c>
      <c r="AY986" s="350">
        <f t="shared" si="398"/>
        <v>471076493.68748927</v>
      </c>
      <c r="AZ986" s="365"/>
      <c r="BA986" s="377">
        <f t="shared" si="399"/>
        <v>0</v>
      </c>
      <c r="BB986" s="377">
        <f t="shared" si="400"/>
        <v>0</v>
      </c>
      <c r="BC986" s="377">
        <f t="shared" si="401"/>
        <v>0</v>
      </c>
      <c r="BD986" s="377">
        <f t="shared" si="402"/>
        <v>0</v>
      </c>
      <c r="BE986" s="377">
        <f t="shared" si="403"/>
        <v>0</v>
      </c>
      <c r="BF986" s="377">
        <f t="shared" si="404"/>
        <v>0</v>
      </c>
      <c r="BG986" s="328"/>
    </row>
    <row r="987" spans="2:59">
      <c r="B987" s="332">
        <v>972</v>
      </c>
      <c r="C987" s="350">
        <v>107739476.20692357</v>
      </c>
      <c r="D987" s="350">
        <v>108623155.44171759</v>
      </c>
      <c r="E987" s="350">
        <v>109469807.2260505</v>
      </c>
      <c r="F987" s="350">
        <v>110318470.88760148</v>
      </c>
      <c r="G987" s="350">
        <v>111171782.63409625</v>
      </c>
      <c r="H987" s="348">
        <v>547322692.39638937</v>
      </c>
      <c r="I987" s="369"/>
      <c r="J987" s="350">
        <v>144700212.38262436</v>
      </c>
      <c r="K987" s="350">
        <v>183263262.18179479</v>
      </c>
      <c r="L987" s="350">
        <v>222359232.04579547</v>
      </c>
      <c r="M987" s="350">
        <v>262042630.80529815</v>
      </c>
      <c r="N987" s="350">
        <v>302322704.21955341</v>
      </c>
      <c r="O987" s="348">
        <v>1114688041.6350663</v>
      </c>
      <c r="P987" s="369"/>
      <c r="Q987" s="350">
        <f t="shared" si="405"/>
        <v>36960736.175700784</v>
      </c>
      <c r="R987" s="350">
        <f t="shared" si="406"/>
        <v>74640106.740077198</v>
      </c>
      <c r="S987" s="350">
        <f t="shared" si="407"/>
        <v>112889424.81974497</v>
      </c>
      <c r="T987" s="350">
        <f t="shared" si="408"/>
        <v>151724159.91769665</v>
      </c>
      <c r="U987" s="350">
        <f t="shared" si="409"/>
        <v>191150921.58545715</v>
      </c>
      <c r="V987" s="350">
        <f t="shared" si="410"/>
        <v>567365349.23867691</v>
      </c>
      <c r="W987" s="365"/>
      <c r="X987" s="377">
        <f t="shared" si="388"/>
        <v>0</v>
      </c>
      <c r="Y987" s="377">
        <f t="shared" si="389"/>
        <v>0</v>
      </c>
      <c r="Z987" s="377">
        <f t="shared" si="390"/>
        <v>0</v>
      </c>
      <c r="AA987" s="377">
        <f t="shared" si="391"/>
        <v>0</v>
      </c>
      <c r="AB987" s="377">
        <f t="shared" si="392"/>
        <v>0</v>
      </c>
      <c r="AC987" s="377">
        <f t="shared" si="393"/>
        <v>0</v>
      </c>
      <c r="AD987" s="376"/>
      <c r="AE987" s="332">
        <v>972</v>
      </c>
      <c r="AF987" s="350">
        <v>146646709.7602652</v>
      </c>
      <c r="AG987" s="350">
        <v>147849506.14306107</v>
      </c>
      <c r="AH987" s="350">
        <v>149001903.60085657</v>
      </c>
      <c r="AI987" s="350">
        <v>150157039.47157985</v>
      </c>
      <c r="AJ987" s="350">
        <v>151318501.95894989</v>
      </c>
      <c r="AK987" s="348">
        <v>744973660.93471253</v>
      </c>
      <c r="AL987" s="369"/>
      <c r="AM987" s="350">
        <v>178864139.35411662</v>
      </c>
      <c r="AN987" s="350">
        <v>212906952.18255824</v>
      </c>
      <c r="AO987" s="350">
        <v>247396110.56114325</v>
      </c>
      <c r="AP987" s="350">
        <v>282398235.86044204</v>
      </c>
      <c r="AQ987" s="350">
        <v>317922677.02427155</v>
      </c>
      <c r="AR987" s="348">
        <v>1239488114.9825318</v>
      </c>
      <c r="AS987" s="369"/>
      <c r="AT987" s="350">
        <f t="shared" si="411"/>
        <v>32217429.593851417</v>
      </c>
      <c r="AU987" s="350">
        <f t="shared" si="394"/>
        <v>65057446.039497167</v>
      </c>
      <c r="AV987" s="350">
        <f t="shared" si="395"/>
        <v>98394206.960286677</v>
      </c>
      <c r="AW987" s="350">
        <f t="shared" si="396"/>
        <v>132241196.38886219</v>
      </c>
      <c r="AX987" s="350">
        <f t="shared" si="397"/>
        <v>166604175.06532165</v>
      </c>
      <c r="AY987" s="350">
        <f t="shared" si="398"/>
        <v>494514454.04781926</v>
      </c>
      <c r="AZ987" s="365"/>
      <c r="BA987" s="377">
        <f t="shared" si="399"/>
        <v>0</v>
      </c>
      <c r="BB987" s="377">
        <f t="shared" si="400"/>
        <v>0</v>
      </c>
      <c r="BC987" s="377">
        <f t="shared" si="401"/>
        <v>0</v>
      </c>
      <c r="BD987" s="377">
        <f t="shared" si="402"/>
        <v>0</v>
      </c>
      <c r="BE987" s="377">
        <f t="shared" si="403"/>
        <v>0</v>
      </c>
      <c r="BF987" s="377">
        <f t="shared" si="404"/>
        <v>0</v>
      </c>
      <c r="BG987" s="328"/>
    </row>
    <row r="988" spans="2:59">
      <c r="B988" s="332">
        <v>973</v>
      </c>
      <c r="C988" s="350">
        <v>114550944.47447219</v>
      </c>
      <c r="D988" s="350">
        <v>115490491.37521748</v>
      </c>
      <c r="E988" s="350">
        <v>116390669.88870928</v>
      </c>
      <c r="F988" s="350">
        <v>117292987.47363161</v>
      </c>
      <c r="G988" s="350">
        <v>118200247.00313219</v>
      </c>
      <c r="H988" s="348">
        <v>581925340.21516275</v>
      </c>
      <c r="I988" s="369"/>
      <c r="J988" s="350">
        <v>139640050.59322953</v>
      </c>
      <c r="K988" s="350">
        <v>166184453.70302269</v>
      </c>
      <c r="L988" s="350">
        <v>193076806.76098824</v>
      </c>
      <c r="M988" s="350">
        <v>220369119.54310992</v>
      </c>
      <c r="N988" s="350">
        <v>248068685.77894911</v>
      </c>
      <c r="O988" s="348">
        <v>967339116.37929952</v>
      </c>
      <c r="P988" s="369"/>
      <c r="Q988" s="350">
        <f t="shared" si="405"/>
        <v>25089106.118757337</v>
      </c>
      <c r="R988" s="350">
        <f t="shared" si="406"/>
        <v>50693962.327805206</v>
      </c>
      <c r="S988" s="350">
        <f t="shared" si="407"/>
        <v>76686136.872278959</v>
      </c>
      <c r="T988" s="350">
        <f t="shared" si="408"/>
        <v>103076132.06947832</v>
      </c>
      <c r="U988" s="350">
        <f t="shared" si="409"/>
        <v>129868438.77581692</v>
      </c>
      <c r="V988" s="350">
        <f t="shared" si="410"/>
        <v>385413776.16413677</v>
      </c>
      <c r="W988" s="365"/>
      <c r="X988" s="377">
        <f t="shared" si="388"/>
        <v>0</v>
      </c>
      <c r="Y988" s="377">
        <f t="shared" si="389"/>
        <v>0</v>
      </c>
      <c r="Z988" s="377">
        <f t="shared" si="390"/>
        <v>0</v>
      </c>
      <c r="AA988" s="377">
        <f t="shared" si="391"/>
        <v>0</v>
      </c>
      <c r="AB988" s="377">
        <f t="shared" si="392"/>
        <v>0</v>
      </c>
      <c r="AC988" s="377">
        <f t="shared" si="393"/>
        <v>0</v>
      </c>
      <c r="AD988" s="376"/>
      <c r="AE988" s="332">
        <v>973</v>
      </c>
      <c r="AF988" s="350">
        <v>133811980.97066697</v>
      </c>
      <c r="AG988" s="350">
        <v>134909506.9018617</v>
      </c>
      <c r="AH988" s="350">
        <v>135961044.89371482</v>
      </c>
      <c r="AI988" s="350">
        <v>137015081.62869811</v>
      </c>
      <c r="AJ988" s="350">
        <v>138074891.26583332</v>
      </c>
      <c r="AK988" s="348">
        <v>679772505.66077495</v>
      </c>
      <c r="AL988" s="369"/>
      <c r="AM988" s="350">
        <v>163300164.118395</v>
      </c>
      <c r="AN988" s="350">
        <v>194473039.53888416</v>
      </c>
      <c r="AO988" s="350">
        <v>226054860.61772633</v>
      </c>
      <c r="AP988" s="350">
        <v>258106456.75486904</v>
      </c>
      <c r="AQ988" s="350">
        <v>290636377.48172909</v>
      </c>
      <c r="AR988" s="348">
        <v>1132570898.5116036</v>
      </c>
      <c r="AS988" s="369"/>
      <c r="AT988" s="350">
        <f t="shared" si="411"/>
        <v>29488183.147728026</v>
      </c>
      <c r="AU988" s="350">
        <f t="shared" si="394"/>
        <v>59563532.637022465</v>
      </c>
      <c r="AV988" s="350">
        <f t="shared" si="395"/>
        <v>90093815.724011511</v>
      </c>
      <c r="AW988" s="350">
        <f t="shared" si="396"/>
        <v>121091375.12617093</v>
      </c>
      <c r="AX988" s="350">
        <f t="shared" si="397"/>
        <v>152561486.21589577</v>
      </c>
      <c r="AY988" s="350">
        <f t="shared" si="398"/>
        <v>452798392.85082865</v>
      </c>
      <c r="AZ988" s="365"/>
      <c r="BA988" s="377">
        <f t="shared" si="399"/>
        <v>0</v>
      </c>
      <c r="BB988" s="377">
        <f t="shared" si="400"/>
        <v>0</v>
      </c>
      <c r="BC988" s="377">
        <f t="shared" si="401"/>
        <v>0</v>
      </c>
      <c r="BD988" s="377">
        <f t="shared" si="402"/>
        <v>0</v>
      </c>
      <c r="BE988" s="377">
        <f t="shared" si="403"/>
        <v>0</v>
      </c>
      <c r="BF988" s="377">
        <f t="shared" si="404"/>
        <v>0</v>
      </c>
      <c r="BG988" s="328"/>
    </row>
    <row r="989" spans="2:59">
      <c r="B989" s="332">
        <v>974</v>
      </c>
      <c r="C989" s="350">
        <v>126035377.63346927</v>
      </c>
      <c r="D989" s="350">
        <v>127069119.86041507</v>
      </c>
      <c r="E989" s="350">
        <v>128059546.77837692</v>
      </c>
      <c r="F989" s="350">
        <v>129052327.22276992</v>
      </c>
      <c r="G989" s="350">
        <v>130050545.07192656</v>
      </c>
      <c r="H989" s="348">
        <v>640266916.56695771</v>
      </c>
      <c r="I989" s="369"/>
      <c r="J989" s="350">
        <v>156965596.08631676</v>
      </c>
      <c r="K989" s="350">
        <v>189542888.57042664</v>
      </c>
      <c r="L989" s="350">
        <v>222554006.84661531</v>
      </c>
      <c r="M989" s="350">
        <v>256057565.91149807</v>
      </c>
      <c r="N989" s="350">
        <v>290062182.60384291</v>
      </c>
      <c r="O989" s="348">
        <v>1115182240.0186996</v>
      </c>
      <c r="P989" s="369"/>
      <c r="Q989" s="350">
        <f t="shared" si="405"/>
        <v>30930218.452847496</v>
      </c>
      <c r="R989" s="350">
        <f t="shared" si="406"/>
        <v>62473768.710011572</v>
      </c>
      <c r="S989" s="350">
        <f t="shared" si="407"/>
        <v>94494460.068238392</v>
      </c>
      <c r="T989" s="350">
        <f t="shared" si="408"/>
        <v>127005238.68872815</v>
      </c>
      <c r="U989" s="350">
        <f t="shared" si="409"/>
        <v>160011637.53191635</v>
      </c>
      <c r="V989" s="350">
        <f t="shared" si="410"/>
        <v>474915323.45174193</v>
      </c>
      <c r="W989" s="365"/>
      <c r="X989" s="377">
        <f t="shared" si="388"/>
        <v>0</v>
      </c>
      <c r="Y989" s="377">
        <f t="shared" si="389"/>
        <v>0</v>
      </c>
      <c r="Z989" s="377">
        <f t="shared" si="390"/>
        <v>0</v>
      </c>
      <c r="AA989" s="377">
        <f t="shared" si="391"/>
        <v>0</v>
      </c>
      <c r="AB989" s="377">
        <f t="shared" si="392"/>
        <v>0</v>
      </c>
      <c r="AC989" s="377">
        <f t="shared" si="393"/>
        <v>0</v>
      </c>
      <c r="AD989" s="376"/>
      <c r="AE989" s="332">
        <v>974</v>
      </c>
      <c r="AF989" s="350">
        <v>134941062.52243266</v>
      </c>
      <c r="AG989" s="350">
        <v>136047849.18104887</v>
      </c>
      <c r="AH989" s="350">
        <v>137108259.86232013</v>
      </c>
      <c r="AI989" s="350">
        <v>138171190.37066901</v>
      </c>
      <c r="AJ989" s="350">
        <v>139239942.49188524</v>
      </c>
      <c r="AK989" s="348">
        <v>685508304.42835593</v>
      </c>
      <c r="AL989" s="369"/>
      <c r="AM989" s="350">
        <v>163604317.95524356</v>
      </c>
      <c r="AN989" s="350">
        <v>193944695.43425727</v>
      </c>
      <c r="AO989" s="350">
        <v>224680897.5167692</v>
      </c>
      <c r="AP989" s="350">
        <v>255873817.41641057</v>
      </c>
      <c r="AQ989" s="350">
        <v>287531884.65174735</v>
      </c>
      <c r="AR989" s="348">
        <v>1125635612.9744279</v>
      </c>
      <c r="AS989" s="369"/>
      <c r="AT989" s="350">
        <f t="shared" si="411"/>
        <v>28663255.432810903</v>
      </c>
      <c r="AU989" s="350">
        <f t="shared" si="394"/>
        <v>57896846.253208399</v>
      </c>
      <c r="AV989" s="350">
        <f t="shared" si="395"/>
        <v>87572637.654449075</v>
      </c>
      <c r="AW989" s="350">
        <f t="shared" si="396"/>
        <v>117702627.04574156</v>
      </c>
      <c r="AX989" s="350">
        <f t="shared" si="397"/>
        <v>148291942.1598621</v>
      </c>
      <c r="AY989" s="350">
        <f t="shared" si="398"/>
        <v>440127308.54607201</v>
      </c>
      <c r="AZ989" s="365"/>
      <c r="BA989" s="377">
        <f t="shared" si="399"/>
        <v>0</v>
      </c>
      <c r="BB989" s="377">
        <f t="shared" si="400"/>
        <v>0</v>
      </c>
      <c r="BC989" s="377">
        <f t="shared" si="401"/>
        <v>0</v>
      </c>
      <c r="BD989" s="377">
        <f t="shared" si="402"/>
        <v>0</v>
      </c>
      <c r="BE989" s="377">
        <f t="shared" si="403"/>
        <v>0</v>
      </c>
      <c r="BF989" s="377">
        <f t="shared" si="404"/>
        <v>0</v>
      </c>
      <c r="BG989" s="328"/>
    </row>
    <row r="990" spans="2:59">
      <c r="B990" s="332">
        <v>975</v>
      </c>
      <c r="C990" s="350">
        <v>122017412.63483739</v>
      </c>
      <c r="D990" s="350">
        <v>123018199.5109645</v>
      </c>
      <c r="E990" s="350">
        <v>123977051.95543489</v>
      </c>
      <c r="F990" s="350">
        <v>124938182.89671381</v>
      </c>
      <c r="G990" s="350">
        <v>125904577.90014075</v>
      </c>
      <c r="H990" s="348">
        <v>619855424.89809132</v>
      </c>
      <c r="I990" s="369"/>
      <c r="J990" s="350">
        <v>152386470.7501967</v>
      </c>
      <c r="K990" s="350">
        <v>184373994.32765728</v>
      </c>
      <c r="L990" s="350">
        <v>216788309.13165918</v>
      </c>
      <c r="M990" s="350">
        <v>249686340.23226365</v>
      </c>
      <c r="N990" s="350">
        <v>283076508.1339615</v>
      </c>
      <c r="O990" s="348">
        <v>1086311622.5757384</v>
      </c>
      <c r="P990" s="369"/>
      <c r="Q990" s="350">
        <f t="shared" si="405"/>
        <v>30369058.115359306</v>
      </c>
      <c r="R990" s="350">
        <f t="shared" si="406"/>
        <v>61355794.816692784</v>
      </c>
      <c r="S990" s="350">
        <f t="shared" si="407"/>
        <v>92811257.176224291</v>
      </c>
      <c r="T990" s="350">
        <f t="shared" si="408"/>
        <v>124748157.33554985</v>
      </c>
      <c r="U990" s="350">
        <f t="shared" si="409"/>
        <v>157171930.23382074</v>
      </c>
      <c r="V990" s="350">
        <f t="shared" si="410"/>
        <v>466456197.67764711</v>
      </c>
      <c r="W990" s="365"/>
      <c r="X990" s="377">
        <f t="shared" si="388"/>
        <v>0</v>
      </c>
      <c r="Y990" s="377">
        <f t="shared" si="389"/>
        <v>0</v>
      </c>
      <c r="Z990" s="377">
        <f t="shared" si="390"/>
        <v>0</v>
      </c>
      <c r="AA990" s="377">
        <f t="shared" si="391"/>
        <v>0</v>
      </c>
      <c r="AB990" s="377">
        <f t="shared" si="392"/>
        <v>0</v>
      </c>
      <c r="AC990" s="377">
        <f t="shared" si="393"/>
        <v>0</v>
      </c>
      <c r="AD990" s="376"/>
      <c r="AE990" s="332">
        <v>975</v>
      </c>
      <c r="AF990" s="350">
        <v>126276039.9292092</v>
      </c>
      <c r="AG990" s="350">
        <v>127311756.06841844</v>
      </c>
      <c r="AH990" s="350">
        <v>128304074.18883722</v>
      </c>
      <c r="AI990" s="350">
        <v>129298750.32970375</v>
      </c>
      <c r="AJ990" s="350">
        <v>130298874.25796087</v>
      </c>
      <c r="AK990" s="348">
        <v>641489494.77412951</v>
      </c>
      <c r="AL990" s="369"/>
      <c r="AM990" s="350">
        <v>159868226.71471009</v>
      </c>
      <c r="AN990" s="350">
        <v>195172169.41422629</v>
      </c>
      <c r="AO990" s="350">
        <v>230951074.39155504</v>
      </c>
      <c r="AP990" s="350">
        <v>267264758.5927074</v>
      </c>
      <c r="AQ990" s="350">
        <v>304122322.44655454</v>
      </c>
      <c r="AR990" s="348">
        <v>1157378551.5597534</v>
      </c>
      <c r="AS990" s="369"/>
      <c r="AT990" s="350">
        <f t="shared" si="411"/>
        <v>33592186.785500884</v>
      </c>
      <c r="AU990" s="350">
        <f t="shared" si="394"/>
        <v>67860413.34580785</v>
      </c>
      <c r="AV990" s="350">
        <f t="shared" si="395"/>
        <v>102647000.20271783</v>
      </c>
      <c r="AW990" s="350">
        <f t="shared" si="396"/>
        <v>137966008.26300365</v>
      </c>
      <c r="AX990" s="350">
        <f t="shared" si="397"/>
        <v>173823448.18859369</v>
      </c>
      <c r="AY990" s="350">
        <f t="shared" si="398"/>
        <v>515889056.78562391</v>
      </c>
      <c r="AZ990" s="365"/>
      <c r="BA990" s="377">
        <f t="shared" si="399"/>
        <v>0</v>
      </c>
      <c r="BB990" s="377">
        <f t="shared" si="400"/>
        <v>0</v>
      </c>
      <c r="BC990" s="377">
        <f t="shared" si="401"/>
        <v>0</v>
      </c>
      <c r="BD990" s="377">
        <f t="shared" si="402"/>
        <v>0</v>
      </c>
      <c r="BE990" s="377">
        <f t="shared" si="403"/>
        <v>0</v>
      </c>
      <c r="BF990" s="377">
        <f t="shared" si="404"/>
        <v>0</v>
      </c>
      <c r="BG990" s="328"/>
    </row>
    <row r="991" spans="2:59">
      <c r="B991" s="332">
        <v>976</v>
      </c>
      <c r="C991" s="350">
        <v>135913209.80754298</v>
      </c>
      <c r="D991" s="350">
        <v>137027970.01865131</v>
      </c>
      <c r="E991" s="350">
        <v>138096020.14892077</v>
      </c>
      <c r="F991" s="350">
        <v>139166608.25969723</v>
      </c>
      <c r="G991" s="350">
        <v>140243059.9236151</v>
      </c>
      <c r="H991" s="348">
        <v>690446868.15842736</v>
      </c>
      <c r="I991" s="369"/>
      <c r="J991" s="350">
        <v>172732528.10305232</v>
      </c>
      <c r="K991" s="350">
        <v>211376762.04924756</v>
      </c>
      <c r="L991" s="350">
        <v>250541963.40317786</v>
      </c>
      <c r="M991" s="350">
        <v>290292790.2219587</v>
      </c>
      <c r="N991" s="350">
        <v>330639151.4659763</v>
      </c>
      <c r="O991" s="348">
        <v>1255583195.2434127</v>
      </c>
      <c r="P991" s="369"/>
      <c r="Q991" s="350">
        <f t="shared" si="405"/>
        <v>36819318.295509338</v>
      </c>
      <c r="R991" s="350">
        <f t="shared" si="406"/>
        <v>74348792.030596256</v>
      </c>
      <c r="S991" s="350">
        <f t="shared" si="407"/>
        <v>112445943.25425708</v>
      </c>
      <c r="T991" s="350">
        <f t="shared" si="408"/>
        <v>151126181.96226147</v>
      </c>
      <c r="U991" s="350">
        <f t="shared" si="409"/>
        <v>190396091.5423612</v>
      </c>
      <c r="V991" s="350">
        <f t="shared" si="410"/>
        <v>565136327.08498538</v>
      </c>
      <c r="W991" s="365"/>
      <c r="X991" s="377">
        <f t="shared" si="388"/>
        <v>0</v>
      </c>
      <c r="Y991" s="377">
        <f t="shared" si="389"/>
        <v>0</v>
      </c>
      <c r="Z991" s="377">
        <f t="shared" si="390"/>
        <v>0</v>
      </c>
      <c r="AA991" s="377">
        <f t="shared" si="391"/>
        <v>0</v>
      </c>
      <c r="AB991" s="377">
        <f t="shared" si="392"/>
        <v>0</v>
      </c>
      <c r="AC991" s="377">
        <f t="shared" si="393"/>
        <v>0</v>
      </c>
      <c r="AD991" s="376"/>
      <c r="AE991" s="332">
        <v>976</v>
      </c>
      <c r="AF991" s="350">
        <v>115146188.10036793</v>
      </c>
      <c r="AG991" s="350">
        <v>116090617.1896143</v>
      </c>
      <c r="AH991" s="350">
        <v>116995473.320779</v>
      </c>
      <c r="AI991" s="350">
        <v>117902479.63867879</v>
      </c>
      <c r="AJ991" s="350">
        <v>118814453.58109367</v>
      </c>
      <c r="AK991" s="348">
        <v>584949211.83053374</v>
      </c>
      <c r="AL991" s="369"/>
      <c r="AM991" s="350">
        <v>148746618.85704285</v>
      </c>
      <c r="AN991" s="350">
        <v>183954069.70637104</v>
      </c>
      <c r="AO991" s="350">
        <v>219640222.87036103</v>
      </c>
      <c r="AP991" s="350">
        <v>255860865.0948388</v>
      </c>
      <c r="AQ991" s="350">
        <v>292624823.87643594</v>
      </c>
      <c r="AR991" s="348">
        <v>1100826600.4050498</v>
      </c>
      <c r="AS991" s="369"/>
      <c r="AT991" s="350">
        <f t="shared" si="411"/>
        <v>33600430.756674916</v>
      </c>
      <c r="AU991" s="350">
        <f t="shared" si="394"/>
        <v>67863452.516756743</v>
      </c>
      <c r="AV991" s="350">
        <f t="shared" si="395"/>
        <v>102644749.54958203</v>
      </c>
      <c r="AW991" s="350">
        <f t="shared" si="396"/>
        <v>137958385.45616001</v>
      </c>
      <c r="AX991" s="350">
        <f t="shared" si="397"/>
        <v>173810370.29534227</v>
      </c>
      <c r="AY991" s="350">
        <f t="shared" si="398"/>
        <v>515877388.57451606</v>
      </c>
      <c r="AZ991" s="365"/>
      <c r="BA991" s="377">
        <f t="shared" si="399"/>
        <v>0</v>
      </c>
      <c r="BB991" s="377">
        <f t="shared" si="400"/>
        <v>0</v>
      </c>
      <c r="BC991" s="377">
        <f t="shared" si="401"/>
        <v>0</v>
      </c>
      <c r="BD991" s="377">
        <f t="shared" si="402"/>
        <v>0</v>
      </c>
      <c r="BE991" s="377">
        <f t="shared" si="403"/>
        <v>0</v>
      </c>
      <c r="BF991" s="377">
        <f t="shared" si="404"/>
        <v>0</v>
      </c>
      <c r="BG991" s="328"/>
    </row>
    <row r="992" spans="2:59">
      <c r="B992" s="332">
        <v>977</v>
      </c>
      <c r="C992" s="350">
        <v>117940055.07397126</v>
      </c>
      <c r="D992" s="350">
        <v>118907399.46145618</v>
      </c>
      <c r="E992" s="350">
        <v>119834210.70639782</v>
      </c>
      <c r="F992" s="350">
        <v>120763224.30945605</v>
      </c>
      <c r="G992" s="350">
        <v>121697326.06973909</v>
      </c>
      <c r="H992" s="348">
        <v>599142215.62102044</v>
      </c>
      <c r="I992" s="369"/>
      <c r="J992" s="350">
        <v>147981972.13407606</v>
      </c>
      <c r="K992" s="350">
        <v>179576887.59666532</v>
      </c>
      <c r="L992" s="350">
        <v>211594550.87583366</v>
      </c>
      <c r="M992" s="350">
        <v>244090271.26659313</v>
      </c>
      <c r="N992" s="350">
        <v>277072307.08838856</v>
      </c>
      <c r="O992" s="348">
        <v>1060315988.9615567</v>
      </c>
      <c r="P992" s="369"/>
      <c r="Q992" s="350">
        <f t="shared" si="405"/>
        <v>30041917.060104802</v>
      </c>
      <c r="R992" s="350">
        <f t="shared" si="406"/>
        <v>60669488.135209143</v>
      </c>
      <c r="S992" s="350">
        <f t="shared" si="407"/>
        <v>91760340.169435844</v>
      </c>
      <c r="T992" s="350">
        <f t="shared" si="408"/>
        <v>123327046.95713708</v>
      </c>
      <c r="U992" s="350">
        <f t="shared" si="409"/>
        <v>155374981.01864946</v>
      </c>
      <c r="V992" s="350">
        <f t="shared" si="410"/>
        <v>461173773.34053624</v>
      </c>
      <c r="W992" s="365"/>
      <c r="X992" s="377">
        <f t="shared" si="388"/>
        <v>0</v>
      </c>
      <c r="Y992" s="377">
        <f t="shared" si="389"/>
        <v>0</v>
      </c>
      <c r="Z992" s="377">
        <f t="shared" si="390"/>
        <v>0</v>
      </c>
      <c r="AA992" s="377">
        <f t="shared" si="391"/>
        <v>0</v>
      </c>
      <c r="AB992" s="377">
        <f t="shared" si="392"/>
        <v>0</v>
      </c>
      <c r="AC992" s="377">
        <f t="shared" si="393"/>
        <v>0</v>
      </c>
      <c r="AD992" s="376"/>
      <c r="AE992" s="332">
        <v>977</v>
      </c>
      <c r="AF992" s="350">
        <v>153356996.4944514</v>
      </c>
      <c r="AG992" s="350">
        <v>154614830.65221408</v>
      </c>
      <c r="AH992" s="350">
        <v>155819959.72182819</v>
      </c>
      <c r="AI992" s="350">
        <v>157027952.50916529</v>
      </c>
      <c r="AJ992" s="350">
        <v>158242561.40762085</v>
      </c>
      <c r="AK992" s="348">
        <v>779062300.78527975</v>
      </c>
      <c r="AL992" s="369"/>
      <c r="AM992" s="350">
        <v>193924984.77423337</v>
      </c>
      <c r="AN992" s="350">
        <v>236542656.49317512</v>
      </c>
      <c r="AO992" s="350">
        <v>279733243.72084814</v>
      </c>
      <c r="AP992" s="350">
        <v>323569294.71221662</v>
      </c>
      <c r="AQ992" s="350">
        <v>368061816.95362842</v>
      </c>
      <c r="AR992" s="348">
        <v>1401831996.6541018</v>
      </c>
      <c r="AS992" s="369"/>
      <c r="AT992" s="350">
        <f t="shared" si="411"/>
        <v>40567988.279781967</v>
      </c>
      <c r="AU992" s="350">
        <f t="shared" si="394"/>
        <v>81927825.840961039</v>
      </c>
      <c r="AV992" s="350">
        <f t="shared" si="395"/>
        <v>123913283.99901995</v>
      </c>
      <c r="AW992" s="350">
        <f t="shared" si="396"/>
        <v>166541342.20305133</v>
      </c>
      <c r="AX992" s="350">
        <f t="shared" si="397"/>
        <v>209819255.54600757</v>
      </c>
      <c r="AY992" s="350">
        <f t="shared" si="398"/>
        <v>622769695.8688221</v>
      </c>
      <c r="AZ992" s="365"/>
      <c r="BA992" s="377">
        <f t="shared" si="399"/>
        <v>0</v>
      </c>
      <c r="BB992" s="377">
        <f t="shared" si="400"/>
        <v>0</v>
      </c>
      <c r="BC992" s="377">
        <f t="shared" si="401"/>
        <v>0</v>
      </c>
      <c r="BD992" s="377">
        <f t="shared" si="402"/>
        <v>0</v>
      </c>
      <c r="BE992" s="377">
        <f t="shared" si="403"/>
        <v>0</v>
      </c>
      <c r="BF992" s="377">
        <f t="shared" si="404"/>
        <v>0</v>
      </c>
      <c r="BG992" s="328"/>
    </row>
    <row r="993" spans="2:59">
      <c r="B993" s="332">
        <v>978</v>
      </c>
      <c r="C993" s="350">
        <v>136897274.46812886</v>
      </c>
      <c r="D993" s="350">
        <v>138020105.97804862</v>
      </c>
      <c r="E993" s="350">
        <v>139095889.20792201</v>
      </c>
      <c r="F993" s="350">
        <v>140174228.79427138</v>
      </c>
      <c r="G993" s="350">
        <v>141258474.38817438</v>
      </c>
      <c r="H993" s="348">
        <v>695445972.83654523</v>
      </c>
      <c r="I993" s="369"/>
      <c r="J993" s="350">
        <v>178179092.69972184</v>
      </c>
      <c r="K993" s="350">
        <v>221424146.22433409</v>
      </c>
      <c r="L993" s="350">
        <v>265259320.12114018</v>
      </c>
      <c r="M993" s="350">
        <v>309751499.16803527</v>
      </c>
      <c r="N993" s="350">
        <v>354911421.05353582</v>
      </c>
      <c r="O993" s="348">
        <v>1329525479.266767</v>
      </c>
      <c r="P993" s="369"/>
      <c r="Q993" s="350">
        <f t="shared" si="405"/>
        <v>41281818.231592983</v>
      </c>
      <c r="R993" s="350">
        <f t="shared" si="406"/>
        <v>83404040.246285468</v>
      </c>
      <c r="S993" s="350">
        <f t="shared" si="407"/>
        <v>126163430.91321817</v>
      </c>
      <c r="T993" s="350">
        <f t="shared" si="408"/>
        <v>169577270.37376389</v>
      </c>
      <c r="U993" s="350">
        <f t="shared" si="409"/>
        <v>213652946.66536143</v>
      </c>
      <c r="V993" s="350">
        <f t="shared" si="410"/>
        <v>634079506.4302218</v>
      </c>
      <c r="W993" s="365"/>
      <c r="X993" s="377">
        <f t="shared" si="388"/>
        <v>0</v>
      </c>
      <c r="Y993" s="377">
        <f t="shared" si="389"/>
        <v>0</v>
      </c>
      <c r="Z993" s="377">
        <f t="shared" si="390"/>
        <v>0</v>
      </c>
      <c r="AA993" s="377">
        <f t="shared" si="391"/>
        <v>0</v>
      </c>
      <c r="AB993" s="377">
        <f t="shared" si="392"/>
        <v>0</v>
      </c>
      <c r="AC993" s="377">
        <f t="shared" si="393"/>
        <v>0</v>
      </c>
      <c r="AD993" s="376"/>
      <c r="AE993" s="332">
        <v>978</v>
      </c>
      <c r="AF993" s="350">
        <v>126637228.53551657</v>
      </c>
      <c r="AG993" s="350">
        <v>127675907.14384557</v>
      </c>
      <c r="AH993" s="350">
        <v>128671063.60160156</v>
      </c>
      <c r="AI993" s="350">
        <v>129668584.82447453</v>
      </c>
      <c r="AJ993" s="350">
        <v>130671569.41709825</v>
      </c>
      <c r="AK993" s="348">
        <v>643324353.52253652</v>
      </c>
      <c r="AL993" s="369"/>
      <c r="AM993" s="350">
        <v>162371232.14849085</v>
      </c>
      <c r="AN993" s="350">
        <v>199835362.31797007</v>
      </c>
      <c r="AO993" s="350">
        <v>237806949.21945599</v>
      </c>
      <c r="AP993" s="350">
        <v>276346835.65112829</v>
      </c>
      <c r="AQ993" s="350">
        <v>315464509.88806701</v>
      </c>
      <c r="AR993" s="348">
        <v>1191824889.2251122</v>
      </c>
      <c r="AS993" s="369"/>
      <c r="AT993" s="350">
        <f t="shared" si="411"/>
        <v>35734003.612974271</v>
      </c>
      <c r="AU993" s="350">
        <f t="shared" si="394"/>
        <v>72159455.174124494</v>
      </c>
      <c r="AV993" s="350">
        <f t="shared" si="395"/>
        <v>109135885.61785443</v>
      </c>
      <c r="AW993" s="350">
        <f t="shared" si="396"/>
        <v>146678250.82665378</v>
      </c>
      <c r="AX993" s="350">
        <f t="shared" si="397"/>
        <v>184792940.47096875</v>
      </c>
      <c r="AY993" s="350">
        <f t="shared" si="398"/>
        <v>548500535.70257568</v>
      </c>
      <c r="AZ993" s="365"/>
      <c r="BA993" s="377">
        <f t="shared" si="399"/>
        <v>0</v>
      </c>
      <c r="BB993" s="377">
        <f t="shared" si="400"/>
        <v>0</v>
      </c>
      <c r="BC993" s="377">
        <f t="shared" si="401"/>
        <v>0</v>
      </c>
      <c r="BD993" s="377">
        <f t="shared" si="402"/>
        <v>0</v>
      </c>
      <c r="BE993" s="377">
        <f t="shared" si="403"/>
        <v>0</v>
      </c>
      <c r="BF993" s="377">
        <f t="shared" si="404"/>
        <v>0</v>
      </c>
      <c r="BG993" s="328"/>
    </row>
    <row r="994" spans="2:59">
      <c r="B994" s="332">
        <v>979</v>
      </c>
      <c r="C994" s="350">
        <v>160134352.7387625</v>
      </c>
      <c r="D994" s="350">
        <v>161447774.77564573</v>
      </c>
      <c r="E994" s="350">
        <v>162706162.51106483</v>
      </c>
      <c r="F994" s="350">
        <v>163967540.52142715</v>
      </c>
      <c r="G994" s="350">
        <v>165235827.03088522</v>
      </c>
      <c r="H994" s="348">
        <v>813491657.57778549</v>
      </c>
      <c r="I994" s="369"/>
      <c r="J994" s="350">
        <v>197854394.97611097</v>
      </c>
      <c r="K994" s="350">
        <v>237605850.21391174</v>
      </c>
      <c r="L994" s="350">
        <v>277883687.25869638</v>
      </c>
      <c r="M994" s="350">
        <v>318761717.13285553</v>
      </c>
      <c r="N994" s="350">
        <v>360250601.04423767</v>
      </c>
      <c r="O994" s="348">
        <v>1392356250.6258123</v>
      </c>
      <c r="P994" s="369"/>
      <c r="Q994" s="350">
        <f t="shared" si="405"/>
        <v>37720042.237348467</v>
      </c>
      <c r="R994" s="350">
        <f t="shared" si="406"/>
        <v>76158075.438266009</v>
      </c>
      <c r="S994" s="350">
        <f t="shared" si="407"/>
        <v>115177524.74763155</v>
      </c>
      <c r="T994" s="350">
        <f t="shared" si="408"/>
        <v>154794176.61142838</v>
      </c>
      <c r="U994" s="350">
        <f t="shared" si="409"/>
        <v>195014774.01335245</v>
      </c>
      <c r="V994" s="350">
        <f t="shared" si="410"/>
        <v>578864593.0480268</v>
      </c>
      <c r="W994" s="365"/>
      <c r="X994" s="377">
        <f t="shared" si="388"/>
        <v>0</v>
      </c>
      <c r="Y994" s="377">
        <f t="shared" si="389"/>
        <v>0</v>
      </c>
      <c r="Z994" s="377">
        <f t="shared" si="390"/>
        <v>0</v>
      </c>
      <c r="AA994" s="377">
        <f t="shared" si="391"/>
        <v>0</v>
      </c>
      <c r="AB994" s="377">
        <f t="shared" si="392"/>
        <v>0</v>
      </c>
      <c r="AC994" s="377">
        <f t="shared" si="393"/>
        <v>0</v>
      </c>
      <c r="AD994" s="376"/>
      <c r="AE994" s="332">
        <v>979</v>
      </c>
      <c r="AF994" s="350">
        <v>120437949.02136134</v>
      </c>
      <c r="AG994" s="350">
        <v>121425781.13618384</v>
      </c>
      <c r="AH994" s="350">
        <v>122372221.64276746</v>
      </c>
      <c r="AI994" s="350">
        <v>123320911.15198553</v>
      </c>
      <c r="AJ994" s="350">
        <v>124274796.58230153</v>
      </c>
      <c r="AK994" s="348">
        <v>611831659.53459966</v>
      </c>
      <c r="AL994" s="369"/>
      <c r="AM994" s="350">
        <v>149290389.28200901</v>
      </c>
      <c r="AN994" s="350">
        <v>179707644.0713791</v>
      </c>
      <c r="AO994" s="350">
        <v>210528671.40774038</v>
      </c>
      <c r="AP994" s="350">
        <v>241809188.6573239</v>
      </c>
      <c r="AQ994" s="350">
        <v>273557304.75573522</v>
      </c>
      <c r="AR994" s="348">
        <v>1054893198.1741874</v>
      </c>
      <c r="AS994" s="369"/>
      <c r="AT994" s="350">
        <f t="shared" si="411"/>
        <v>28852440.260647669</v>
      </c>
      <c r="AU994" s="350">
        <f t="shared" si="394"/>
        <v>58281862.935195252</v>
      </c>
      <c r="AV994" s="350">
        <f t="shared" si="395"/>
        <v>88156449.764972925</v>
      </c>
      <c r="AW994" s="350">
        <f t="shared" si="396"/>
        <v>118488277.50533837</v>
      </c>
      <c r="AX994" s="350">
        <f t="shared" si="397"/>
        <v>149282508.17343369</v>
      </c>
      <c r="AY994" s="350">
        <f t="shared" si="398"/>
        <v>443061538.63958776</v>
      </c>
      <c r="AZ994" s="365"/>
      <c r="BA994" s="377">
        <f t="shared" si="399"/>
        <v>0</v>
      </c>
      <c r="BB994" s="377">
        <f t="shared" si="400"/>
        <v>0</v>
      </c>
      <c r="BC994" s="377">
        <f t="shared" si="401"/>
        <v>0</v>
      </c>
      <c r="BD994" s="377">
        <f t="shared" si="402"/>
        <v>0</v>
      </c>
      <c r="BE994" s="377">
        <f t="shared" si="403"/>
        <v>0</v>
      </c>
      <c r="BF994" s="377">
        <f t="shared" si="404"/>
        <v>0</v>
      </c>
      <c r="BG994" s="328"/>
    </row>
    <row r="995" spans="2:59">
      <c r="B995" s="332">
        <v>980</v>
      </c>
      <c r="C995" s="350">
        <v>120297928.60352756</v>
      </c>
      <c r="D995" s="350">
        <v>121284612.27081686</v>
      </c>
      <c r="E995" s="350">
        <v>122229952.45149599</v>
      </c>
      <c r="F995" s="350">
        <v>123177539.02013299</v>
      </c>
      <c r="G995" s="350">
        <v>124130315.46912208</v>
      </c>
      <c r="H995" s="348">
        <v>611120347.81509542</v>
      </c>
      <c r="I995" s="369"/>
      <c r="J995" s="350">
        <v>152690872.27714181</v>
      </c>
      <c r="K995" s="350">
        <v>186726324.61764079</v>
      </c>
      <c r="L995" s="350">
        <v>221220349.3802866</v>
      </c>
      <c r="M995" s="350">
        <v>256230095.58900082</v>
      </c>
      <c r="N995" s="350">
        <v>291764303.4154489</v>
      </c>
      <c r="O995" s="348">
        <v>1108631945.2795191</v>
      </c>
      <c r="P995" s="369"/>
      <c r="Q995" s="350">
        <f t="shared" si="405"/>
        <v>32392943.673614249</v>
      </c>
      <c r="R995" s="350">
        <f t="shared" si="406"/>
        <v>65441712.346823931</v>
      </c>
      <c r="S995" s="350">
        <f t="shared" si="407"/>
        <v>98990396.928790614</v>
      </c>
      <c r="T995" s="350">
        <f t="shared" si="408"/>
        <v>133052556.56886783</v>
      </c>
      <c r="U995" s="350">
        <f t="shared" si="409"/>
        <v>167633987.94632682</v>
      </c>
      <c r="V995" s="350">
        <f t="shared" si="410"/>
        <v>497511597.46442366</v>
      </c>
      <c r="W995" s="365"/>
      <c r="X995" s="377">
        <f t="shared" si="388"/>
        <v>0</v>
      </c>
      <c r="Y995" s="377">
        <f t="shared" si="389"/>
        <v>0</v>
      </c>
      <c r="Z995" s="377">
        <f t="shared" si="390"/>
        <v>0</v>
      </c>
      <c r="AA995" s="377">
        <f t="shared" si="391"/>
        <v>0</v>
      </c>
      <c r="AB995" s="377">
        <f t="shared" si="392"/>
        <v>0</v>
      </c>
      <c r="AC995" s="377">
        <f t="shared" si="393"/>
        <v>0</v>
      </c>
      <c r="AD995" s="376"/>
      <c r="AE995" s="332">
        <v>980</v>
      </c>
      <c r="AF995" s="350">
        <v>106628782.26275028</v>
      </c>
      <c r="AG995" s="350">
        <v>107503351.58528902</v>
      </c>
      <c r="AH995" s="350">
        <v>108341275.17599422</v>
      </c>
      <c r="AI995" s="350">
        <v>109181189.90333176</v>
      </c>
      <c r="AJ995" s="350">
        <v>110025704.7981739</v>
      </c>
      <c r="AK995" s="348">
        <v>541680303.72553921</v>
      </c>
      <c r="AL995" s="369"/>
      <c r="AM995" s="350">
        <v>135323875.37739837</v>
      </c>
      <c r="AN995" s="350">
        <v>165463683.54668009</v>
      </c>
      <c r="AO995" s="350">
        <v>196009524.90682736</v>
      </c>
      <c r="AP995" s="350">
        <v>227012047.01588652</v>
      </c>
      <c r="AQ995" s="350">
        <v>258478992.20748192</v>
      </c>
      <c r="AR995" s="348">
        <v>982288123.05427432</v>
      </c>
      <c r="AS995" s="369"/>
      <c r="AT995" s="350">
        <f t="shared" si="411"/>
        <v>28695093.114648089</v>
      </c>
      <c r="AU995" s="350">
        <f t="shared" si="394"/>
        <v>57960331.961391076</v>
      </c>
      <c r="AV995" s="350">
        <f t="shared" si="395"/>
        <v>87668249.730833143</v>
      </c>
      <c r="AW995" s="350">
        <f t="shared" si="396"/>
        <v>117830857.11255476</v>
      </c>
      <c r="AX995" s="350">
        <f t="shared" si="397"/>
        <v>148453287.40930802</v>
      </c>
      <c r="AY995" s="350">
        <f t="shared" si="398"/>
        <v>440607819.32873511</v>
      </c>
      <c r="AZ995" s="365"/>
      <c r="BA995" s="377">
        <f t="shared" si="399"/>
        <v>0</v>
      </c>
      <c r="BB995" s="377">
        <f t="shared" si="400"/>
        <v>0</v>
      </c>
      <c r="BC995" s="377">
        <f t="shared" si="401"/>
        <v>0</v>
      </c>
      <c r="BD995" s="377">
        <f t="shared" si="402"/>
        <v>0</v>
      </c>
      <c r="BE995" s="377">
        <f t="shared" si="403"/>
        <v>0</v>
      </c>
      <c r="BF995" s="377">
        <f t="shared" si="404"/>
        <v>0</v>
      </c>
      <c r="BG995" s="328"/>
    </row>
    <row r="996" spans="2:59">
      <c r="B996" s="332">
        <v>981</v>
      </c>
      <c r="C996" s="350">
        <v>136264035.52846986</v>
      </c>
      <c r="D996" s="350">
        <v>137381673.2123071</v>
      </c>
      <c r="E996" s="350">
        <v>138452480.24499589</v>
      </c>
      <c r="F996" s="350">
        <v>139525831.80934918</v>
      </c>
      <c r="G996" s="350">
        <v>140605062.06212956</v>
      </c>
      <c r="H996" s="348">
        <v>692229082.85725164</v>
      </c>
      <c r="I996" s="369"/>
      <c r="J996" s="350">
        <v>170869466.84322527</v>
      </c>
      <c r="K996" s="350">
        <v>207310300.51396701</v>
      </c>
      <c r="L996" s="350">
        <v>244238631.74678025</v>
      </c>
      <c r="M996" s="350">
        <v>281718321.93719435</v>
      </c>
      <c r="N996" s="350">
        <v>319758900.4604848</v>
      </c>
      <c r="O996" s="348">
        <v>1223895621.5016518</v>
      </c>
      <c r="P996" s="369"/>
      <c r="Q996" s="350">
        <f t="shared" si="405"/>
        <v>34605431.31475541</v>
      </c>
      <c r="R996" s="350">
        <f t="shared" si="406"/>
        <v>69928627.301659912</v>
      </c>
      <c r="S996" s="350">
        <f t="shared" si="407"/>
        <v>105786151.50178435</v>
      </c>
      <c r="T996" s="350">
        <f t="shared" si="408"/>
        <v>142192490.12784517</v>
      </c>
      <c r="U996" s="350">
        <f t="shared" si="409"/>
        <v>179153838.39835525</v>
      </c>
      <c r="V996" s="350">
        <f t="shared" si="410"/>
        <v>531666538.64440012</v>
      </c>
      <c r="W996" s="365"/>
      <c r="X996" s="377">
        <f t="shared" si="388"/>
        <v>0</v>
      </c>
      <c r="Y996" s="377">
        <f t="shared" si="389"/>
        <v>0</v>
      </c>
      <c r="Z996" s="377">
        <f t="shared" si="390"/>
        <v>0</v>
      </c>
      <c r="AA996" s="377">
        <f t="shared" si="391"/>
        <v>0</v>
      </c>
      <c r="AB996" s="377">
        <f t="shared" si="392"/>
        <v>0</v>
      </c>
      <c r="AC996" s="377">
        <f t="shared" si="393"/>
        <v>0</v>
      </c>
      <c r="AD996" s="376"/>
      <c r="AE996" s="332">
        <v>981</v>
      </c>
      <c r="AF996" s="350">
        <v>141424057.14901832</v>
      </c>
      <c r="AG996" s="350">
        <v>142584017.33262724</v>
      </c>
      <c r="AH996" s="350">
        <v>143695373.49053961</v>
      </c>
      <c r="AI996" s="350">
        <v>144809370.53597692</v>
      </c>
      <c r="AJ996" s="350">
        <v>145929468.88294148</v>
      </c>
      <c r="AK996" s="348">
        <v>718442287.39110363</v>
      </c>
      <c r="AL996" s="369"/>
      <c r="AM996" s="350">
        <v>170070427.71401894</v>
      </c>
      <c r="AN996" s="350">
        <v>200464334.87023997</v>
      </c>
      <c r="AO996" s="350">
        <v>231251852.09539673</v>
      </c>
      <c r="AP996" s="350">
        <v>262496215.62118372</v>
      </c>
      <c r="AQ996" s="350">
        <v>294206013.25673753</v>
      </c>
      <c r="AR996" s="348">
        <v>1158488843.5575769</v>
      </c>
      <c r="AS996" s="369"/>
      <c r="AT996" s="350">
        <f t="shared" si="411"/>
        <v>28646370.565000623</v>
      </c>
      <c r="AU996" s="350">
        <f t="shared" si="394"/>
        <v>57880317.537612736</v>
      </c>
      <c r="AV996" s="350">
        <f t="shared" si="395"/>
        <v>87556478.604857117</v>
      </c>
      <c r="AW996" s="350">
        <f t="shared" si="396"/>
        <v>117686845.08520681</v>
      </c>
      <c r="AX996" s="350">
        <f t="shared" si="397"/>
        <v>148276544.37379605</v>
      </c>
      <c r="AY996" s="350">
        <f t="shared" si="398"/>
        <v>440046556.16647327</v>
      </c>
      <c r="AZ996" s="365"/>
      <c r="BA996" s="377">
        <f t="shared" si="399"/>
        <v>0</v>
      </c>
      <c r="BB996" s="377">
        <f t="shared" si="400"/>
        <v>0</v>
      </c>
      <c r="BC996" s="377">
        <f t="shared" si="401"/>
        <v>0</v>
      </c>
      <c r="BD996" s="377">
        <f t="shared" si="402"/>
        <v>0</v>
      </c>
      <c r="BE996" s="377">
        <f t="shared" si="403"/>
        <v>0</v>
      </c>
      <c r="BF996" s="377">
        <f t="shared" si="404"/>
        <v>0</v>
      </c>
      <c r="BG996" s="328"/>
    </row>
    <row r="997" spans="2:59">
      <c r="B997" s="332">
        <v>982</v>
      </c>
      <c r="C997" s="350">
        <v>130180113.76036316</v>
      </c>
      <c r="D997" s="350">
        <v>131247851.11498159</v>
      </c>
      <c r="E997" s="350">
        <v>132270848.71512021</v>
      </c>
      <c r="F997" s="350">
        <v>133296277.23857814</v>
      </c>
      <c r="G997" s="350">
        <v>134327321.97856176</v>
      </c>
      <c r="H997" s="348">
        <v>661322412.80760479</v>
      </c>
      <c r="I997" s="369"/>
      <c r="J997" s="350">
        <v>168153028.34626481</v>
      </c>
      <c r="K997" s="350">
        <v>207932760.57472736</v>
      </c>
      <c r="L997" s="350">
        <v>248253320.64999038</v>
      </c>
      <c r="M997" s="350">
        <v>289177772.43136424</v>
      </c>
      <c r="N997" s="350">
        <v>330716091.88460815</v>
      </c>
      <c r="O997" s="348">
        <v>1244232973.8869548</v>
      </c>
      <c r="P997" s="369"/>
      <c r="Q997" s="350">
        <f t="shared" si="405"/>
        <v>37972914.585901648</v>
      </c>
      <c r="R997" s="350">
        <f t="shared" si="406"/>
        <v>76684909.459745765</v>
      </c>
      <c r="S997" s="350">
        <f t="shared" si="407"/>
        <v>115982471.93487017</v>
      </c>
      <c r="T997" s="350">
        <f t="shared" si="408"/>
        <v>155881495.1927861</v>
      </c>
      <c r="U997" s="350">
        <f t="shared" si="409"/>
        <v>196388769.90604639</v>
      </c>
      <c r="V997" s="350">
        <f t="shared" si="410"/>
        <v>582910561.07934999</v>
      </c>
      <c r="W997" s="365"/>
      <c r="X997" s="377">
        <f t="shared" si="388"/>
        <v>0</v>
      </c>
      <c r="Y997" s="377">
        <f t="shared" si="389"/>
        <v>0</v>
      </c>
      <c r="Z997" s="377">
        <f t="shared" si="390"/>
        <v>0</v>
      </c>
      <c r="AA997" s="377">
        <f t="shared" si="391"/>
        <v>0</v>
      </c>
      <c r="AB997" s="377">
        <f t="shared" si="392"/>
        <v>0</v>
      </c>
      <c r="AC997" s="377">
        <f t="shared" si="393"/>
        <v>0</v>
      </c>
      <c r="AD997" s="376"/>
      <c r="AE997" s="332">
        <v>982</v>
      </c>
      <c r="AF997" s="350">
        <v>132348296.99655131</v>
      </c>
      <c r="AG997" s="350">
        <v>133433817.79109821</v>
      </c>
      <c r="AH997" s="350">
        <v>134473853.67906132</v>
      </c>
      <c r="AI997" s="350">
        <v>135516360.97799617</v>
      </c>
      <c r="AJ997" s="350">
        <v>136564578.03298566</v>
      </c>
      <c r="AK997" s="348">
        <v>672336907.4776926</v>
      </c>
      <c r="AL997" s="369"/>
      <c r="AM997" s="350">
        <v>167756733.4515042</v>
      </c>
      <c r="AN997" s="350">
        <v>204956232.84922743</v>
      </c>
      <c r="AO997" s="350">
        <v>242656524.25271714</v>
      </c>
      <c r="AP997" s="350">
        <v>280920384.73439527</v>
      </c>
      <c r="AQ997" s="350">
        <v>319757387.20742339</v>
      </c>
      <c r="AR997" s="348">
        <v>1216047262.4952674</v>
      </c>
      <c r="AS997" s="369"/>
      <c r="AT997" s="350">
        <f t="shared" si="411"/>
        <v>35408436.454952896</v>
      </c>
      <c r="AU997" s="350">
        <f t="shared" si="394"/>
        <v>71522415.058129221</v>
      </c>
      <c r="AV997" s="350">
        <f t="shared" si="395"/>
        <v>108182670.57365581</v>
      </c>
      <c r="AW997" s="350">
        <f t="shared" si="396"/>
        <v>145404023.7563991</v>
      </c>
      <c r="AX997" s="350">
        <f t="shared" si="397"/>
        <v>183192809.17443773</v>
      </c>
      <c r="AY997" s="350">
        <f t="shared" si="398"/>
        <v>543710355.01757479</v>
      </c>
      <c r="AZ997" s="365"/>
      <c r="BA997" s="377">
        <f t="shared" si="399"/>
        <v>0</v>
      </c>
      <c r="BB997" s="377">
        <f t="shared" si="400"/>
        <v>0</v>
      </c>
      <c r="BC997" s="377">
        <f t="shared" si="401"/>
        <v>0</v>
      </c>
      <c r="BD997" s="377">
        <f t="shared" si="402"/>
        <v>0</v>
      </c>
      <c r="BE997" s="377">
        <f t="shared" si="403"/>
        <v>0</v>
      </c>
      <c r="BF997" s="377">
        <f t="shared" si="404"/>
        <v>0</v>
      </c>
      <c r="BG997" s="328"/>
    </row>
    <row r="998" spans="2:59">
      <c r="B998" s="332">
        <v>983</v>
      </c>
      <c r="C998" s="350">
        <v>127285890.47240071</v>
      </c>
      <c r="D998" s="350">
        <v>128329889.40624277</v>
      </c>
      <c r="E998" s="350">
        <v>129330143.26010302</v>
      </c>
      <c r="F998" s="350">
        <v>130332773.99189365</v>
      </c>
      <c r="G998" s="350">
        <v>131340896.07793888</v>
      </c>
      <c r="H998" s="348">
        <v>646619593.20857906</v>
      </c>
      <c r="I998" s="369"/>
      <c r="J998" s="350">
        <v>157446623.49500686</v>
      </c>
      <c r="K998" s="350">
        <v>189274941.22124451</v>
      </c>
      <c r="L998" s="350">
        <v>221525182.3079918</v>
      </c>
      <c r="M998" s="350">
        <v>254256094.21591547</v>
      </c>
      <c r="N998" s="350">
        <v>287476190.62644827</v>
      </c>
      <c r="O998" s="348">
        <v>1109979031.8666067</v>
      </c>
      <c r="P998" s="369"/>
      <c r="Q998" s="350">
        <f t="shared" si="405"/>
        <v>30160733.022606149</v>
      </c>
      <c r="R998" s="350">
        <f t="shared" si="406"/>
        <v>60945051.815001741</v>
      </c>
      <c r="S998" s="350">
        <f t="shared" si="407"/>
        <v>92195039.047888786</v>
      </c>
      <c r="T998" s="350">
        <f t="shared" si="408"/>
        <v>123923320.22402182</v>
      </c>
      <c r="U998" s="350">
        <f t="shared" si="409"/>
        <v>156135294.54850939</v>
      </c>
      <c r="V998" s="350">
        <f t="shared" si="410"/>
        <v>463359438.65802765</v>
      </c>
      <c r="W998" s="365"/>
      <c r="X998" s="377">
        <f t="shared" si="388"/>
        <v>0</v>
      </c>
      <c r="Y998" s="377">
        <f t="shared" si="389"/>
        <v>0</v>
      </c>
      <c r="Z998" s="377">
        <f t="shared" si="390"/>
        <v>0</v>
      </c>
      <c r="AA998" s="377">
        <f t="shared" si="391"/>
        <v>0</v>
      </c>
      <c r="AB998" s="377">
        <f t="shared" si="392"/>
        <v>0</v>
      </c>
      <c r="AC998" s="377">
        <f t="shared" si="393"/>
        <v>0</v>
      </c>
      <c r="AD998" s="376"/>
      <c r="AE998" s="332">
        <v>983</v>
      </c>
      <c r="AF998" s="350">
        <v>159229283.99112943</v>
      </c>
      <c r="AG998" s="350">
        <v>160535282.65371662</v>
      </c>
      <c r="AH998" s="350">
        <v>161786558.06506369</v>
      </c>
      <c r="AI998" s="350">
        <v>163040806.85051835</v>
      </c>
      <c r="AJ998" s="350">
        <v>164301925.08868968</v>
      </c>
      <c r="AK998" s="348">
        <v>808893856.64911783</v>
      </c>
      <c r="AL998" s="369"/>
      <c r="AM998" s="350">
        <v>203676975.81720224</v>
      </c>
      <c r="AN998" s="350">
        <v>250329815.60073307</v>
      </c>
      <c r="AO998" s="350">
        <v>297613875.87521839</v>
      </c>
      <c r="AP998" s="350">
        <v>345605458.29229438</v>
      </c>
      <c r="AQ998" s="350">
        <v>394316412.68066096</v>
      </c>
      <c r="AR998" s="348">
        <v>1491542538.2661092</v>
      </c>
      <c r="AS998" s="369"/>
      <c r="AT998" s="350">
        <f t="shared" si="411"/>
        <v>44447691.826072812</v>
      </c>
      <c r="AU998" s="350">
        <f t="shared" si="394"/>
        <v>89794532.947016448</v>
      </c>
      <c r="AV998" s="350">
        <f t="shared" si="395"/>
        <v>135827317.81015471</v>
      </c>
      <c r="AW998" s="350">
        <f t="shared" si="396"/>
        <v>182564651.44177604</v>
      </c>
      <c r="AX998" s="350">
        <f t="shared" si="397"/>
        <v>230014487.59197128</v>
      </c>
      <c r="AY998" s="350">
        <f t="shared" si="398"/>
        <v>682648681.6169914</v>
      </c>
      <c r="AZ998" s="365"/>
      <c r="BA998" s="377">
        <f t="shared" si="399"/>
        <v>0</v>
      </c>
      <c r="BB998" s="377">
        <f t="shared" si="400"/>
        <v>0</v>
      </c>
      <c r="BC998" s="377">
        <f t="shared" si="401"/>
        <v>0</v>
      </c>
      <c r="BD998" s="377">
        <f t="shared" si="402"/>
        <v>0</v>
      </c>
      <c r="BE998" s="377">
        <f t="shared" si="403"/>
        <v>0</v>
      </c>
      <c r="BF998" s="377">
        <f t="shared" si="404"/>
        <v>0</v>
      </c>
      <c r="BG998" s="328"/>
    </row>
    <row r="999" spans="2:59">
      <c r="B999" s="332">
        <v>984</v>
      </c>
      <c r="C999" s="350">
        <v>120707044.23531827</v>
      </c>
      <c r="D999" s="350">
        <v>121697083.4692129</v>
      </c>
      <c r="E999" s="350">
        <v>122645638.61335626</v>
      </c>
      <c r="F999" s="350">
        <v>123596447.78509378</v>
      </c>
      <c r="G999" s="350">
        <v>124552464.48720618</v>
      </c>
      <c r="H999" s="348">
        <v>613198678.59018743</v>
      </c>
      <c r="I999" s="369"/>
      <c r="J999" s="350">
        <v>152498332.75486615</v>
      </c>
      <c r="K999" s="350">
        <v>185892161.87224382</v>
      </c>
      <c r="L999" s="350">
        <v>219734652.07116449</v>
      </c>
      <c r="M999" s="350">
        <v>254082847.04501796</v>
      </c>
      <c r="N999" s="350">
        <v>288945384.55670577</v>
      </c>
      <c r="O999" s="348">
        <v>1101153378.2999983</v>
      </c>
      <c r="P999" s="369"/>
      <c r="Q999" s="350">
        <f t="shared" si="405"/>
        <v>31791288.51954788</v>
      </c>
      <c r="R999" s="350">
        <f t="shared" si="406"/>
        <v>64195078.403030917</v>
      </c>
      <c r="S999" s="350">
        <f t="shared" si="407"/>
        <v>97089013.457808226</v>
      </c>
      <c r="T999" s="350">
        <f t="shared" si="408"/>
        <v>130486399.25992417</v>
      </c>
      <c r="U999" s="350">
        <f t="shared" si="409"/>
        <v>164392920.06949961</v>
      </c>
      <c r="V999" s="350">
        <f t="shared" si="410"/>
        <v>487954699.70981085</v>
      </c>
      <c r="W999" s="365"/>
      <c r="X999" s="377">
        <f t="shared" si="388"/>
        <v>0</v>
      </c>
      <c r="Y999" s="377">
        <f t="shared" si="389"/>
        <v>0</v>
      </c>
      <c r="Z999" s="377">
        <f t="shared" si="390"/>
        <v>0</v>
      </c>
      <c r="AA999" s="377">
        <f t="shared" si="391"/>
        <v>0</v>
      </c>
      <c r="AB999" s="377">
        <f t="shared" si="392"/>
        <v>0</v>
      </c>
      <c r="AC999" s="377">
        <f t="shared" si="393"/>
        <v>0</v>
      </c>
      <c r="AD999" s="376"/>
      <c r="AE999" s="332">
        <v>984</v>
      </c>
      <c r="AF999" s="350">
        <v>139608048.11776546</v>
      </c>
      <c r="AG999" s="350">
        <v>140753113.39444134</v>
      </c>
      <c r="AH999" s="350">
        <v>141850198.76377359</v>
      </c>
      <c r="AI999" s="350">
        <v>142949891.109317</v>
      </c>
      <c r="AJ999" s="350">
        <v>144055606.41032049</v>
      </c>
      <c r="AK999" s="348">
        <v>709216857.79561782</v>
      </c>
      <c r="AL999" s="369"/>
      <c r="AM999" s="350">
        <v>180125102.47121772</v>
      </c>
      <c r="AN999" s="350">
        <v>222578375.09260532</v>
      </c>
      <c r="AO999" s="350">
        <v>265608507.56805471</v>
      </c>
      <c r="AP999" s="350">
        <v>309283044.92872524</v>
      </c>
      <c r="AQ999" s="350">
        <v>353612649.18337387</v>
      </c>
      <c r="AR999" s="348">
        <v>1331207679.2439768</v>
      </c>
      <c r="AS999" s="369"/>
      <c r="AT999" s="350">
        <f t="shared" si="411"/>
        <v>40517054.353452265</v>
      </c>
      <c r="AU999" s="350">
        <f t="shared" si="394"/>
        <v>81825261.698163986</v>
      </c>
      <c r="AV999" s="350">
        <f t="shared" si="395"/>
        <v>123758308.80428112</v>
      </c>
      <c r="AW999" s="350">
        <f t="shared" si="396"/>
        <v>166333153.81940824</v>
      </c>
      <c r="AX999" s="350">
        <f t="shared" si="397"/>
        <v>209557042.77305338</v>
      </c>
      <c r="AY999" s="350">
        <f t="shared" si="398"/>
        <v>621990821.44835901</v>
      </c>
      <c r="AZ999" s="365"/>
      <c r="BA999" s="377">
        <f t="shared" si="399"/>
        <v>0</v>
      </c>
      <c r="BB999" s="377">
        <f t="shared" si="400"/>
        <v>0</v>
      </c>
      <c r="BC999" s="377">
        <f t="shared" si="401"/>
        <v>0</v>
      </c>
      <c r="BD999" s="377">
        <f t="shared" si="402"/>
        <v>0</v>
      </c>
      <c r="BE999" s="377">
        <f t="shared" si="403"/>
        <v>0</v>
      </c>
      <c r="BF999" s="377">
        <f t="shared" si="404"/>
        <v>0</v>
      </c>
      <c r="BG999" s="328"/>
    </row>
    <row r="1000" spans="2:59">
      <c r="B1000" s="332">
        <v>985</v>
      </c>
      <c r="C1000" s="350">
        <v>148191487.06976268</v>
      </c>
      <c r="D1000" s="350">
        <v>149406953.7167815</v>
      </c>
      <c r="E1000" s="350">
        <v>150571490.53622541</v>
      </c>
      <c r="F1000" s="350">
        <v>151738794.61505508</v>
      </c>
      <c r="G1000" s="350">
        <v>152912491.95514876</v>
      </c>
      <c r="H1000" s="348">
        <v>752821217.89297342</v>
      </c>
      <c r="I1000" s="369"/>
      <c r="J1000" s="350">
        <v>183284374.85318851</v>
      </c>
      <c r="K1000" s="350">
        <v>220290161.3707189</v>
      </c>
      <c r="L1000" s="350">
        <v>257786398.31724405</v>
      </c>
      <c r="M1000" s="350">
        <v>295841471.35549247</v>
      </c>
      <c r="N1000" s="350">
        <v>334465284.32558525</v>
      </c>
      <c r="O1000" s="348">
        <v>1291667690.2222292</v>
      </c>
      <c r="P1000" s="369"/>
      <c r="Q1000" s="350">
        <f t="shared" si="405"/>
        <v>35092887.783425838</v>
      </c>
      <c r="R1000" s="350">
        <f t="shared" si="406"/>
        <v>70883207.653937399</v>
      </c>
      <c r="S1000" s="350">
        <f t="shared" si="407"/>
        <v>107214907.78101864</v>
      </c>
      <c r="T1000" s="350">
        <f t="shared" si="408"/>
        <v>144102676.74043739</v>
      </c>
      <c r="U1000" s="350">
        <f t="shared" si="409"/>
        <v>181552792.37043649</v>
      </c>
      <c r="V1000" s="350">
        <f t="shared" si="410"/>
        <v>538846472.32925582</v>
      </c>
      <c r="W1000" s="365"/>
      <c r="X1000" s="377">
        <f t="shared" si="388"/>
        <v>0</v>
      </c>
      <c r="Y1000" s="377">
        <f t="shared" si="389"/>
        <v>0</v>
      </c>
      <c r="Z1000" s="377">
        <f t="shared" si="390"/>
        <v>0</v>
      </c>
      <c r="AA1000" s="377">
        <f t="shared" si="391"/>
        <v>0</v>
      </c>
      <c r="AB1000" s="377">
        <f t="shared" si="392"/>
        <v>0</v>
      </c>
      <c r="AC1000" s="377">
        <f t="shared" si="393"/>
        <v>0</v>
      </c>
      <c r="AD1000" s="376"/>
      <c r="AE1000" s="332">
        <v>985</v>
      </c>
      <c r="AF1000" s="350">
        <v>126798586.28942019</v>
      </c>
      <c r="AG1000" s="350">
        <v>127838588.35412297</v>
      </c>
      <c r="AH1000" s="350">
        <v>128835012.81349796</v>
      </c>
      <c r="AI1000" s="350">
        <v>129833805.05111006</v>
      </c>
      <c r="AJ1000" s="350">
        <v>130838067.61975187</v>
      </c>
      <c r="AK1000" s="348">
        <v>644144060.12790298</v>
      </c>
      <c r="AL1000" s="369"/>
      <c r="AM1000" s="350">
        <v>160226803.03233293</v>
      </c>
      <c r="AN1000" s="350">
        <v>195363299.96746197</v>
      </c>
      <c r="AO1000" s="350">
        <v>230971979.82222572</v>
      </c>
      <c r="AP1000" s="350">
        <v>267112780.00500467</v>
      </c>
      <c r="AQ1000" s="350">
        <v>303794783.71024877</v>
      </c>
      <c r="AR1000" s="348">
        <v>1157469646.5372741</v>
      </c>
      <c r="AS1000" s="369"/>
      <c r="AT1000" s="350">
        <f t="shared" si="411"/>
        <v>33428216.74291274</v>
      </c>
      <c r="AU1000" s="350">
        <f t="shared" si="394"/>
        <v>67524711.613339007</v>
      </c>
      <c r="AV1000" s="350">
        <f t="shared" si="395"/>
        <v>102136967.00872776</v>
      </c>
      <c r="AW1000" s="350">
        <f t="shared" si="396"/>
        <v>137278974.95389462</v>
      </c>
      <c r="AX1000" s="350">
        <f t="shared" si="397"/>
        <v>172956716.0904969</v>
      </c>
      <c r="AY1000" s="350">
        <f t="shared" si="398"/>
        <v>513325586.40937114</v>
      </c>
      <c r="AZ1000" s="365"/>
      <c r="BA1000" s="377">
        <f t="shared" si="399"/>
        <v>0</v>
      </c>
      <c r="BB1000" s="377">
        <f t="shared" si="400"/>
        <v>0</v>
      </c>
      <c r="BC1000" s="377">
        <f t="shared" si="401"/>
        <v>0</v>
      </c>
      <c r="BD1000" s="377">
        <f t="shared" si="402"/>
        <v>0</v>
      </c>
      <c r="BE1000" s="377">
        <f t="shared" si="403"/>
        <v>0</v>
      </c>
      <c r="BF1000" s="377">
        <f t="shared" si="404"/>
        <v>0</v>
      </c>
      <c r="BG1000" s="328"/>
    </row>
    <row r="1001" spans="2:59">
      <c r="B1001" s="332">
        <v>986</v>
      </c>
      <c r="C1001" s="350">
        <v>98302938.607818544</v>
      </c>
      <c r="D1001" s="350">
        <v>99109219.356762648</v>
      </c>
      <c r="E1001" s="350">
        <v>99881715.764835298</v>
      </c>
      <c r="F1001" s="350">
        <v>100656047.83658123</v>
      </c>
      <c r="G1001" s="350">
        <v>101434620.88317654</v>
      </c>
      <c r="H1001" s="348">
        <v>499384542.44917428</v>
      </c>
      <c r="I1001" s="369"/>
      <c r="J1001" s="350">
        <v>131100367.33047083</v>
      </c>
      <c r="K1001" s="350">
        <v>165357676.82144886</v>
      </c>
      <c r="L1001" s="350">
        <v>200087197.8992027</v>
      </c>
      <c r="M1001" s="350">
        <v>235338278.44970754</v>
      </c>
      <c r="N1001" s="350">
        <v>271119191.25589764</v>
      </c>
      <c r="O1001" s="348">
        <v>1003002711.7567276</v>
      </c>
      <c r="P1001" s="369"/>
      <c r="Q1001" s="350">
        <f t="shared" si="405"/>
        <v>32797428.722652286</v>
      </c>
      <c r="R1001" s="350">
        <f t="shared" si="406"/>
        <v>66248457.464686215</v>
      </c>
      <c r="S1001" s="350">
        <f t="shared" si="407"/>
        <v>100205482.13436741</v>
      </c>
      <c r="T1001" s="350">
        <f t="shared" si="408"/>
        <v>134682230.61312631</v>
      </c>
      <c r="U1001" s="350">
        <f t="shared" si="409"/>
        <v>169684570.37272111</v>
      </c>
      <c r="V1001" s="350">
        <f t="shared" si="410"/>
        <v>503618169.30755329</v>
      </c>
      <c r="W1001" s="365"/>
      <c r="X1001" s="377">
        <f t="shared" si="388"/>
        <v>0</v>
      </c>
      <c r="Y1001" s="377">
        <f t="shared" si="389"/>
        <v>0</v>
      </c>
      <c r="Z1001" s="377">
        <f t="shared" si="390"/>
        <v>0</v>
      </c>
      <c r="AA1001" s="377">
        <f t="shared" si="391"/>
        <v>0</v>
      </c>
      <c r="AB1001" s="377">
        <f t="shared" si="392"/>
        <v>0</v>
      </c>
      <c r="AC1001" s="377">
        <f t="shared" si="393"/>
        <v>0</v>
      </c>
      <c r="AD1001" s="376"/>
      <c r="AE1001" s="332">
        <v>986</v>
      </c>
      <c r="AF1001" s="350">
        <v>135424470.31636006</v>
      </c>
      <c r="AG1001" s="350">
        <v>136535221.88593057</v>
      </c>
      <c r="AH1001" s="350">
        <v>137599431.34259689</v>
      </c>
      <c r="AI1001" s="350">
        <v>138666169.65327471</v>
      </c>
      <c r="AJ1001" s="350">
        <v>139738750.43194711</v>
      </c>
      <c r="AK1001" s="348">
        <v>687964043.63010943</v>
      </c>
      <c r="AL1001" s="369"/>
      <c r="AM1001" s="350">
        <v>174937471.06795335</v>
      </c>
      <c r="AN1001" s="350">
        <v>216317358.19884706</v>
      </c>
      <c r="AO1001" s="350">
        <v>258259818.5528034</v>
      </c>
      <c r="AP1001" s="350">
        <v>300830460.14788723</v>
      </c>
      <c r="AQ1001" s="350">
        <v>344039660.7110343</v>
      </c>
      <c r="AR1001" s="348">
        <v>1294384768.6785254</v>
      </c>
      <c r="AS1001" s="369"/>
      <c r="AT1001" s="350">
        <f t="shared" si="411"/>
        <v>39513000.751593292</v>
      </c>
      <c r="AU1001" s="350">
        <f t="shared" si="394"/>
        <v>79782136.312916487</v>
      </c>
      <c r="AV1001" s="350">
        <f t="shared" si="395"/>
        <v>120660387.21020651</v>
      </c>
      <c r="AW1001" s="350">
        <f t="shared" si="396"/>
        <v>162164290.49461251</v>
      </c>
      <c r="AX1001" s="350">
        <f t="shared" si="397"/>
        <v>204300910.27908719</v>
      </c>
      <c r="AY1001" s="350">
        <f t="shared" si="398"/>
        <v>606420725.04841602</v>
      </c>
      <c r="AZ1001" s="365"/>
      <c r="BA1001" s="377">
        <f t="shared" si="399"/>
        <v>0</v>
      </c>
      <c r="BB1001" s="377">
        <f t="shared" si="400"/>
        <v>0</v>
      </c>
      <c r="BC1001" s="377">
        <f t="shared" si="401"/>
        <v>0</v>
      </c>
      <c r="BD1001" s="377">
        <f t="shared" si="402"/>
        <v>0</v>
      </c>
      <c r="BE1001" s="377">
        <f t="shared" si="403"/>
        <v>0</v>
      </c>
      <c r="BF1001" s="377">
        <f t="shared" si="404"/>
        <v>0</v>
      </c>
      <c r="BG1001" s="328"/>
    </row>
    <row r="1002" spans="2:59">
      <c r="B1002" s="332">
        <v>987</v>
      </c>
      <c r="C1002" s="350">
        <v>157225320.76588243</v>
      </c>
      <c r="D1002" s="350">
        <v>158514882.92114854</v>
      </c>
      <c r="E1002" s="350">
        <v>159750410.53883517</v>
      </c>
      <c r="F1002" s="350">
        <v>160988874.10954568</v>
      </c>
      <c r="G1002" s="350">
        <v>162234120.67820597</v>
      </c>
      <c r="H1002" s="348">
        <v>798713609.01361775</v>
      </c>
      <c r="I1002" s="369"/>
      <c r="J1002" s="350">
        <v>198768254.32519436</v>
      </c>
      <c r="K1002" s="350">
        <v>242421265.10142624</v>
      </c>
      <c r="L1002" s="350">
        <v>286661047.29821509</v>
      </c>
      <c r="M1002" s="350">
        <v>331561959.44722646</v>
      </c>
      <c r="N1002" s="350">
        <v>377135279.51430607</v>
      </c>
      <c r="O1002" s="348">
        <v>1436547805.6863682</v>
      </c>
      <c r="P1002" s="369"/>
      <c r="Q1002" s="350">
        <f t="shared" si="405"/>
        <v>41542933.559311926</v>
      </c>
      <c r="R1002" s="350">
        <f t="shared" si="406"/>
        <v>83906382.180277705</v>
      </c>
      <c r="S1002" s="350">
        <f t="shared" si="407"/>
        <v>126910636.75937992</v>
      </c>
      <c r="T1002" s="350">
        <f t="shared" si="408"/>
        <v>170573085.33768079</v>
      </c>
      <c r="U1002" s="350">
        <f t="shared" si="409"/>
        <v>214901158.8361001</v>
      </c>
      <c r="V1002" s="350">
        <f t="shared" si="410"/>
        <v>637834196.67275047</v>
      </c>
      <c r="W1002" s="365"/>
      <c r="X1002" s="377">
        <f t="shared" si="388"/>
        <v>0</v>
      </c>
      <c r="Y1002" s="377">
        <f t="shared" si="389"/>
        <v>0</v>
      </c>
      <c r="Z1002" s="377">
        <f t="shared" si="390"/>
        <v>0</v>
      </c>
      <c r="AA1002" s="377">
        <f t="shared" si="391"/>
        <v>0</v>
      </c>
      <c r="AB1002" s="377">
        <f t="shared" si="392"/>
        <v>0</v>
      </c>
      <c r="AC1002" s="377">
        <f t="shared" si="393"/>
        <v>0</v>
      </c>
      <c r="AD1002" s="376"/>
      <c r="AE1002" s="332">
        <v>987</v>
      </c>
      <c r="AF1002" s="350">
        <v>144531314.91478512</v>
      </c>
      <c r="AG1002" s="350">
        <v>145716760.82805815</v>
      </c>
      <c r="AH1002" s="350">
        <v>146852534.82634231</v>
      </c>
      <c r="AI1002" s="350">
        <v>147991007.73564795</v>
      </c>
      <c r="AJ1002" s="350">
        <v>149135715.99946249</v>
      </c>
      <c r="AK1002" s="348">
        <v>734227334.30429602</v>
      </c>
      <c r="AL1002" s="369"/>
      <c r="AM1002" s="350">
        <v>180395580.95698902</v>
      </c>
      <c r="AN1002" s="350">
        <v>218152346.92960641</v>
      </c>
      <c r="AO1002" s="350">
        <v>256412632.35991061</v>
      </c>
      <c r="AP1002" s="350">
        <v>295243819.20270455</v>
      </c>
      <c r="AQ1002" s="350">
        <v>334655858.86181289</v>
      </c>
      <c r="AR1002" s="348">
        <v>1284860238.3110235</v>
      </c>
      <c r="AS1002" s="369"/>
      <c r="AT1002" s="350">
        <f t="shared" si="411"/>
        <v>35864266.042203903</v>
      </c>
      <c r="AU1002" s="350">
        <f t="shared" si="394"/>
        <v>72435586.101548254</v>
      </c>
      <c r="AV1002" s="350">
        <f t="shared" si="395"/>
        <v>109560097.53356829</v>
      </c>
      <c r="AW1002" s="350">
        <f t="shared" si="396"/>
        <v>147252811.4670566</v>
      </c>
      <c r="AX1002" s="350">
        <f t="shared" si="397"/>
        <v>185520142.8623504</v>
      </c>
      <c r="AY1002" s="350">
        <f t="shared" si="398"/>
        <v>550632904.00672746</v>
      </c>
      <c r="AZ1002" s="365"/>
      <c r="BA1002" s="377">
        <f t="shared" si="399"/>
        <v>0</v>
      </c>
      <c r="BB1002" s="377">
        <f t="shared" si="400"/>
        <v>0</v>
      </c>
      <c r="BC1002" s="377">
        <f t="shared" si="401"/>
        <v>0</v>
      </c>
      <c r="BD1002" s="377">
        <f t="shared" si="402"/>
        <v>0</v>
      </c>
      <c r="BE1002" s="377">
        <f t="shared" si="403"/>
        <v>0</v>
      </c>
      <c r="BF1002" s="377">
        <f t="shared" si="404"/>
        <v>0</v>
      </c>
      <c r="BG1002" s="328"/>
    </row>
    <row r="1003" spans="2:59">
      <c r="B1003" s="332">
        <v>988</v>
      </c>
      <c r="C1003" s="350">
        <v>129047958.518929</v>
      </c>
      <c r="D1003" s="350">
        <v>130106409.93572184</v>
      </c>
      <c r="E1003" s="350">
        <v>131120510.69239089</v>
      </c>
      <c r="F1003" s="350">
        <v>132137021.2310352</v>
      </c>
      <c r="G1003" s="350">
        <v>133159099.14288509</v>
      </c>
      <c r="H1003" s="348">
        <v>655570999.520962</v>
      </c>
      <c r="I1003" s="369"/>
      <c r="J1003" s="350">
        <v>167776013.19828475</v>
      </c>
      <c r="K1003" s="350">
        <v>208308046.82056966</v>
      </c>
      <c r="L1003" s="350">
        <v>249392813.53402591</v>
      </c>
      <c r="M1003" s="350">
        <v>291093282.56012726</v>
      </c>
      <c r="N1003" s="350">
        <v>333419535.94454163</v>
      </c>
      <c r="O1003" s="348">
        <v>1249989692.0575492</v>
      </c>
      <c r="P1003" s="369"/>
      <c r="Q1003" s="350">
        <f t="shared" si="405"/>
        <v>38728054.679355741</v>
      </c>
      <c r="R1003" s="350">
        <f t="shared" si="406"/>
        <v>78201636.88484782</v>
      </c>
      <c r="S1003" s="350">
        <f t="shared" si="407"/>
        <v>118272302.84163502</v>
      </c>
      <c r="T1003" s="350">
        <f t="shared" si="408"/>
        <v>158956261.32909206</v>
      </c>
      <c r="U1003" s="350">
        <f t="shared" si="409"/>
        <v>200260436.80165654</v>
      </c>
      <c r="V1003" s="350">
        <f t="shared" si="410"/>
        <v>594418692.53658724</v>
      </c>
      <c r="W1003" s="365"/>
      <c r="X1003" s="377">
        <f t="shared" si="388"/>
        <v>0</v>
      </c>
      <c r="Y1003" s="377">
        <f t="shared" si="389"/>
        <v>0</v>
      </c>
      <c r="Z1003" s="377">
        <f t="shared" si="390"/>
        <v>0</v>
      </c>
      <c r="AA1003" s="377">
        <f t="shared" si="391"/>
        <v>0</v>
      </c>
      <c r="AB1003" s="377">
        <f t="shared" si="392"/>
        <v>0</v>
      </c>
      <c r="AC1003" s="377">
        <f t="shared" si="393"/>
        <v>0</v>
      </c>
      <c r="AD1003" s="376"/>
      <c r="AE1003" s="332">
        <v>988</v>
      </c>
      <c r="AF1003" s="350">
        <v>132235759.22069678</v>
      </c>
      <c r="AG1003" s="350">
        <v>133320356.98035291</v>
      </c>
      <c r="AH1003" s="350">
        <v>134359508.50993523</v>
      </c>
      <c r="AI1003" s="350">
        <v>135401129.34901074</v>
      </c>
      <c r="AJ1003" s="350">
        <v>136448455.0890483</v>
      </c>
      <c r="AK1003" s="348">
        <v>671765209.14904392</v>
      </c>
      <c r="AL1003" s="369"/>
      <c r="AM1003" s="350">
        <v>171688190.19471616</v>
      </c>
      <c r="AN1003" s="350">
        <v>213008029.25818083</v>
      </c>
      <c r="AO1003" s="350">
        <v>254891037.61784673</v>
      </c>
      <c r="AP1003" s="350">
        <v>297401644.06128567</v>
      </c>
      <c r="AQ1003" s="350">
        <v>340550141.71301848</v>
      </c>
      <c r="AR1003" s="348">
        <v>1277539042.8450477</v>
      </c>
      <c r="AS1003" s="369"/>
      <c r="AT1003" s="350">
        <f t="shared" si="411"/>
        <v>39452430.974019378</v>
      </c>
      <c r="AU1003" s="350">
        <f t="shared" si="394"/>
        <v>79687672.277827919</v>
      </c>
      <c r="AV1003" s="350">
        <f t="shared" si="395"/>
        <v>120531529.1079115</v>
      </c>
      <c r="AW1003" s="350">
        <f t="shared" si="396"/>
        <v>162000514.71227494</v>
      </c>
      <c r="AX1003" s="350">
        <f t="shared" si="397"/>
        <v>204101686.62397018</v>
      </c>
      <c r="AY1003" s="350">
        <f t="shared" si="398"/>
        <v>605773833.69600379</v>
      </c>
      <c r="AZ1003" s="365"/>
      <c r="BA1003" s="377">
        <f t="shared" si="399"/>
        <v>0</v>
      </c>
      <c r="BB1003" s="377">
        <f t="shared" si="400"/>
        <v>0</v>
      </c>
      <c r="BC1003" s="377">
        <f t="shared" si="401"/>
        <v>0</v>
      </c>
      <c r="BD1003" s="377">
        <f t="shared" si="402"/>
        <v>0</v>
      </c>
      <c r="BE1003" s="377">
        <f t="shared" si="403"/>
        <v>0</v>
      </c>
      <c r="BF1003" s="377">
        <f t="shared" si="404"/>
        <v>0</v>
      </c>
      <c r="BG1003" s="328"/>
    </row>
    <row r="1004" spans="2:59">
      <c r="B1004" s="332">
        <v>989</v>
      </c>
      <c r="C1004" s="350">
        <v>108578508.36524951</v>
      </c>
      <c r="D1004" s="350">
        <v>109469069.34220287</v>
      </c>
      <c r="E1004" s="350">
        <v>110322314.51364854</v>
      </c>
      <c r="F1004" s="350">
        <v>111177587.23001131</v>
      </c>
      <c r="G1004" s="350">
        <v>112037544.22875337</v>
      </c>
      <c r="H1004" s="348">
        <v>551585023.6798656</v>
      </c>
      <c r="I1004" s="369"/>
      <c r="J1004" s="350">
        <v>132651765.40996619</v>
      </c>
      <c r="K1004" s="350">
        <v>158104970.27304518</v>
      </c>
      <c r="L1004" s="350">
        <v>183892409.84537101</v>
      </c>
      <c r="M1004" s="350">
        <v>210063504.25500321</v>
      </c>
      <c r="N1004" s="350">
        <v>236625218.42603552</v>
      </c>
      <c r="O1004" s="348">
        <v>921337868.20942104</v>
      </c>
      <c r="P1004" s="369"/>
      <c r="Q1004" s="350">
        <f t="shared" si="405"/>
        <v>24073257.044716671</v>
      </c>
      <c r="R1004" s="350">
        <f t="shared" si="406"/>
        <v>48635900.93084231</v>
      </c>
      <c r="S1004" s="350">
        <f t="shared" si="407"/>
        <v>73570095.331722468</v>
      </c>
      <c r="T1004" s="350">
        <f t="shared" si="408"/>
        <v>98885917.0249919</v>
      </c>
      <c r="U1004" s="350">
        <f t="shared" si="409"/>
        <v>124587674.19728215</v>
      </c>
      <c r="V1004" s="350">
        <f t="shared" si="410"/>
        <v>369752844.52955544</v>
      </c>
      <c r="W1004" s="365"/>
      <c r="X1004" s="377">
        <f t="shared" si="388"/>
        <v>0</v>
      </c>
      <c r="Y1004" s="377">
        <f t="shared" si="389"/>
        <v>0</v>
      </c>
      <c r="Z1004" s="377">
        <f t="shared" si="390"/>
        <v>0</v>
      </c>
      <c r="AA1004" s="377">
        <f t="shared" si="391"/>
        <v>0</v>
      </c>
      <c r="AB1004" s="377">
        <f t="shared" si="392"/>
        <v>0</v>
      </c>
      <c r="AC1004" s="377">
        <f t="shared" si="393"/>
        <v>0</v>
      </c>
      <c r="AD1004" s="376"/>
      <c r="AE1004" s="332">
        <v>989</v>
      </c>
      <c r="AF1004" s="350">
        <v>118591922.37326609</v>
      </c>
      <c r="AG1004" s="350">
        <v>119564613.37664802</v>
      </c>
      <c r="AH1004" s="350">
        <v>120496547.20647249</v>
      </c>
      <c r="AI1004" s="350">
        <v>121430695.56708235</v>
      </c>
      <c r="AJ1004" s="350">
        <v>122369960.20770624</v>
      </c>
      <c r="AK1004" s="348">
        <v>602453738.73117518</v>
      </c>
      <c r="AL1004" s="369"/>
      <c r="AM1004" s="350">
        <v>152325067.14987099</v>
      </c>
      <c r="AN1004" s="350">
        <v>187701775.87121499</v>
      </c>
      <c r="AO1004" s="350">
        <v>223558138.06882161</v>
      </c>
      <c r="AP1004" s="350">
        <v>259951244.91081876</v>
      </c>
      <c r="AQ1004" s="350">
        <v>296890032.80834055</v>
      </c>
      <c r="AR1004" s="348">
        <v>1120426258.809067</v>
      </c>
      <c r="AS1004" s="369"/>
      <c r="AT1004" s="350">
        <f t="shared" si="411"/>
        <v>33733144.776604906</v>
      </c>
      <c r="AU1004" s="350">
        <f t="shared" si="394"/>
        <v>68137162.494566962</v>
      </c>
      <c r="AV1004" s="350">
        <f t="shared" si="395"/>
        <v>103061590.86234912</v>
      </c>
      <c r="AW1004" s="350">
        <f t="shared" si="396"/>
        <v>138520549.34373641</v>
      </c>
      <c r="AX1004" s="350">
        <f t="shared" si="397"/>
        <v>174520072.60063431</v>
      </c>
      <c r="AY1004" s="350">
        <f t="shared" si="398"/>
        <v>517972520.07789183</v>
      </c>
      <c r="AZ1004" s="365"/>
      <c r="BA1004" s="377">
        <f t="shared" si="399"/>
        <v>0</v>
      </c>
      <c r="BB1004" s="377">
        <f t="shared" si="400"/>
        <v>0</v>
      </c>
      <c r="BC1004" s="377">
        <f t="shared" si="401"/>
        <v>0</v>
      </c>
      <c r="BD1004" s="377">
        <f t="shared" si="402"/>
        <v>0</v>
      </c>
      <c r="BE1004" s="377">
        <f t="shared" si="403"/>
        <v>0</v>
      </c>
      <c r="BF1004" s="377">
        <f t="shared" si="404"/>
        <v>0</v>
      </c>
      <c r="BG1004" s="328"/>
    </row>
    <row r="1005" spans="2:59">
      <c r="B1005" s="332">
        <v>990</v>
      </c>
      <c r="C1005" s="350">
        <v>115067234.87020788</v>
      </c>
      <c r="D1005" s="350">
        <v>116011016.38502312</v>
      </c>
      <c r="E1005" s="350">
        <v>116915252.07607108</v>
      </c>
      <c r="F1005" s="350">
        <v>117821636.479518</v>
      </c>
      <c r="G1005" s="350">
        <v>118732985.10128817</v>
      </c>
      <c r="H1005" s="348">
        <v>584548124.91210818</v>
      </c>
      <c r="I1005" s="369"/>
      <c r="J1005" s="350">
        <v>146336864.42165273</v>
      </c>
      <c r="K1005" s="350">
        <v>179166988.10673767</v>
      </c>
      <c r="L1005" s="350">
        <v>212439890.73606136</v>
      </c>
      <c r="M1005" s="350">
        <v>246210354.88488078</v>
      </c>
      <c r="N1005" s="350">
        <v>280486789.22391915</v>
      </c>
      <c r="O1005" s="348">
        <v>1064640887.3732517</v>
      </c>
      <c r="P1005" s="369"/>
      <c r="Q1005" s="350">
        <f t="shared" si="405"/>
        <v>31269629.551444858</v>
      </c>
      <c r="R1005" s="350">
        <f t="shared" si="406"/>
        <v>63155971.721714556</v>
      </c>
      <c r="S1005" s="350">
        <f t="shared" si="407"/>
        <v>95524638.659990281</v>
      </c>
      <c r="T1005" s="350">
        <f t="shared" si="408"/>
        <v>128388718.40536278</v>
      </c>
      <c r="U1005" s="350">
        <f t="shared" si="409"/>
        <v>161753804.12263098</v>
      </c>
      <c r="V1005" s="350">
        <f t="shared" si="410"/>
        <v>480092762.46114349</v>
      </c>
      <c r="W1005" s="365"/>
      <c r="X1005" s="377">
        <f t="shared" si="388"/>
        <v>0</v>
      </c>
      <c r="Y1005" s="377">
        <f t="shared" si="389"/>
        <v>0</v>
      </c>
      <c r="Z1005" s="377">
        <f t="shared" si="390"/>
        <v>0</v>
      </c>
      <c r="AA1005" s="377">
        <f t="shared" si="391"/>
        <v>0</v>
      </c>
      <c r="AB1005" s="377">
        <f t="shared" si="392"/>
        <v>0</v>
      </c>
      <c r="AC1005" s="377">
        <f t="shared" si="393"/>
        <v>0</v>
      </c>
      <c r="AD1005" s="376"/>
      <c r="AE1005" s="332">
        <v>990</v>
      </c>
      <c r="AF1005" s="350">
        <v>111013193.14522132</v>
      </c>
      <c r="AG1005" s="350">
        <v>111923723.40789121</v>
      </c>
      <c r="AH1005" s="350">
        <v>112796101.12281886</v>
      </c>
      <c r="AI1005" s="350">
        <v>113670551.84684266</v>
      </c>
      <c r="AJ1005" s="350">
        <v>114549791.89015578</v>
      </c>
      <c r="AK1005" s="348">
        <v>563953361.41292977</v>
      </c>
      <c r="AL1005" s="369"/>
      <c r="AM1005" s="350">
        <v>142720144.5444231</v>
      </c>
      <c r="AN1005" s="350">
        <v>175960588.72837937</v>
      </c>
      <c r="AO1005" s="350">
        <v>209651913.66692969</v>
      </c>
      <c r="AP1005" s="350">
        <v>243847615.86698517</v>
      </c>
      <c r="AQ1005" s="350">
        <v>278556082.66427749</v>
      </c>
      <c r="AR1005" s="348">
        <v>1050736345.4709949</v>
      </c>
      <c r="AS1005" s="369"/>
      <c r="AT1005" s="350">
        <f t="shared" si="411"/>
        <v>31706951.399201781</v>
      </c>
      <c r="AU1005" s="350">
        <f t="shared" si="394"/>
        <v>64036865.320488155</v>
      </c>
      <c r="AV1005" s="350">
        <f t="shared" si="395"/>
        <v>96855812.544110835</v>
      </c>
      <c r="AW1005" s="350">
        <f t="shared" si="396"/>
        <v>130177064.02014251</v>
      </c>
      <c r="AX1005" s="350">
        <f t="shared" si="397"/>
        <v>164006290.7741217</v>
      </c>
      <c r="AY1005" s="350">
        <f t="shared" si="398"/>
        <v>486782984.05806518</v>
      </c>
      <c r="AZ1005" s="365"/>
      <c r="BA1005" s="377">
        <f t="shared" si="399"/>
        <v>0</v>
      </c>
      <c r="BB1005" s="377">
        <f t="shared" si="400"/>
        <v>0</v>
      </c>
      <c r="BC1005" s="377">
        <f t="shared" si="401"/>
        <v>0</v>
      </c>
      <c r="BD1005" s="377">
        <f t="shared" si="402"/>
        <v>0</v>
      </c>
      <c r="BE1005" s="377">
        <f t="shared" si="403"/>
        <v>0</v>
      </c>
      <c r="BF1005" s="377">
        <f t="shared" si="404"/>
        <v>0</v>
      </c>
      <c r="BG1005" s="328"/>
    </row>
    <row r="1006" spans="2:59">
      <c r="B1006" s="332">
        <v>991</v>
      </c>
      <c r="C1006" s="350">
        <v>132286627.01483831</v>
      </c>
      <c r="D1006" s="350">
        <v>133371641.99216595</v>
      </c>
      <c r="E1006" s="350">
        <v>134411193.25739011</v>
      </c>
      <c r="F1006" s="350">
        <v>135453214.78198922</v>
      </c>
      <c r="G1006" s="350">
        <v>136500943.40208322</v>
      </c>
      <c r="H1006" s="348">
        <v>672023620.44846678</v>
      </c>
      <c r="I1006" s="369"/>
      <c r="J1006" s="350">
        <v>160086189.74277893</v>
      </c>
      <c r="K1006" s="350">
        <v>189531662.36293426</v>
      </c>
      <c r="L1006" s="350">
        <v>219360668.02339959</v>
      </c>
      <c r="M1006" s="350">
        <v>249632777.02447334</v>
      </c>
      <c r="N1006" s="350">
        <v>280356200.60638011</v>
      </c>
      <c r="O1006" s="348">
        <v>1098967497.7599661</v>
      </c>
      <c r="P1006" s="369"/>
      <c r="Q1006" s="350">
        <f t="shared" si="405"/>
        <v>27799562.727940619</v>
      </c>
      <c r="R1006" s="350">
        <f t="shared" si="406"/>
        <v>56160020.370768309</v>
      </c>
      <c r="S1006" s="350">
        <f t="shared" si="407"/>
        <v>84949474.76600948</v>
      </c>
      <c r="T1006" s="350">
        <f t="shared" si="408"/>
        <v>114179562.24248412</v>
      </c>
      <c r="U1006" s="350">
        <f t="shared" si="409"/>
        <v>143855257.20429689</v>
      </c>
      <c r="V1006" s="350">
        <f t="shared" si="410"/>
        <v>426943877.31149936</v>
      </c>
      <c r="W1006" s="365"/>
      <c r="X1006" s="377">
        <f t="shared" si="388"/>
        <v>0</v>
      </c>
      <c r="Y1006" s="377">
        <f t="shared" si="389"/>
        <v>0</v>
      </c>
      <c r="Z1006" s="377">
        <f t="shared" si="390"/>
        <v>0</v>
      </c>
      <c r="AA1006" s="377">
        <f t="shared" si="391"/>
        <v>0</v>
      </c>
      <c r="AB1006" s="377">
        <f t="shared" si="392"/>
        <v>0</v>
      </c>
      <c r="AC1006" s="377">
        <f t="shared" si="393"/>
        <v>0</v>
      </c>
      <c r="AD1006" s="376"/>
      <c r="AE1006" s="332">
        <v>991</v>
      </c>
      <c r="AF1006" s="350">
        <v>94733876.522988811</v>
      </c>
      <c r="AG1006" s="350">
        <v>95510883.823025465</v>
      </c>
      <c r="AH1006" s="350">
        <v>96255333.382450819</v>
      </c>
      <c r="AI1006" s="350">
        <v>97001551.958532497</v>
      </c>
      <c r="AJ1006" s="350">
        <v>97751857.533369303</v>
      </c>
      <c r="AK1006" s="348">
        <v>481253503.2203669</v>
      </c>
      <c r="AL1006" s="369"/>
      <c r="AM1006" s="350">
        <v>127706154.91823989</v>
      </c>
      <c r="AN1006" s="350">
        <v>162106830.48396328</v>
      </c>
      <c r="AO1006" s="350">
        <v>196983553.0302664</v>
      </c>
      <c r="AP1006" s="350">
        <v>232384450.0655162</v>
      </c>
      <c r="AQ1006" s="350">
        <v>268317737.45500025</v>
      </c>
      <c r="AR1006" s="348">
        <v>987498725.95298612</v>
      </c>
      <c r="AS1006" s="369"/>
      <c r="AT1006" s="350">
        <f t="shared" si="411"/>
        <v>32972278.39525108</v>
      </c>
      <c r="AU1006" s="350">
        <f t="shared" si="394"/>
        <v>66595946.660937816</v>
      </c>
      <c r="AV1006" s="350">
        <f t="shared" si="395"/>
        <v>100728219.64781559</v>
      </c>
      <c r="AW1006" s="350">
        <f t="shared" si="396"/>
        <v>135382898.10698372</v>
      </c>
      <c r="AX1006" s="350">
        <f t="shared" si="397"/>
        <v>170565879.92163095</v>
      </c>
      <c r="AY1006" s="350">
        <f t="shared" si="398"/>
        <v>506245222.73261923</v>
      </c>
      <c r="AZ1006" s="365"/>
      <c r="BA1006" s="377">
        <f t="shared" si="399"/>
        <v>0</v>
      </c>
      <c r="BB1006" s="377">
        <f t="shared" si="400"/>
        <v>0</v>
      </c>
      <c r="BC1006" s="377">
        <f t="shared" si="401"/>
        <v>0</v>
      </c>
      <c r="BD1006" s="377">
        <f t="shared" si="402"/>
        <v>0</v>
      </c>
      <c r="BE1006" s="377">
        <f t="shared" si="403"/>
        <v>0</v>
      </c>
      <c r="BF1006" s="377">
        <f t="shared" si="404"/>
        <v>0</v>
      </c>
      <c r="BG1006" s="328"/>
    </row>
    <row r="1007" spans="2:59">
      <c r="B1007" s="332">
        <v>992</v>
      </c>
      <c r="C1007" s="350">
        <v>112768228.21647455</v>
      </c>
      <c r="D1007" s="350">
        <v>113693153.27762881</v>
      </c>
      <c r="E1007" s="350">
        <v>114579322.62796208</v>
      </c>
      <c r="F1007" s="350">
        <v>115467597.76010591</v>
      </c>
      <c r="G1007" s="350">
        <v>116360737.9270741</v>
      </c>
      <c r="H1007" s="348">
        <v>572869039.80924547</v>
      </c>
      <c r="I1007" s="369"/>
      <c r="J1007" s="350">
        <v>142943952.9824791</v>
      </c>
      <c r="K1007" s="350">
        <v>174660031.18458897</v>
      </c>
      <c r="L1007" s="350">
        <v>206803121.58646178</v>
      </c>
      <c r="M1007" s="350">
        <v>239426716.98864925</v>
      </c>
      <c r="N1007" s="350">
        <v>272538977.24053669</v>
      </c>
      <c r="O1007" s="348">
        <v>1036372799.9827158</v>
      </c>
      <c r="P1007" s="369"/>
      <c r="Q1007" s="350">
        <f t="shared" si="405"/>
        <v>30175724.766004547</v>
      </c>
      <c r="R1007" s="350">
        <f t="shared" si="406"/>
        <v>60966877.90696016</v>
      </c>
      <c r="S1007" s="350">
        <f t="shared" si="407"/>
        <v>92223798.9584997</v>
      </c>
      <c r="T1007" s="350">
        <f t="shared" si="408"/>
        <v>123959119.22854334</v>
      </c>
      <c r="U1007" s="350">
        <f t="shared" si="409"/>
        <v>156178239.31346259</v>
      </c>
      <c r="V1007" s="350">
        <f t="shared" si="410"/>
        <v>463503760.17347038</v>
      </c>
      <c r="W1007" s="365"/>
      <c r="X1007" s="377">
        <f t="shared" si="388"/>
        <v>0</v>
      </c>
      <c r="Y1007" s="377">
        <f t="shared" si="389"/>
        <v>0</v>
      </c>
      <c r="Z1007" s="377">
        <f t="shared" si="390"/>
        <v>0</v>
      </c>
      <c r="AA1007" s="377">
        <f t="shared" si="391"/>
        <v>0</v>
      </c>
      <c r="AB1007" s="377">
        <f t="shared" si="392"/>
        <v>0</v>
      </c>
      <c r="AC1007" s="377">
        <f t="shared" si="393"/>
        <v>0</v>
      </c>
      <c r="AD1007" s="376"/>
      <c r="AE1007" s="332">
        <v>992</v>
      </c>
      <c r="AF1007" s="350">
        <v>135378034.4964045</v>
      </c>
      <c r="AG1007" s="350">
        <v>136488405.19935781</v>
      </c>
      <c r="AH1007" s="350">
        <v>137552249.74827439</v>
      </c>
      <c r="AI1007" s="350">
        <v>138618622.2840814</v>
      </c>
      <c r="AJ1007" s="350">
        <v>139690835.28455386</v>
      </c>
      <c r="AK1007" s="348">
        <v>687728147.01267195</v>
      </c>
      <c r="AL1007" s="369"/>
      <c r="AM1007" s="350">
        <v>168208507.5163095</v>
      </c>
      <c r="AN1007" s="350">
        <v>202805959.59035224</v>
      </c>
      <c r="AO1007" s="350">
        <v>237863427.8733272</v>
      </c>
      <c r="AP1007" s="350">
        <v>273443708.34937102</v>
      </c>
      <c r="AQ1007" s="350">
        <v>309555987.23833394</v>
      </c>
      <c r="AR1007" s="348">
        <v>1191877590.5676939</v>
      </c>
      <c r="AS1007" s="369"/>
      <c r="AT1007" s="350">
        <f t="shared" si="411"/>
        <v>32830473.019905001</v>
      </c>
      <c r="AU1007" s="350">
        <f t="shared" si="394"/>
        <v>66317554.39099443</v>
      </c>
      <c r="AV1007" s="350">
        <f t="shared" si="395"/>
        <v>100311178.12505281</v>
      </c>
      <c r="AW1007" s="350">
        <f t="shared" si="396"/>
        <v>134825086.06528962</v>
      </c>
      <c r="AX1007" s="350">
        <f t="shared" si="397"/>
        <v>169865151.95378008</v>
      </c>
      <c r="AY1007" s="350">
        <f t="shared" si="398"/>
        <v>504149443.555022</v>
      </c>
      <c r="AZ1007" s="365"/>
      <c r="BA1007" s="377">
        <f t="shared" si="399"/>
        <v>0</v>
      </c>
      <c r="BB1007" s="377">
        <f t="shared" si="400"/>
        <v>0</v>
      </c>
      <c r="BC1007" s="377">
        <f t="shared" si="401"/>
        <v>0</v>
      </c>
      <c r="BD1007" s="377">
        <f t="shared" si="402"/>
        <v>0</v>
      </c>
      <c r="BE1007" s="377">
        <f t="shared" si="403"/>
        <v>0</v>
      </c>
      <c r="BF1007" s="377">
        <f t="shared" si="404"/>
        <v>0</v>
      </c>
      <c r="BG1007" s="328"/>
    </row>
    <row r="1008" spans="2:59">
      <c r="B1008" s="332">
        <v>993</v>
      </c>
      <c r="C1008" s="350">
        <v>135085361.64439783</v>
      </c>
      <c r="D1008" s="350">
        <v>136193331.84448057</v>
      </c>
      <c r="E1008" s="350">
        <v>137254876.47510254</v>
      </c>
      <c r="F1008" s="350">
        <v>138318943.6273773</v>
      </c>
      <c r="G1008" s="350">
        <v>139388838.61785665</v>
      </c>
      <c r="H1008" s="348">
        <v>686241352.20921481</v>
      </c>
      <c r="I1008" s="369"/>
      <c r="J1008" s="350">
        <v>168607035.89495695</v>
      </c>
      <c r="K1008" s="350">
        <v>203903975.50961491</v>
      </c>
      <c r="L1008" s="350">
        <v>239671647.57753998</v>
      </c>
      <c r="M1008" s="350">
        <v>275973031.17467088</v>
      </c>
      <c r="N1008" s="350">
        <v>312817428.54446715</v>
      </c>
      <c r="O1008" s="348">
        <v>1200973118.7012501</v>
      </c>
      <c r="P1008" s="369"/>
      <c r="Q1008" s="350">
        <f t="shared" si="405"/>
        <v>33521674.250559121</v>
      </c>
      <c r="R1008" s="350">
        <f t="shared" si="406"/>
        <v>67710643.665134341</v>
      </c>
      <c r="S1008" s="350">
        <f t="shared" si="407"/>
        <v>102416771.10243744</v>
      </c>
      <c r="T1008" s="350">
        <f t="shared" si="408"/>
        <v>137654087.54729357</v>
      </c>
      <c r="U1008" s="350">
        <f t="shared" si="409"/>
        <v>173428589.9266105</v>
      </c>
      <c r="V1008" s="350">
        <f t="shared" si="410"/>
        <v>514731766.49203527</v>
      </c>
      <c r="W1008" s="365"/>
      <c r="X1008" s="377">
        <f t="shared" si="388"/>
        <v>0</v>
      </c>
      <c r="Y1008" s="377">
        <f t="shared" si="389"/>
        <v>0</v>
      </c>
      <c r="Z1008" s="377">
        <f t="shared" si="390"/>
        <v>0</v>
      </c>
      <c r="AA1008" s="377">
        <f t="shared" si="391"/>
        <v>0</v>
      </c>
      <c r="AB1008" s="377">
        <f t="shared" si="392"/>
        <v>0</v>
      </c>
      <c r="AC1008" s="377">
        <f t="shared" si="393"/>
        <v>0</v>
      </c>
      <c r="AD1008" s="376"/>
      <c r="AE1008" s="332">
        <v>993</v>
      </c>
      <c r="AF1008" s="350">
        <v>153833474.5901728</v>
      </c>
      <c r="AG1008" s="350">
        <v>155095216.82150185</v>
      </c>
      <c r="AH1008" s="350">
        <v>156304090.21069261</v>
      </c>
      <c r="AI1008" s="350">
        <v>157515836.21513829</v>
      </c>
      <c r="AJ1008" s="350">
        <v>158734218.88686934</v>
      </c>
      <c r="AK1008" s="348">
        <v>781482836.72437489</v>
      </c>
      <c r="AL1008" s="369"/>
      <c r="AM1008" s="350">
        <v>194335348.66573706</v>
      </c>
      <c r="AN1008" s="350">
        <v>236883544.07236895</v>
      </c>
      <c r="AO1008" s="350">
        <v>280003378.43512076</v>
      </c>
      <c r="AP1008" s="350">
        <v>323767544.65657741</v>
      </c>
      <c r="AQ1008" s="350">
        <v>368187049.1452449</v>
      </c>
      <c r="AR1008" s="348">
        <v>1403176864.975049</v>
      </c>
      <c r="AS1008" s="369"/>
      <c r="AT1008" s="350">
        <f t="shared" si="411"/>
        <v>40501874.075564265</v>
      </c>
      <c r="AU1008" s="350">
        <f t="shared" si="394"/>
        <v>81788327.250867099</v>
      </c>
      <c r="AV1008" s="350">
        <f t="shared" si="395"/>
        <v>123699288.22442815</v>
      </c>
      <c r="AW1008" s="350">
        <f t="shared" si="396"/>
        <v>166251708.44143912</v>
      </c>
      <c r="AX1008" s="350">
        <f t="shared" si="397"/>
        <v>209452830.25837556</v>
      </c>
      <c r="AY1008" s="350">
        <f t="shared" si="398"/>
        <v>621694028.25067413</v>
      </c>
      <c r="AZ1008" s="365"/>
      <c r="BA1008" s="377">
        <f t="shared" si="399"/>
        <v>0</v>
      </c>
      <c r="BB1008" s="377">
        <f t="shared" si="400"/>
        <v>0</v>
      </c>
      <c r="BC1008" s="377">
        <f t="shared" si="401"/>
        <v>0</v>
      </c>
      <c r="BD1008" s="377">
        <f t="shared" si="402"/>
        <v>0</v>
      </c>
      <c r="BE1008" s="377">
        <f t="shared" si="403"/>
        <v>0</v>
      </c>
      <c r="BF1008" s="377">
        <f t="shared" si="404"/>
        <v>0</v>
      </c>
      <c r="BG1008" s="328"/>
    </row>
    <row r="1009" spans="1:59">
      <c r="B1009" s="332">
        <v>994</v>
      </c>
      <c r="C1009" s="350">
        <v>138826952.12053668</v>
      </c>
      <c r="D1009" s="350">
        <v>139965610.84747389</v>
      </c>
      <c r="E1009" s="350">
        <v>141056558.11085778</v>
      </c>
      <c r="F1009" s="350">
        <v>142150097.76462683</v>
      </c>
      <c r="G1009" s="350">
        <v>143249626.67589608</v>
      </c>
      <c r="H1009" s="348">
        <v>705248845.51939118</v>
      </c>
      <c r="I1009" s="369"/>
      <c r="J1009" s="350">
        <v>179688644.91171953</v>
      </c>
      <c r="K1009" s="350">
        <v>222475520.832304</v>
      </c>
      <c r="L1009" s="350">
        <v>265844662.88379574</v>
      </c>
      <c r="M1009" s="350">
        <v>309863476.6827839</v>
      </c>
      <c r="N1009" s="350">
        <v>354542665.02695501</v>
      </c>
      <c r="O1009" s="348">
        <v>1332414970.3375583</v>
      </c>
      <c r="P1009" s="369"/>
      <c r="Q1009" s="350">
        <f t="shared" si="405"/>
        <v>40861692.791182846</v>
      </c>
      <c r="R1009" s="350">
        <f t="shared" si="406"/>
        <v>82509909.984830111</v>
      </c>
      <c r="S1009" s="350">
        <f t="shared" si="407"/>
        <v>124788104.77293795</v>
      </c>
      <c r="T1009" s="350">
        <f t="shared" si="408"/>
        <v>167713378.91815707</v>
      </c>
      <c r="U1009" s="350">
        <f t="shared" si="409"/>
        <v>211293038.35105893</v>
      </c>
      <c r="V1009" s="350">
        <f t="shared" si="410"/>
        <v>627166124.81816709</v>
      </c>
      <c r="W1009" s="365"/>
      <c r="X1009" s="377">
        <f t="shared" si="388"/>
        <v>0</v>
      </c>
      <c r="Y1009" s="377">
        <f t="shared" si="389"/>
        <v>0</v>
      </c>
      <c r="Z1009" s="377">
        <f t="shared" si="390"/>
        <v>0</v>
      </c>
      <c r="AA1009" s="377">
        <f t="shared" si="391"/>
        <v>0</v>
      </c>
      <c r="AB1009" s="377">
        <f t="shared" si="392"/>
        <v>0</v>
      </c>
      <c r="AC1009" s="377">
        <f t="shared" si="393"/>
        <v>0</v>
      </c>
      <c r="AD1009" s="376"/>
      <c r="AE1009" s="332">
        <v>994</v>
      </c>
      <c r="AF1009" s="350">
        <v>137711261.66512132</v>
      </c>
      <c r="AG1009" s="350">
        <v>138840769.49841568</v>
      </c>
      <c r="AH1009" s="350">
        <v>139922949.30396426</v>
      </c>
      <c r="AI1009" s="350">
        <v>141007700.66600972</v>
      </c>
      <c r="AJ1009" s="350">
        <v>142098393.15255731</v>
      </c>
      <c r="AK1009" s="348">
        <v>699581074.28606844</v>
      </c>
      <c r="AL1009" s="369"/>
      <c r="AM1009" s="350">
        <v>179119017.67241418</v>
      </c>
      <c r="AN1009" s="350">
        <v>222456887.7477088</v>
      </c>
      <c r="AO1009" s="350">
        <v>266385881.88534242</v>
      </c>
      <c r="AP1009" s="350">
        <v>310973230.17337531</v>
      </c>
      <c r="AQ1009" s="350">
        <v>356229706.28969347</v>
      </c>
      <c r="AR1009" s="348">
        <v>1335164723.7685342</v>
      </c>
      <c r="AS1009" s="369"/>
      <c r="AT1009" s="350">
        <f t="shared" si="411"/>
        <v>41407756.007292867</v>
      </c>
      <c r="AU1009" s="350">
        <f t="shared" si="394"/>
        <v>83616118.249293119</v>
      </c>
      <c r="AV1009" s="350">
        <f t="shared" si="395"/>
        <v>126462932.58137816</v>
      </c>
      <c r="AW1009" s="350">
        <f t="shared" si="396"/>
        <v>169965529.50736558</v>
      </c>
      <c r="AX1009" s="350">
        <f t="shared" si="397"/>
        <v>214131313.13713616</v>
      </c>
      <c r="AY1009" s="350">
        <f t="shared" si="398"/>
        <v>635583649.48246574</v>
      </c>
      <c r="AZ1009" s="365"/>
      <c r="BA1009" s="377">
        <f t="shared" si="399"/>
        <v>0</v>
      </c>
      <c r="BB1009" s="377">
        <f t="shared" si="400"/>
        <v>0</v>
      </c>
      <c r="BC1009" s="377">
        <f t="shared" si="401"/>
        <v>0</v>
      </c>
      <c r="BD1009" s="377">
        <f t="shared" si="402"/>
        <v>0</v>
      </c>
      <c r="BE1009" s="377">
        <f t="shared" si="403"/>
        <v>0</v>
      </c>
      <c r="BF1009" s="377">
        <f t="shared" si="404"/>
        <v>0</v>
      </c>
      <c r="BG1009" s="328"/>
    </row>
    <row r="1010" spans="1:59">
      <c r="B1010" s="332">
        <v>995</v>
      </c>
      <c r="C1010" s="350">
        <v>108627126.99226606</v>
      </c>
      <c r="D1010" s="350">
        <v>109518086.7392212</v>
      </c>
      <c r="E1010" s="350">
        <v>110371713.97162323</v>
      </c>
      <c r="F1010" s="350">
        <v>111227369.65682408</v>
      </c>
      <c r="G1010" s="350">
        <v>112087711.72190386</v>
      </c>
      <c r="H1010" s="348">
        <v>551832009.08183837</v>
      </c>
      <c r="I1010" s="369"/>
      <c r="J1010" s="350">
        <v>132480917.95527433</v>
      </c>
      <c r="K1010" s="350">
        <v>157725002.26198509</v>
      </c>
      <c r="L1010" s="350">
        <v>183300141.9020519</v>
      </c>
      <c r="M1010" s="350">
        <v>209255683.55517811</v>
      </c>
      <c r="N1010" s="350">
        <v>235598556.25840437</v>
      </c>
      <c r="O1010" s="348">
        <v>918360301.93289387</v>
      </c>
      <c r="P1010" s="369"/>
      <c r="Q1010" s="350">
        <f t="shared" si="405"/>
        <v>23853790.96300827</v>
      </c>
      <c r="R1010" s="350">
        <f t="shared" si="406"/>
        <v>48206915.522763893</v>
      </c>
      <c r="S1010" s="350">
        <f t="shared" si="407"/>
        <v>72928427.930428669</v>
      </c>
      <c r="T1010" s="350">
        <f t="shared" si="408"/>
        <v>98028313.898354024</v>
      </c>
      <c r="U1010" s="350">
        <f t="shared" si="409"/>
        <v>123510844.53650051</v>
      </c>
      <c r="V1010" s="350">
        <f t="shared" si="410"/>
        <v>366528292.8510555</v>
      </c>
      <c r="W1010" s="365"/>
      <c r="X1010" s="377">
        <f t="shared" si="388"/>
        <v>0</v>
      </c>
      <c r="Y1010" s="377">
        <f t="shared" si="389"/>
        <v>0</v>
      </c>
      <c r="Z1010" s="377">
        <f t="shared" si="390"/>
        <v>0</v>
      </c>
      <c r="AA1010" s="377">
        <f t="shared" si="391"/>
        <v>0</v>
      </c>
      <c r="AB1010" s="377">
        <f t="shared" si="392"/>
        <v>0</v>
      </c>
      <c r="AC1010" s="377">
        <f t="shared" si="393"/>
        <v>0</v>
      </c>
      <c r="AD1010" s="376"/>
      <c r="AE1010" s="332">
        <v>995</v>
      </c>
      <c r="AF1010" s="350">
        <v>147883921.78324279</v>
      </c>
      <c r="AG1010" s="350">
        <v>149096865.7796362</v>
      </c>
      <c r="AH1010" s="350">
        <v>150258985.65119988</v>
      </c>
      <c r="AI1010" s="350">
        <v>151423867.03881723</v>
      </c>
      <c r="AJ1010" s="350">
        <v>152595128.41874999</v>
      </c>
      <c r="AK1010" s="348">
        <v>751258768.67164612</v>
      </c>
      <c r="AL1010" s="369"/>
      <c r="AM1010" s="350">
        <v>179304225.60756698</v>
      </c>
      <c r="AN1010" s="350">
        <v>212568425.13251495</v>
      </c>
      <c r="AO1010" s="350">
        <v>246266625.05216134</v>
      </c>
      <c r="AP1010" s="350">
        <v>280465562.73792386</v>
      </c>
      <c r="AQ1010" s="350">
        <v>315174478.50169027</v>
      </c>
      <c r="AR1010" s="348">
        <v>1233779317.0318575</v>
      </c>
      <c r="AS1010" s="369"/>
      <c r="AT1010" s="350">
        <f t="shared" si="411"/>
        <v>31420303.824324191</v>
      </c>
      <c r="AU1010" s="350">
        <f t="shared" si="394"/>
        <v>63471559.352878749</v>
      </c>
      <c r="AV1010" s="350">
        <f t="shared" si="395"/>
        <v>96007639.400961459</v>
      </c>
      <c r="AW1010" s="350">
        <f t="shared" si="396"/>
        <v>129041695.69910663</v>
      </c>
      <c r="AX1010" s="350">
        <f t="shared" si="397"/>
        <v>162579350.08294028</v>
      </c>
      <c r="AY1010" s="350">
        <f t="shared" si="398"/>
        <v>482520548.36021137</v>
      </c>
      <c r="AZ1010" s="365"/>
      <c r="BA1010" s="377">
        <f t="shared" si="399"/>
        <v>0</v>
      </c>
      <c r="BB1010" s="377">
        <f t="shared" si="400"/>
        <v>0</v>
      </c>
      <c r="BC1010" s="377">
        <f t="shared" si="401"/>
        <v>0</v>
      </c>
      <c r="BD1010" s="377">
        <f t="shared" si="402"/>
        <v>0</v>
      </c>
      <c r="BE1010" s="377">
        <f t="shared" si="403"/>
        <v>0</v>
      </c>
      <c r="BF1010" s="377">
        <f t="shared" si="404"/>
        <v>0</v>
      </c>
      <c r="BG1010" s="328"/>
    </row>
    <row r="1011" spans="1:59">
      <c r="B1011" s="332">
        <v>996</v>
      </c>
      <c r="C1011" s="350">
        <v>135145690.59227186</v>
      </c>
      <c r="D1011" s="350">
        <v>136254155.61041361</v>
      </c>
      <c r="E1011" s="350">
        <v>137316174.3254953</v>
      </c>
      <c r="F1011" s="350">
        <v>138380716.68878463</v>
      </c>
      <c r="G1011" s="350">
        <v>139451089.49298358</v>
      </c>
      <c r="H1011" s="348">
        <v>686547826.70994902</v>
      </c>
      <c r="I1011" s="369"/>
      <c r="J1011" s="350">
        <v>168360166.44977972</v>
      </c>
      <c r="K1011" s="350">
        <v>203337773.95901847</v>
      </c>
      <c r="L1011" s="350">
        <v>238781252.32796407</v>
      </c>
      <c r="M1011" s="350">
        <v>274753473.54843748</v>
      </c>
      <c r="N1011" s="350">
        <v>311263685.38897127</v>
      </c>
      <c r="O1011" s="348">
        <v>1196496351.674171</v>
      </c>
      <c r="P1011" s="369"/>
      <c r="Q1011" s="350">
        <f t="shared" si="405"/>
        <v>33214475.857507855</v>
      </c>
      <c r="R1011" s="350">
        <f t="shared" si="406"/>
        <v>67083618.348604858</v>
      </c>
      <c r="S1011" s="350">
        <f t="shared" si="407"/>
        <v>101465078.00246876</v>
      </c>
      <c r="T1011" s="350">
        <f t="shared" si="408"/>
        <v>136372756.85965285</v>
      </c>
      <c r="U1011" s="350">
        <f t="shared" si="409"/>
        <v>171812595.89598769</v>
      </c>
      <c r="V1011" s="350">
        <f t="shared" si="410"/>
        <v>509948524.96422195</v>
      </c>
      <c r="W1011" s="365"/>
      <c r="X1011" s="377">
        <f t="shared" si="388"/>
        <v>0</v>
      </c>
      <c r="Y1011" s="377">
        <f t="shared" si="389"/>
        <v>0</v>
      </c>
      <c r="Z1011" s="377">
        <f t="shared" si="390"/>
        <v>0</v>
      </c>
      <c r="AA1011" s="377">
        <f t="shared" si="391"/>
        <v>0</v>
      </c>
      <c r="AB1011" s="377">
        <f t="shared" si="392"/>
        <v>0</v>
      </c>
      <c r="AC1011" s="377">
        <f t="shared" si="393"/>
        <v>0</v>
      </c>
      <c r="AD1011" s="376"/>
      <c r="AE1011" s="332">
        <v>996</v>
      </c>
      <c r="AF1011" s="350">
        <v>149407428.37410635</v>
      </c>
      <c r="AG1011" s="350">
        <v>150632868.17227843</v>
      </c>
      <c r="AH1011" s="350">
        <v>151806960.25327739</v>
      </c>
      <c r="AI1011" s="350">
        <v>152983842.29958847</v>
      </c>
      <c r="AJ1011" s="350">
        <v>154167170.06517309</v>
      </c>
      <c r="AK1011" s="348">
        <v>758998269.1644237</v>
      </c>
      <c r="AL1011" s="369"/>
      <c r="AM1011" s="350">
        <v>185140656.33262512</v>
      </c>
      <c r="AN1011" s="350">
        <v>222810117.0575071</v>
      </c>
      <c r="AO1011" s="350">
        <v>260979498.78748569</v>
      </c>
      <c r="AP1011" s="350">
        <v>299717895.83863592</v>
      </c>
      <c r="AQ1011" s="350">
        <v>339035356.45182377</v>
      </c>
      <c r="AR1011" s="348">
        <v>1307683524.4680777</v>
      </c>
      <c r="AS1011" s="369"/>
      <c r="AT1011" s="350">
        <f t="shared" si="411"/>
        <v>35733227.958518773</v>
      </c>
      <c r="AU1011" s="350">
        <f t="shared" si="394"/>
        <v>72177248.885228664</v>
      </c>
      <c r="AV1011" s="350">
        <f t="shared" si="395"/>
        <v>109172538.5342083</v>
      </c>
      <c r="AW1011" s="350">
        <f t="shared" si="396"/>
        <v>146734053.53904745</v>
      </c>
      <c r="AX1011" s="350">
        <f t="shared" si="397"/>
        <v>184868186.38665068</v>
      </c>
      <c r="AY1011" s="350">
        <f t="shared" si="398"/>
        <v>548685255.30365396</v>
      </c>
      <c r="AZ1011" s="365"/>
      <c r="BA1011" s="377">
        <f t="shared" si="399"/>
        <v>0</v>
      </c>
      <c r="BB1011" s="377">
        <f t="shared" si="400"/>
        <v>0</v>
      </c>
      <c r="BC1011" s="377">
        <f t="shared" si="401"/>
        <v>0</v>
      </c>
      <c r="BD1011" s="377">
        <f t="shared" si="402"/>
        <v>0</v>
      </c>
      <c r="BE1011" s="377">
        <f t="shared" si="403"/>
        <v>0</v>
      </c>
      <c r="BF1011" s="377">
        <f t="shared" si="404"/>
        <v>0</v>
      </c>
      <c r="BG1011" s="328"/>
    </row>
    <row r="1012" spans="1:59">
      <c r="B1012" s="332">
        <v>997</v>
      </c>
      <c r="C1012" s="350">
        <v>143359509.28054836</v>
      </c>
      <c r="D1012" s="350">
        <v>144535344.04345527</v>
      </c>
      <c r="E1012" s="350">
        <v>145661909.61260986</v>
      </c>
      <c r="F1012" s="350">
        <v>146791152.21102861</v>
      </c>
      <c r="G1012" s="350">
        <v>147926579.61004314</v>
      </c>
      <c r="H1012" s="348">
        <v>728274494.7576853</v>
      </c>
      <c r="I1012" s="369"/>
      <c r="J1012" s="350">
        <v>178114326.10866523</v>
      </c>
      <c r="K1012" s="350">
        <v>214714319.31296358</v>
      </c>
      <c r="L1012" s="350">
        <v>251800874.97873175</v>
      </c>
      <c r="M1012" s="350">
        <v>289440485.21332878</v>
      </c>
      <c r="N1012" s="350">
        <v>327642871.88590813</v>
      </c>
      <c r="O1012" s="348">
        <v>1261712877.4995975</v>
      </c>
      <c r="P1012" s="369"/>
      <c r="Q1012" s="350">
        <f t="shared" si="405"/>
        <v>34754816.828116864</v>
      </c>
      <c r="R1012" s="350">
        <f t="shared" si="406"/>
        <v>70178975.269508302</v>
      </c>
      <c r="S1012" s="350">
        <f t="shared" si="407"/>
        <v>106138965.36612189</v>
      </c>
      <c r="T1012" s="350">
        <f t="shared" si="408"/>
        <v>142649333.00230017</v>
      </c>
      <c r="U1012" s="350">
        <f t="shared" si="409"/>
        <v>179716292.27586499</v>
      </c>
      <c r="V1012" s="350">
        <f t="shared" si="410"/>
        <v>533438382.74191225</v>
      </c>
      <c r="W1012" s="365"/>
      <c r="X1012" s="377">
        <f t="shared" si="388"/>
        <v>0</v>
      </c>
      <c r="Y1012" s="377">
        <f t="shared" si="389"/>
        <v>0</v>
      </c>
      <c r="Z1012" s="377">
        <f t="shared" si="390"/>
        <v>0</v>
      </c>
      <c r="AA1012" s="377">
        <f t="shared" si="391"/>
        <v>0</v>
      </c>
      <c r="AB1012" s="377">
        <f t="shared" si="392"/>
        <v>0</v>
      </c>
      <c r="AC1012" s="377">
        <f t="shared" si="393"/>
        <v>0</v>
      </c>
      <c r="AD1012" s="376"/>
      <c r="AE1012" s="332">
        <v>997</v>
      </c>
      <c r="AF1012" s="350">
        <v>113926689.6773967</v>
      </c>
      <c r="AG1012" s="350">
        <v>114861116.44000115</v>
      </c>
      <c r="AH1012" s="350">
        <v>115756389.3566177</v>
      </c>
      <c r="AI1012" s="350">
        <v>116653789.687619</v>
      </c>
      <c r="AJ1012" s="350">
        <v>117556105.03166497</v>
      </c>
      <c r="AK1012" s="348">
        <v>578754090.19329953</v>
      </c>
      <c r="AL1012" s="369"/>
      <c r="AM1012" s="350">
        <v>147916387.17024547</v>
      </c>
      <c r="AN1012" s="350">
        <v>183498434.88266149</v>
      </c>
      <c r="AO1012" s="350">
        <v>219565415.90495455</v>
      </c>
      <c r="AP1012" s="350">
        <v>256172837.34184879</v>
      </c>
      <c r="AQ1012" s="350">
        <v>293329564.59423596</v>
      </c>
      <c r="AR1012" s="348">
        <v>1100482639.8939462</v>
      </c>
      <c r="AS1012" s="369"/>
      <c r="AT1012" s="350">
        <f t="shared" si="411"/>
        <v>33989697.492848769</v>
      </c>
      <c r="AU1012" s="350">
        <f t="shared" si="394"/>
        <v>68637318.442660347</v>
      </c>
      <c r="AV1012" s="350">
        <f t="shared" si="395"/>
        <v>103809026.54833685</v>
      </c>
      <c r="AW1012" s="350">
        <f t="shared" si="396"/>
        <v>139519047.65422979</v>
      </c>
      <c r="AX1012" s="350">
        <f t="shared" si="397"/>
        <v>175773459.56257099</v>
      </c>
      <c r="AY1012" s="350">
        <f t="shared" si="398"/>
        <v>521728549.70064664</v>
      </c>
      <c r="AZ1012" s="365"/>
      <c r="BA1012" s="377">
        <f t="shared" si="399"/>
        <v>0</v>
      </c>
      <c r="BB1012" s="377">
        <f t="shared" si="400"/>
        <v>0</v>
      </c>
      <c r="BC1012" s="377">
        <f t="shared" si="401"/>
        <v>0</v>
      </c>
      <c r="BD1012" s="377">
        <f t="shared" si="402"/>
        <v>0</v>
      </c>
      <c r="BE1012" s="377">
        <f t="shared" si="403"/>
        <v>0</v>
      </c>
      <c r="BF1012" s="377">
        <f t="shared" si="404"/>
        <v>0</v>
      </c>
      <c r="BG1012" s="328"/>
    </row>
    <row r="1013" spans="1:59">
      <c r="B1013" s="332">
        <v>998</v>
      </c>
      <c r="C1013" s="350">
        <v>143178523.88591579</v>
      </c>
      <c r="D1013" s="350">
        <v>144352874.2065303</v>
      </c>
      <c r="E1013" s="350">
        <v>145478017.53369245</v>
      </c>
      <c r="F1013" s="350">
        <v>146605834.51048115</v>
      </c>
      <c r="G1013" s="350">
        <v>147739828.47981307</v>
      </c>
      <c r="H1013" s="348">
        <v>727355078.61643279</v>
      </c>
      <c r="I1013" s="369"/>
      <c r="J1013" s="350">
        <v>170978915.09813043</v>
      </c>
      <c r="K1013" s="350">
        <v>200518128.72996232</v>
      </c>
      <c r="L1013" s="350">
        <v>230437200.40913576</v>
      </c>
      <c r="M1013" s="350">
        <v>260799647.65217304</v>
      </c>
      <c r="N1013" s="350">
        <v>291613948.89782017</v>
      </c>
      <c r="O1013" s="348">
        <v>1154347840.7872217</v>
      </c>
      <c r="P1013" s="369"/>
      <c r="Q1013" s="350">
        <f t="shared" si="405"/>
        <v>27800391.212214649</v>
      </c>
      <c r="R1013" s="350">
        <f t="shared" si="406"/>
        <v>56165254.523432016</v>
      </c>
      <c r="S1013" s="350">
        <f t="shared" si="407"/>
        <v>84959182.87544331</v>
      </c>
      <c r="T1013" s="350">
        <f t="shared" si="408"/>
        <v>114193813.14169189</v>
      </c>
      <c r="U1013" s="350">
        <f t="shared" si="409"/>
        <v>143874120.41800711</v>
      </c>
      <c r="V1013" s="350">
        <f t="shared" si="410"/>
        <v>426992762.17078888</v>
      </c>
      <c r="W1013" s="365"/>
      <c r="X1013" s="377">
        <f t="shared" si="388"/>
        <v>0</v>
      </c>
      <c r="Y1013" s="377">
        <f t="shared" si="389"/>
        <v>0</v>
      </c>
      <c r="Z1013" s="377">
        <f t="shared" si="390"/>
        <v>0</v>
      </c>
      <c r="AA1013" s="377">
        <f t="shared" si="391"/>
        <v>0</v>
      </c>
      <c r="AB1013" s="377">
        <f t="shared" si="392"/>
        <v>0</v>
      </c>
      <c r="AC1013" s="377">
        <f t="shared" si="393"/>
        <v>0</v>
      </c>
      <c r="AD1013" s="376"/>
      <c r="AE1013" s="332">
        <v>998</v>
      </c>
      <c r="AF1013" s="350">
        <v>126201920.11531171</v>
      </c>
      <c r="AG1013" s="350">
        <v>127237028.32377234</v>
      </c>
      <c r="AH1013" s="350">
        <v>128228763.98662868</v>
      </c>
      <c r="AI1013" s="350">
        <v>129222856.28585353</v>
      </c>
      <c r="AJ1013" s="350">
        <v>130222393.17479998</v>
      </c>
      <c r="AK1013" s="348">
        <v>641112961.88636613</v>
      </c>
      <c r="AL1013" s="369"/>
      <c r="AM1013" s="350">
        <v>152903339.5861136</v>
      </c>
      <c r="AN1013" s="350">
        <v>181176805.7368803</v>
      </c>
      <c r="AO1013" s="350">
        <v>209818921.73081776</v>
      </c>
      <c r="AP1013" s="350">
        <v>238886593.31838408</v>
      </c>
      <c r="AQ1013" s="350">
        <v>268387686.08250761</v>
      </c>
      <c r="AR1013" s="348">
        <v>1051173346.4547033</v>
      </c>
      <c r="AS1013" s="369"/>
      <c r="AT1013" s="350">
        <f t="shared" si="411"/>
        <v>26701419.47080189</v>
      </c>
      <c r="AU1013" s="350">
        <f t="shared" si="394"/>
        <v>53939777.413107961</v>
      </c>
      <c r="AV1013" s="350">
        <f t="shared" si="395"/>
        <v>81590157.744189084</v>
      </c>
      <c r="AW1013" s="350">
        <f t="shared" si="396"/>
        <v>109663737.03253055</v>
      </c>
      <c r="AX1013" s="350">
        <f t="shared" si="397"/>
        <v>138165292.90770763</v>
      </c>
      <c r="AY1013" s="350">
        <f t="shared" si="398"/>
        <v>410060384.5683372</v>
      </c>
      <c r="AZ1013" s="365"/>
      <c r="BA1013" s="377">
        <f t="shared" si="399"/>
        <v>0</v>
      </c>
      <c r="BB1013" s="377">
        <f t="shared" si="400"/>
        <v>0</v>
      </c>
      <c r="BC1013" s="377">
        <f t="shared" si="401"/>
        <v>0</v>
      </c>
      <c r="BD1013" s="377">
        <f t="shared" si="402"/>
        <v>0</v>
      </c>
      <c r="BE1013" s="377">
        <f t="shared" si="403"/>
        <v>0</v>
      </c>
      <c r="BF1013" s="377">
        <f t="shared" si="404"/>
        <v>0</v>
      </c>
      <c r="BG1013" s="328"/>
    </row>
    <row r="1014" spans="1:59">
      <c r="B1014" s="332">
        <v>999</v>
      </c>
      <c r="C1014" s="350">
        <v>126035840.86527218</v>
      </c>
      <c r="D1014" s="350">
        <v>127069586.89164546</v>
      </c>
      <c r="E1014" s="350">
        <v>128060017.44983321</v>
      </c>
      <c r="F1014" s="350">
        <v>129052801.54310232</v>
      </c>
      <c r="G1014" s="350">
        <v>130051023.06111977</v>
      </c>
      <c r="H1014" s="348">
        <v>640269269.81097293</v>
      </c>
      <c r="I1014" s="369"/>
      <c r="J1014" s="350">
        <v>160696333.05479893</v>
      </c>
      <c r="K1014" s="350">
        <v>197074914.85399392</v>
      </c>
      <c r="L1014" s="350">
        <v>233944820.77317047</v>
      </c>
      <c r="M1014" s="350">
        <v>271366227.15690172</v>
      </c>
      <c r="N1014" s="350">
        <v>309348417.69482338</v>
      </c>
      <c r="O1014" s="348">
        <v>1172430713.5336885</v>
      </c>
      <c r="P1014" s="369"/>
      <c r="Q1014" s="350">
        <f t="shared" si="405"/>
        <v>34660492.189526752</v>
      </c>
      <c r="R1014" s="350">
        <f t="shared" si="406"/>
        <v>70005327.962348461</v>
      </c>
      <c r="S1014" s="350">
        <f t="shared" si="407"/>
        <v>105884803.32333726</v>
      </c>
      <c r="T1014" s="350">
        <f t="shared" si="408"/>
        <v>142313425.61379939</v>
      </c>
      <c r="U1014" s="350">
        <f t="shared" si="409"/>
        <v>179297394.63370362</v>
      </c>
      <c r="V1014" s="350">
        <f t="shared" si="410"/>
        <v>532161443.72271562</v>
      </c>
      <c r="W1014" s="365"/>
      <c r="X1014" s="377">
        <f t="shared" si="388"/>
        <v>0</v>
      </c>
      <c r="Y1014" s="377">
        <f t="shared" si="389"/>
        <v>0</v>
      </c>
      <c r="Z1014" s="377">
        <f t="shared" si="390"/>
        <v>0</v>
      </c>
      <c r="AA1014" s="377">
        <f t="shared" si="391"/>
        <v>0</v>
      </c>
      <c r="AB1014" s="377">
        <f t="shared" si="392"/>
        <v>0</v>
      </c>
      <c r="AC1014" s="377">
        <f t="shared" si="393"/>
        <v>0</v>
      </c>
      <c r="AD1014" s="376"/>
      <c r="AE1014" s="332">
        <v>999</v>
      </c>
      <c r="AF1014" s="350">
        <v>147769812.27401203</v>
      </c>
      <c r="AG1014" s="350">
        <v>148981820.34415674</v>
      </c>
      <c r="AH1014" s="350">
        <v>150143043.5061484</v>
      </c>
      <c r="AI1014" s="350">
        <v>151307026.05336547</v>
      </c>
      <c r="AJ1014" s="350">
        <v>152477383.66999772</v>
      </c>
      <c r="AK1014" s="348">
        <v>750679085.84768033</v>
      </c>
      <c r="AL1014" s="369"/>
      <c r="AM1014" s="350">
        <v>180823008.44062996</v>
      </c>
      <c r="AN1014" s="350">
        <v>215771346.67133722</v>
      </c>
      <c r="AO1014" s="350">
        <v>251179222.822146</v>
      </c>
      <c r="AP1014" s="350">
        <v>287114017.48120075</v>
      </c>
      <c r="AQ1014" s="350">
        <v>323585263.29144233</v>
      </c>
      <c r="AR1014" s="348">
        <v>1258472858.7067564</v>
      </c>
      <c r="AS1014" s="369"/>
      <c r="AT1014" s="350">
        <f t="shared" si="411"/>
        <v>33053196.16661793</v>
      </c>
      <c r="AU1014" s="350">
        <f t="shared" si="394"/>
        <v>66789526.327180475</v>
      </c>
      <c r="AV1014" s="350">
        <f t="shared" si="395"/>
        <v>101036179.3159976</v>
      </c>
      <c r="AW1014" s="350">
        <f t="shared" si="396"/>
        <v>135806991.42783529</v>
      </c>
      <c r="AX1014" s="350">
        <f t="shared" si="397"/>
        <v>171107879.62144461</v>
      </c>
      <c r="AY1014" s="350">
        <f t="shared" si="398"/>
        <v>507793772.85907602</v>
      </c>
      <c r="AZ1014" s="365"/>
      <c r="BA1014" s="377">
        <f t="shared" si="399"/>
        <v>0</v>
      </c>
      <c r="BB1014" s="377">
        <f t="shared" si="400"/>
        <v>0</v>
      </c>
      <c r="BC1014" s="377">
        <f t="shared" si="401"/>
        <v>0</v>
      </c>
      <c r="BD1014" s="377">
        <f t="shared" si="402"/>
        <v>0</v>
      </c>
      <c r="BE1014" s="377">
        <f t="shared" si="403"/>
        <v>0</v>
      </c>
      <c r="BF1014" s="377">
        <f t="shared" si="404"/>
        <v>0</v>
      </c>
      <c r="BG1014" s="328"/>
    </row>
    <row r="1015" spans="1:59">
      <c r="B1015" s="332">
        <v>1000</v>
      </c>
      <c r="C1015" s="350">
        <v>120546371.90568864</v>
      </c>
      <c r="D1015" s="350">
        <v>121535093.30505972</v>
      </c>
      <c r="E1015" s="350">
        <v>122482385.83387056</v>
      </c>
      <c r="F1015" s="350">
        <v>123431929.38995475</v>
      </c>
      <c r="G1015" s="350">
        <v>124386673.54470532</v>
      </c>
      <c r="H1015" s="348">
        <v>612382453.97927904</v>
      </c>
      <c r="I1015" s="369"/>
      <c r="J1015" s="350">
        <v>152475472.91516179</v>
      </c>
      <c r="K1015" s="350">
        <v>186045827.2640858</v>
      </c>
      <c r="L1015" s="350">
        <v>220067605.28854793</v>
      </c>
      <c r="M1015" s="350">
        <v>254597852.21771067</v>
      </c>
      <c r="N1015" s="350">
        <v>289645232.22892809</v>
      </c>
      <c r="O1015" s="348">
        <v>1102831989.9144344</v>
      </c>
      <c r="P1015" s="369"/>
      <c r="Q1015" s="350">
        <f t="shared" si="405"/>
        <v>31929101.009473145</v>
      </c>
      <c r="R1015" s="350">
        <f t="shared" si="406"/>
        <v>64510733.959026083</v>
      </c>
      <c r="S1015" s="350">
        <f t="shared" si="407"/>
        <v>97585219.454677373</v>
      </c>
      <c r="T1015" s="350">
        <f t="shared" si="408"/>
        <v>131165922.82775593</v>
      </c>
      <c r="U1015" s="350">
        <f t="shared" si="409"/>
        <v>165258558.68422276</v>
      </c>
      <c r="V1015" s="350">
        <f t="shared" si="410"/>
        <v>490449535.93515539</v>
      </c>
      <c r="W1015" s="365"/>
      <c r="X1015" s="377">
        <f t="shared" si="388"/>
        <v>0</v>
      </c>
      <c r="Y1015" s="377">
        <f t="shared" si="389"/>
        <v>0</v>
      </c>
      <c r="Z1015" s="377">
        <f t="shared" si="390"/>
        <v>0</v>
      </c>
      <c r="AA1015" s="377">
        <f t="shared" si="391"/>
        <v>0</v>
      </c>
      <c r="AB1015" s="377">
        <f t="shared" si="392"/>
        <v>0</v>
      </c>
      <c r="AC1015" s="377">
        <f t="shared" si="393"/>
        <v>0</v>
      </c>
      <c r="AD1015" s="376"/>
      <c r="AE1015" s="332">
        <v>1000</v>
      </c>
      <c r="AF1015" s="350">
        <v>136258892.00385779</v>
      </c>
      <c r="AG1015" s="350">
        <v>137376487.50050375</v>
      </c>
      <c r="AH1015" s="350">
        <v>138447254.11370617</v>
      </c>
      <c r="AI1015" s="350">
        <v>139520565.16252527</v>
      </c>
      <c r="AJ1015" s="350">
        <v>140599754.67787009</v>
      </c>
      <c r="AK1015" s="348">
        <v>692202953.45846295</v>
      </c>
      <c r="AL1015" s="369"/>
      <c r="AM1015" s="350">
        <v>172701919.26937389</v>
      </c>
      <c r="AN1015" s="350">
        <v>210993083.31556264</v>
      </c>
      <c r="AO1015" s="350">
        <v>249799725.27006772</v>
      </c>
      <c r="AP1015" s="350">
        <v>289186472.49458039</v>
      </c>
      <c r="AQ1015" s="350">
        <v>329163179.34554231</v>
      </c>
      <c r="AR1015" s="348">
        <v>1251844379.695127</v>
      </c>
      <c r="AS1015" s="369"/>
      <c r="AT1015" s="350">
        <f t="shared" si="411"/>
        <v>36443027.265516102</v>
      </c>
      <c r="AU1015" s="350">
        <f t="shared" si="394"/>
        <v>73616595.815058887</v>
      </c>
      <c r="AV1015" s="350">
        <f t="shared" si="395"/>
        <v>111352471.15636155</v>
      </c>
      <c r="AW1015" s="350">
        <f t="shared" si="396"/>
        <v>149665907.33205512</v>
      </c>
      <c r="AX1015" s="350">
        <f t="shared" si="397"/>
        <v>188563424.66767222</v>
      </c>
      <c r="AY1015" s="350">
        <f t="shared" si="398"/>
        <v>559641426.23666406</v>
      </c>
      <c r="AZ1015" s="365"/>
      <c r="BA1015" s="377">
        <f t="shared" si="399"/>
        <v>0</v>
      </c>
      <c r="BB1015" s="377">
        <f t="shared" si="400"/>
        <v>0</v>
      </c>
      <c r="BC1015" s="377">
        <f t="shared" si="401"/>
        <v>0</v>
      </c>
      <c r="BD1015" s="377">
        <f t="shared" si="402"/>
        <v>0</v>
      </c>
      <c r="BE1015" s="377">
        <f t="shared" si="403"/>
        <v>0</v>
      </c>
      <c r="BF1015" s="377">
        <f t="shared" si="404"/>
        <v>0</v>
      </c>
      <c r="BG1015" s="328"/>
    </row>
    <row r="1016" spans="1:59" s="328" customFormat="1">
      <c r="A1016" s="327"/>
      <c r="C1016" s="330"/>
      <c r="D1016" s="330"/>
      <c r="E1016" s="330"/>
      <c r="F1016" s="330"/>
      <c r="G1016" s="330"/>
      <c r="H1016" s="330"/>
      <c r="J1016" s="330"/>
      <c r="K1016" s="330"/>
      <c r="L1016" s="330"/>
      <c r="M1016" s="330"/>
      <c r="N1016" s="330"/>
      <c r="O1016" s="330"/>
      <c r="AF1016" s="330"/>
      <c r="AG1016" s="330"/>
      <c r="AH1016" s="330"/>
      <c r="AI1016" s="330"/>
      <c r="AJ1016" s="330"/>
      <c r="AK1016" s="330"/>
      <c r="AM1016" s="330"/>
      <c r="AN1016" s="330"/>
      <c r="AO1016" s="330"/>
      <c r="AP1016" s="330"/>
      <c r="AQ1016" s="330"/>
      <c r="AR1016" s="330"/>
    </row>
    <row r="1017" spans="1:59" s="328" customFormat="1">
      <c r="A1017" s="327"/>
      <c r="C1017" s="330"/>
      <c r="D1017" s="330"/>
      <c r="E1017" s="330"/>
      <c r="F1017" s="330"/>
      <c r="G1017" s="330"/>
      <c r="H1017" s="330"/>
      <c r="J1017" s="330"/>
      <c r="K1017" s="330"/>
      <c r="L1017" s="330"/>
      <c r="M1017" s="330"/>
      <c r="N1017" s="330"/>
      <c r="O1017" s="330"/>
      <c r="AF1017" s="330"/>
      <c r="AG1017" s="330"/>
      <c r="AH1017" s="330"/>
      <c r="AI1017" s="330"/>
      <c r="AJ1017" s="330"/>
      <c r="AK1017" s="330"/>
      <c r="AM1017" s="330"/>
      <c r="AN1017" s="330"/>
      <c r="AO1017" s="330"/>
      <c r="AP1017" s="330"/>
      <c r="AQ1017" s="330"/>
      <c r="AR1017" s="330"/>
    </row>
    <row r="1018" spans="1:59" s="329" customFormat="1">
      <c r="A1018" s="353"/>
      <c r="B1018" s="354"/>
      <c r="C1018" s="355"/>
      <c r="D1018" s="355"/>
      <c r="E1018" s="355"/>
      <c r="F1018" s="355"/>
      <c r="G1018" s="355"/>
      <c r="H1018" s="355"/>
      <c r="I1018" s="355"/>
      <c r="J1018" s="355"/>
      <c r="K1018" s="355"/>
      <c r="L1018" s="355"/>
      <c r="M1018" s="355"/>
      <c r="N1018" s="355"/>
      <c r="O1018" s="355"/>
    </row>
    <row r="1019" spans="1:59" s="329" customFormat="1">
      <c r="A1019" s="353"/>
      <c r="B1019" s="180"/>
      <c r="C1019" s="7"/>
      <c r="D1019" s="7"/>
      <c r="E1019" s="7"/>
      <c r="F1019" s="7"/>
      <c r="G1019" s="7"/>
      <c r="H1019" s="7"/>
      <c r="I1019" s="7"/>
      <c r="J1019" s="7"/>
      <c r="K1019" s="7"/>
      <c r="L1019" s="7"/>
      <c r="M1019" s="356"/>
      <c r="N1019" s="356"/>
      <c r="O1019" s="7"/>
    </row>
    <row r="1020" spans="1:59" s="329" customFormat="1">
      <c r="A1020" s="353"/>
      <c r="B1020" s="180"/>
      <c r="C1020" s="65"/>
      <c r="D1020" s="65"/>
      <c r="E1020" s="65"/>
      <c r="F1020" s="65"/>
      <c r="G1020" s="65"/>
      <c r="H1020" s="65"/>
      <c r="I1020" s="65"/>
      <c r="J1020" s="65"/>
      <c r="K1020" s="65"/>
      <c r="L1020" s="65"/>
      <c r="M1020" s="65"/>
      <c r="N1020" s="65"/>
      <c r="O1020" s="180"/>
    </row>
    <row r="1021" spans="1:59" s="329" customFormat="1">
      <c r="A1021" s="353"/>
      <c r="B1021" s="180"/>
      <c r="C1021" s="494" t="s">
        <v>77</v>
      </c>
      <c r="D1021" s="494"/>
      <c r="E1021" s="494"/>
      <c r="F1021" s="494"/>
      <c r="G1021" s="494"/>
      <c r="H1021" s="494"/>
      <c r="I1021" s="494"/>
      <c r="J1021" s="494"/>
      <c r="K1021" s="494"/>
      <c r="L1021" s="494"/>
      <c r="M1021" s="494"/>
      <c r="N1021" s="494"/>
      <c r="O1021" s="180"/>
    </row>
    <row r="1022" spans="1:59" s="329" customFormat="1">
      <c r="A1022" s="353"/>
      <c r="B1022" s="180"/>
      <c r="C1022" s="494"/>
      <c r="D1022" s="494"/>
      <c r="E1022" s="494"/>
      <c r="F1022" s="494"/>
      <c r="G1022" s="494"/>
      <c r="H1022" s="494"/>
      <c r="I1022" s="494"/>
      <c r="J1022" s="494"/>
      <c r="K1022" s="494"/>
      <c r="L1022" s="494"/>
      <c r="M1022" s="494"/>
      <c r="N1022" s="494"/>
      <c r="O1022" s="180"/>
    </row>
    <row r="1023" spans="1:59" s="329" customFormat="1" ht="81" customHeight="1">
      <c r="A1023" s="353"/>
      <c r="B1023" s="355"/>
      <c r="C1023" s="495" t="e" vm="1">
        <v>#VALUE!</v>
      </c>
      <c r="D1023" s="495"/>
      <c r="E1023" s="495"/>
      <c r="F1023" s="495"/>
      <c r="G1023" s="495"/>
      <c r="H1023" s="495"/>
      <c r="I1023" s="495"/>
      <c r="J1023" s="495"/>
      <c r="K1023" s="495"/>
      <c r="L1023" s="495"/>
      <c r="M1023" s="495"/>
      <c r="N1023" s="495"/>
      <c r="O1023" s="355"/>
    </row>
    <row r="1024" spans="1:59" s="329" customFormat="1">
      <c r="A1024" s="353"/>
      <c r="B1024" s="354"/>
      <c r="C1024" s="355"/>
      <c r="D1024" s="355"/>
      <c r="E1024" s="355"/>
      <c r="F1024" s="355"/>
      <c r="G1024" s="355"/>
      <c r="H1024" s="355"/>
      <c r="I1024" s="355"/>
      <c r="J1024" s="355"/>
      <c r="K1024" s="355"/>
      <c r="L1024" s="355"/>
      <c r="M1024" s="355"/>
      <c r="N1024" s="355"/>
      <c r="O1024" s="355"/>
    </row>
    <row r="1025" spans="1:30" s="329" customFormat="1">
      <c r="A1025" s="353"/>
      <c r="B1025" s="354"/>
      <c r="C1025" s="355"/>
      <c r="D1025" s="355"/>
      <c r="E1025" s="355"/>
      <c r="F1025" s="355"/>
      <c r="G1025" s="355"/>
      <c r="H1025" s="355"/>
      <c r="I1025" s="355"/>
      <c r="J1025" s="355"/>
      <c r="K1025" s="355"/>
      <c r="L1025" s="355"/>
      <c r="M1025" s="355"/>
      <c r="N1025" s="355"/>
      <c r="O1025" s="355"/>
    </row>
    <row r="1026" spans="1:30" s="329" customFormat="1" hidden="1">
      <c r="A1026" s="353"/>
      <c r="B1026" s="354"/>
      <c r="C1026" s="355"/>
      <c r="D1026" s="355"/>
      <c r="E1026" s="355"/>
      <c r="F1026" s="355"/>
      <c r="G1026" s="355"/>
      <c r="H1026" s="355"/>
      <c r="I1026" s="355"/>
      <c r="J1026" s="355"/>
      <c r="K1026" s="355"/>
      <c r="L1026" s="355"/>
      <c r="M1026" s="355"/>
      <c r="N1026" s="355"/>
      <c r="O1026" s="355"/>
      <c r="AD1026" s="328"/>
    </row>
    <row r="1027" spans="1:30" s="329" customFormat="1" hidden="1">
      <c r="A1027" s="353"/>
      <c r="B1027" s="354"/>
      <c r="C1027" s="355"/>
      <c r="D1027" s="355"/>
      <c r="E1027" s="355"/>
      <c r="F1027" s="355"/>
      <c r="G1027" s="355"/>
      <c r="H1027" s="355"/>
      <c r="I1027" s="355"/>
      <c r="J1027" s="355"/>
      <c r="K1027" s="355"/>
      <c r="L1027" s="355"/>
      <c r="M1027" s="355"/>
      <c r="N1027" s="355"/>
      <c r="O1027" s="355"/>
      <c r="AD1027" s="328"/>
    </row>
    <row r="1028" spans="1:30" s="329" customFormat="1" hidden="1">
      <c r="A1028" s="353"/>
      <c r="C1028" s="331"/>
      <c r="D1028" s="331"/>
      <c r="E1028" s="331"/>
      <c r="F1028" s="331"/>
      <c r="G1028" s="331"/>
      <c r="H1028" s="331"/>
      <c r="J1028" s="331"/>
      <c r="K1028" s="331"/>
      <c r="L1028" s="331"/>
      <c r="M1028" s="331"/>
      <c r="N1028" s="331"/>
      <c r="O1028" s="331"/>
      <c r="AD1028" s="328"/>
    </row>
    <row r="1029" spans="1:30" s="329" customFormat="1" hidden="1">
      <c r="A1029" s="353"/>
      <c r="C1029" s="331"/>
      <c r="D1029" s="331"/>
      <c r="E1029" s="331"/>
      <c r="F1029" s="331"/>
      <c r="G1029" s="331"/>
      <c r="H1029" s="331"/>
      <c r="J1029" s="331"/>
      <c r="K1029" s="331"/>
      <c r="L1029" s="331"/>
      <c r="M1029" s="331"/>
      <c r="N1029" s="331"/>
      <c r="O1029" s="331"/>
      <c r="AD1029" s="328"/>
    </row>
  </sheetData>
  <mergeCells count="8">
    <mergeCell ref="C1021:N1022"/>
    <mergeCell ref="C1023:N1023"/>
    <mergeCell ref="AF3:AK3"/>
    <mergeCell ref="AM3:AR3"/>
    <mergeCell ref="AT3:AY3"/>
    <mergeCell ref="C3:H3"/>
    <mergeCell ref="J3:O3"/>
    <mergeCell ref="Q3:V3"/>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9D00B-97E7-4A00-857B-37FBE786C7EB}">
  <sheetPr codeName="Planilha20">
    <tabColor rgb="FF726C5A"/>
  </sheetPr>
  <dimension ref="A1:Z77"/>
  <sheetViews>
    <sheetView showGridLines="0" showRowColHeaders="0" tabSelected="1" topLeftCell="A6" zoomScaleNormal="100" workbookViewId="0">
      <selection activeCell="L32" sqref="L32"/>
    </sheetView>
  </sheetViews>
  <sheetFormatPr defaultColWidth="8.77734375" defaultRowHeight="14.4"/>
  <cols>
    <col min="1" max="1" width="8.33203125" style="1" customWidth="1"/>
    <col min="2" max="2" width="31.6640625" style="1" customWidth="1"/>
    <col min="3" max="3" width="20.6640625" style="1" customWidth="1"/>
    <col min="4" max="7" width="18.109375" style="1" customWidth="1"/>
    <col min="8" max="8" width="25.6640625" style="1" customWidth="1"/>
    <col min="9" max="9" width="21.44140625" style="1" customWidth="1"/>
    <col min="10" max="21" width="8.77734375" style="1" customWidth="1"/>
    <col min="22" max="22" width="17.33203125" style="1" customWidth="1"/>
    <col min="23" max="23" width="21.77734375" style="1" customWidth="1"/>
    <col min="24" max="24" width="17.6640625" style="1" customWidth="1"/>
    <col min="25" max="44" width="8.77734375" style="1" customWidth="1"/>
    <col min="45" max="16384" width="8.77734375" style="1"/>
  </cols>
  <sheetData>
    <row r="1" spans="1:26" s="33" customFormat="1" ht="33.6">
      <c r="A1" s="36"/>
      <c r="B1" s="34" t="str">
        <f>Introduction!$B$1</f>
        <v>Budget impact analysis of treatments for Patients at high and very high cardiovascular risk</v>
      </c>
      <c r="C1" s="34"/>
      <c r="D1" s="35"/>
      <c r="E1" s="36"/>
      <c r="F1" s="36"/>
      <c r="G1" s="36"/>
      <c r="H1" s="36"/>
      <c r="I1" s="36"/>
      <c r="J1" s="36"/>
      <c r="K1" s="36"/>
      <c r="L1" s="36"/>
      <c r="M1" s="36"/>
      <c r="N1" s="36"/>
      <c r="O1" s="36"/>
      <c r="P1" s="36"/>
      <c r="Q1" s="36"/>
      <c r="R1" s="36"/>
      <c r="S1" s="36"/>
      <c r="T1" s="36"/>
      <c r="U1" s="36"/>
      <c r="V1" s="36"/>
      <c r="W1" s="36"/>
      <c r="X1" s="36"/>
      <c r="Y1" s="36"/>
      <c r="Z1" s="36"/>
    </row>
    <row r="2" spans="1:26" s="33" customFormat="1" ht="18">
      <c r="A2" s="36"/>
      <c r="B2" s="37"/>
      <c r="C2" s="37"/>
      <c r="D2" s="38"/>
      <c r="E2" s="39"/>
      <c r="F2" s="39"/>
      <c r="G2" s="39"/>
      <c r="H2" s="39"/>
      <c r="I2" s="39"/>
      <c r="J2" s="39"/>
      <c r="K2" s="39"/>
      <c r="L2" s="39"/>
      <c r="M2" s="36"/>
      <c r="N2" s="36"/>
      <c r="O2" s="36"/>
      <c r="P2" s="36"/>
      <c r="Q2" s="36"/>
      <c r="R2" s="36"/>
      <c r="S2" s="36"/>
      <c r="T2" s="36"/>
      <c r="U2" s="36"/>
      <c r="V2" s="36"/>
      <c r="W2" s="36"/>
      <c r="X2" s="36"/>
      <c r="Y2" s="36"/>
      <c r="Z2" s="36"/>
    </row>
    <row r="3" spans="1:26" s="45" customFormat="1" ht="2.25" customHeight="1">
      <c r="D3" s="46"/>
    </row>
    <row r="4" spans="1:26">
      <c r="A4" s="8"/>
      <c r="B4" s="8"/>
      <c r="C4" s="8"/>
      <c r="D4" s="8"/>
      <c r="E4" s="8"/>
      <c r="F4" s="8"/>
      <c r="G4" s="8"/>
      <c r="H4" s="8"/>
      <c r="I4" s="8"/>
      <c r="J4" s="8"/>
      <c r="K4" s="8"/>
      <c r="L4" s="8"/>
      <c r="M4" s="8"/>
      <c r="N4" s="8"/>
      <c r="O4" s="8"/>
      <c r="P4" s="8"/>
      <c r="Q4" s="8"/>
      <c r="R4" s="8"/>
      <c r="S4" s="8"/>
      <c r="T4" s="8"/>
      <c r="U4" s="8"/>
      <c r="V4" s="8"/>
      <c r="W4" s="8"/>
      <c r="X4" s="8"/>
      <c r="Y4" s="8"/>
      <c r="Z4" s="8"/>
    </row>
    <row r="5" spans="1:26" s="40" customFormat="1" ht="18">
      <c r="A5" s="31"/>
      <c r="B5" s="47" t="s">
        <v>312</v>
      </c>
      <c r="D5" s="41"/>
      <c r="F5" s="272"/>
    </row>
    <row r="6" spans="1:26" s="40" customFormat="1" ht="15" customHeight="1">
      <c r="A6" s="31"/>
      <c r="B6" s="31"/>
      <c r="D6" s="31"/>
      <c r="E6" s="31"/>
      <c r="F6" s="272"/>
    </row>
    <row r="7" spans="1:26">
      <c r="A7" s="8"/>
      <c r="B7" s="58"/>
      <c r="C7" s="58"/>
      <c r="D7" s="273"/>
      <c r="E7" s="58"/>
      <c r="F7" s="58"/>
      <c r="G7" s="58"/>
      <c r="H7" s="58"/>
      <c r="I7" s="58"/>
      <c r="J7" s="8"/>
      <c r="K7" s="8"/>
      <c r="L7" s="8"/>
      <c r="M7" s="8"/>
      <c r="N7" s="8"/>
      <c r="O7" s="8"/>
      <c r="P7" s="8"/>
      <c r="Q7" s="8"/>
      <c r="R7" s="8"/>
      <c r="S7" s="8"/>
      <c r="T7" s="8"/>
      <c r="U7" s="8"/>
      <c r="V7" s="8"/>
      <c r="W7" s="8"/>
      <c r="X7" s="8"/>
      <c r="Y7" s="8"/>
      <c r="Z7" s="8"/>
    </row>
    <row r="8" spans="1:26" ht="18">
      <c r="A8" s="8"/>
      <c r="B8" s="57" t="str">
        <f>'Mkt share'!B39</f>
        <v>Alternative scenario 1:</v>
      </c>
      <c r="C8" s="47" t="str">
        <f>cen_prop1</f>
        <v>all options</v>
      </c>
      <c r="D8" s="47"/>
      <c r="E8" s="47"/>
      <c r="F8" s="47"/>
      <c r="G8" s="47"/>
      <c r="H8" s="47"/>
      <c r="I8" s="47"/>
      <c r="J8" s="8"/>
      <c r="K8" s="8"/>
      <c r="L8" s="8"/>
      <c r="M8" s="8"/>
      <c r="N8" s="8"/>
      <c r="O8" s="8"/>
      <c r="P8" s="8"/>
      <c r="Q8" s="8"/>
      <c r="R8" s="8"/>
      <c r="S8" s="8"/>
      <c r="T8" s="8"/>
      <c r="U8" s="8"/>
      <c r="V8" s="8"/>
      <c r="W8" s="8"/>
      <c r="X8" s="8"/>
      <c r="Y8" s="8"/>
      <c r="Z8" s="8"/>
    </row>
    <row r="9" spans="1:26">
      <c r="A9" s="8"/>
      <c r="B9" s="8"/>
      <c r="C9" s="8"/>
      <c r="D9" s="8"/>
      <c r="E9" s="8"/>
      <c r="F9" s="8"/>
      <c r="G9" s="8"/>
      <c r="H9" s="8"/>
      <c r="I9" s="8"/>
      <c r="J9" s="8"/>
      <c r="K9" s="8"/>
      <c r="L9" s="8"/>
      <c r="M9" s="8"/>
      <c r="N9" s="8"/>
      <c r="O9" s="8"/>
      <c r="P9" s="8"/>
      <c r="Q9" s="8"/>
      <c r="R9" s="8"/>
      <c r="S9" s="8"/>
      <c r="T9" s="8"/>
      <c r="U9" s="8"/>
      <c r="V9" s="8"/>
      <c r="W9" s="8"/>
      <c r="X9" s="8"/>
      <c r="Y9" s="8"/>
      <c r="Z9" s="8"/>
    </row>
    <row r="10" spans="1:26" ht="14.55" customHeight="1">
      <c r="A10" s="8"/>
      <c r="B10" s="8"/>
      <c r="C10" s="8"/>
      <c r="D10" s="8"/>
      <c r="E10" s="8"/>
      <c r="F10" s="8"/>
      <c r="G10" s="8"/>
      <c r="H10" s="8"/>
      <c r="I10" s="8"/>
      <c r="J10" s="8"/>
      <c r="K10" s="8"/>
      <c r="L10" s="8"/>
      <c r="M10" s="8"/>
      <c r="N10" s="8"/>
      <c r="O10" s="8"/>
      <c r="P10" s="8"/>
      <c r="Q10" s="8"/>
      <c r="R10" s="8"/>
      <c r="S10" s="8"/>
      <c r="T10" s="493"/>
      <c r="U10" s="493"/>
      <c r="V10" s="493"/>
      <c r="W10" s="493"/>
      <c r="X10" s="8"/>
      <c r="Y10" s="8"/>
      <c r="Z10" s="8"/>
    </row>
    <row r="11" spans="1:26">
      <c r="A11" s="8"/>
      <c r="B11" s="8"/>
      <c r="C11" s="8"/>
      <c r="D11" s="8"/>
      <c r="E11" s="8"/>
      <c r="F11" s="8"/>
      <c r="G11" s="8"/>
      <c r="H11" s="8"/>
      <c r="I11" s="8"/>
      <c r="J11" s="8"/>
      <c r="K11" s="8"/>
      <c r="L11" s="8"/>
      <c r="M11" s="8"/>
      <c r="N11" s="8"/>
      <c r="O11" s="8"/>
      <c r="P11" s="8"/>
      <c r="Q11" s="8"/>
      <c r="R11" s="8"/>
      <c r="S11" s="8"/>
      <c r="T11" s="493"/>
      <c r="U11" s="493"/>
      <c r="V11" s="493"/>
      <c r="W11" s="493"/>
      <c r="X11" s="8"/>
      <c r="Y11" s="8"/>
      <c r="Z11" s="8"/>
    </row>
    <row r="12" spans="1:26">
      <c r="A12" s="8"/>
      <c r="B12" s="8"/>
      <c r="C12" s="8"/>
      <c r="D12" s="8"/>
      <c r="E12" s="8"/>
      <c r="F12" s="8"/>
      <c r="G12" s="8"/>
      <c r="H12" s="8"/>
      <c r="I12" s="8"/>
      <c r="J12" s="8"/>
      <c r="K12" s="8"/>
      <c r="L12" s="8"/>
      <c r="M12" s="8"/>
      <c r="N12" s="8"/>
      <c r="O12" s="8"/>
      <c r="P12" s="8"/>
      <c r="Q12" s="8"/>
      <c r="R12" s="8"/>
      <c r="S12" s="8"/>
      <c r="T12" s="493"/>
      <c r="U12" s="493"/>
      <c r="V12" s="493"/>
      <c r="W12" s="493"/>
      <c r="X12" s="8"/>
      <c r="Y12" s="8"/>
      <c r="Z12" s="8"/>
    </row>
    <row r="13" spans="1:26">
      <c r="A13" s="8"/>
      <c r="B13" s="8"/>
      <c r="C13" s="8"/>
      <c r="D13" s="8"/>
      <c r="E13" s="8"/>
      <c r="F13" s="8"/>
      <c r="G13" s="8"/>
      <c r="H13" s="8"/>
      <c r="I13" s="8"/>
      <c r="J13" s="8"/>
      <c r="K13" s="8"/>
      <c r="L13" s="8"/>
      <c r="M13" s="8"/>
      <c r="N13" s="8"/>
      <c r="O13" s="8"/>
      <c r="P13" s="8"/>
      <c r="Q13" s="8"/>
      <c r="R13" s="8"/>
      <c r="S13" s="8"/>
      <c r="T13" s="8"/>
      <c r="U13" s="8"/>
      <c r="V13" s="8"/>
      <c r="W13" s="8"/>
      <c r="X13" s="8"/>
      <c r="Y13" s="8"/>
      <c r="Z13" s="8"/>
    </row>
    <row r="14" spans="1:26">
      <c r="A14" s="8"/>
      <c r="B14" s="8"/>
      <c r="C14" s="8"/>
      <c r="D14" s="8"/>
      <c r="E14" s="8"/>
      <c r="F14" s="8"/>
      <c r="G14" s="8"/>
      <c r="H14" s="8"/>
      <c r="I14" s="8"/>
      <c r="J14" s="8"/>
      <c r="K14" s="8"/>
      <c r="L14" s="8"/>
      <c r="M14" s="8"/>
      <c r="N14" s="8"/>
      <c r="O14" s="8"/>
      <c r="P14" s="8"/>
      <c r="Q14" s="8"/>
      <c r="R14" s="8"/>
      <c r="S14" s="8"/>
      <c r="T14" s="8"/>
      <c r="U14" s="8"/>
      <c r="V14" s="8"/>
      <c r="W14" s="8"/>
      <c r="X14" s="8"/>
      <c r="Y14" s="8"/>
      <c r="Z14" s="8"/>
    </row>
    <row r="15" spans="1:26">
      <c r="A15" s="8"/>
      <c r="B15" s="8"/>
      <c r="C15" s="8"/>
      <c r="D15" s="8"/>
      <c r="E15" s="8"/>
      <c r="F15" s="8"/>
      <c r="G15" s="8"/>
      <c r="H15" s="8"/>
      <c r="I15" s="8"/>
      <c r="J15" s="8"/>
      <c r="K15" s="8"/>
      <c r="L15" s="8"/>
      <c r="M15" s="8"/>
      <c r="N15" s="8"/>
      <c r="O15" s="8"/>
      <c r="P15" s="8"/>
      <c r="Q15" s="8"/>
      <c r="R15" s="8"/>
      <c r="S15" s="8"/>
      <c r="T15" s="8"/>
      <c r="U15" s="8"/>
      <c r="V15" s="8"/>
      <c r="W15" s="8"/>
      <c r="X15" s="8"/>
      <c r="Y15" s="8"/>
      <c r="Z15" s="8"/>
    </row>
    <row r="18" spans="8:23">
      <c r="H18" s="8"/>
      <c r="I18" s="8"/>
      <c r="J18" s="8"/>
      <c r="K18" s="8"/>
      <c r="L18" s="8"/>
      <c r="M18" s="8"/>
      <c r="N18" s="8"/>
      <c r="O18" s="8"/>
      <c r="P18" s="8"/>
      <c r="Q18" s="8"/>
      <c r="R18" s="8"/>
      <c r="S18" s="8"/>
      <c r="T18" s="8"/>
      <c r="U18" s="8"/>
      <c r="V18" s="8"/>
      <c r="W18" s="8"/>
    </row>
    <row r="19" spans="8:23">
      <c r="H19" s="8"/>
      <c r="I19" s="119"/>
      <c r="J19" s="8"/>
      <c r="K19" s="8"/>
      <c r="L19" s="8"/>
      <c r="M19" s="8"/>
      <c r="N19" s="8"/>
      <c r="O19" s="8"/>
      <c r="P19" s="8"/>
      <c r="Q19" s="8"/>
      <c r="R19" s="8"/>
      <c r="S19" s="8"/>
      <c r="T19" s="8"/>
      <c r="U19" s="8"/>
      <c r="V19" s="8"/>
      <c r="W19" s="8"/>
    </row>
    <row r="20" spans="8:23">
      <c r="H20" s="52" t="s">
        <v>311</v>
      </c>
      <c r="I20" s="317">
        <f ca="1">Results!I24</f>
        <v>511004574.00527775</v>
      </c>
      <c r="J20" s="8"/>
      <c r="K20" s="8"/>
      <c r="L20" s="8"/>
      <c r="M20" s="8"/>
      <c r="N20" s="8"/>
      <c r="O20" s="8"/>
      <c r="P20" s="8"/>
      <c r="Q20" s="8"/>
      <c r="R20" s="8"/>
      <c r="S20" s="8"/>
      <c r="T20" s="8"/>
      <c r="U20" s="8"/>
      <c r="V20" s="8"/>
      <c r="W20" s="8"/>
    </row>
    <row r="21" spans="8:23">
      <c r="H21" s="52" t="s">
        <v>309</v>
      </c>
      <c r="I21" s="317">
        <f>MIN(DSA!C70:D129)*0.8</f>
        <v>356035234.35145181</v>
      </c>
      <c r="J21" s="8"/>
      <c r="K21" s="8"/>
      <c r="L21" s="8"/>
      <c r="M21" s="8"/>
      <c r="N21" s="8"/>
      <c r="O21" s="8"/>
      <c r="P21" s="8"/>
      <c r="Q21" s="8"/>
      <c r="R21" s="8"/>
      <c r="S21" s="8"/>
      <c r="T21" s="8"/>
      <c r="U21" s="8"/>
      <c r="V21" s="8"/>
      <c r="W21" s="8"/>
    </row>
    <row r="22" spans="8:23">
      <c r="H22" s="52" t="s">
        <v>310</v>
      </c>
      <c r="I22" s="317">
        <f>MAX(DSA!C70:D129)*1.2</f>
        <v>701001230.15620172</v>
      </c>
      <c r="J22" s="8"/>
      <c r="K22" s="8"/>
      <c r="L22" s="8"/>
      <c r="M22" s="8"/>
      <c r="N22" s="8"/>
      <c r="O22" s="8"/>
      <c r="P22" s="8"/>
      <c r="Q22" s="8"/>
      <c r="R22" s="8"/>
      <c r="S22" s="8"/>
      <c r="T22" s="8"/>
      <c r="U22" s="8"/>
      <c r="V22" s="8"/>
      <c r="W22" s="8"/>
    </row>
    <row r="39" spans="2:24">
      <c r="B39" s="8"/>
      <c r="C39" s="8"/>
      <c r="D39" s="272"/>
      <c r="E39" s="8"/>
      <c r="F39" s="8"/>
      <c r="G39" s="8"/>
      <c r="H39" s="8"/>
      <c r="I39" s="8"/>
      <c r="J39" s="8"/>
      <c r="K39" s="8"/>
      <c r="L39" s="8"/>
      <c r="M39" s="8"/>
      <c r="N39" s="8"/>
      <c r="O39" s="8"/>
      <c r="P39" s="8"/>
      <c r="Q39" s="8"/>
      <c r="R39" s="8"/>
      <c r="S39" s="8"/>
      <c r="T39" s="8"/>
      <c r="U39" s="8"/>
      <c r="V39" s="8"/>
      <c r="W39" s="8"/>
      <c r="X39" s="8"/>
    </row>
    <row r="40" spans="2:24">
      <c r="B40" s="58"/>
      <c r="C40" s="58"/>
      <c r="D40" s="273"/>
      <c r="E40" s="58"/>
      <c r="F40" s="58"/>
      <c r="G40" s="58"/>
      <c r="H40" s="58"/>
      <c r="I40" s="58"/>
      <c r="J40" s="8"/>
      <c r="K40" s="8"/>
      <c r="L40" s="8"/>
      <c r="M40" s="8"/>
      <c r="N40" s="8"/>
      <c r="O40" s="8"/>
      <c r="P40" s="8"/>
      <c r="Q40" s="8"/>
      <c r="R40" s="8"/>
      <c r="S40" s="8"/>
      <c r="T40" s="8"/>
      <c r="U40" s="8"/>
      <c r="V40" s="8"/>
      <c r="W40" s="8"/>
      <c r="X40" s="8"/>
    </row>
    <row r="41" spans="2:24" ht="18">
      <c r="B41" s="57" t="str">
        <f>'Mkt share'!B59</f>
        <v>Alternative scenario 2:</v>
      </c>
      <c r="C41" s="47" t="str">
        <f>cen_prop2</f>
        <v>high intensity only</v>
      </c>
      <c r="D41" s="47"/>
      <c r="E41" s="47"/>
      <c r="F41" s="47"/>
      <c r="G41" s="47"/>
      <c r="H41" s="47"/>
      <c r="I41" s="47"/>
      <c r="J41" s="8"/>
      <c r="K41" s="8"/>
      <c r="L41" s="8"/>
      <c r="M41" s="8"/>
      <c r="N41" s="8"/>
      <c r="O41" s="8"/>
      <c r="P41" s="8"/>
      <c r="Q41" s="8"/>
      <c r="R41" s="8"/>
      <c r="S41" s="8"/>
      <c r="T41" s="8"/>
      <c r="U41" s="8"/>
      <c r="V41" s="8"/>
      <c r="W41" s="8"/>
      <c r="X41" s="8"/>
    </row>
    <row r="42" spans="2:24">
      <c r="B42" s="8"/>
      <c r="C42" s="8"/>
      <c r="D42" s="8"/>
      <c r="E42" s="8"/>
      <c r="F42" s="8"/>
      <c r="G42" s="8"/>
      <c r="H42" s="8"/>
      <c r="I42" s="8"/>
      <c r="J42" s="8"/>
      <c r="K42" s="8"/>
      <c r="L42" s="8"/>
      <c r="M42" s="8"/>
      <c r="N42" s="8"/>
      <c r="O42" s="8"/>
      <c r="P42" s="8"/>
      <c r="Q42" s="8"/>
      <c r="R42" s="8"/>
      <c r="S42" s="8"/>
      <c r="T42" s="8"/>
      <c r="U42" s="8"/>
      <c r="V42" s="8"/>
      <c r="W42" s="8"/>
      <c r="X42" s="8"/>
    </row>
    <row r="43" spans="2:24" ht="14.55" customHeight="1">
      <c r="B43" s="8"/>
      <c r="C43" s="8"/>
      <c r="D43" s="8"/>
      <c r="E43" s="8"/>
      <c r="F43" s="8"/>
      <c r="G43" s="8"/>
      <c r="H43" s="8"/>
      <c r="I43" s="8"/>
      <c r="J43" s="8"/>
      <c r="K43" s="8"/>
      <c r="L43" s="8"/>
      <c r="M43" s="8"/>
      <c r="N43" s="8"/>
      <c r="O43" s="8"/>
      <c r="P43" s="8"/>
      <c r="Q43" s="8"/>
      <c r="R43" s="8"/>
      <c r="S43" s="8"/>
      <c r="T43" s="493"/>
      <c r="U43" s="493"/>
      <c r="V43" s="493"/>
      <c r="W43" s="493"/>
      <c r="X43" s="8"/>
    </row>
    <row r="44" spans="2:24">
      <c r="B44" s="8"/>
      <c r="C44" s="8"/>
      <c r="D44" s="8"/>
      <c r="E44" s="8"/>
      <c r="F44" s="8"/>
      <c r="G44" s="8"/>
      <c r="H44" s="8"/>
      <c r="I44" s="8"/>
      <c r="J44" s="8"/>
      <c r="K44" s="8"/>
      <c r="L44" s="8"/>
      <c r="M44" s="8"/>
      <c r="N44" s="8"/>
      <c r="O44" s="8"/>
      <c r="P44" s="8"/>
      <c r="Q44" s="8"/>
      <c r="R44" s="8"/>
      <c r="S44" s="8"/>
      <c r="T44" s="493"/>
      <c r="U44" s="493"/>
      <c r="V44" s="493"/>
      <c r="W44" s="493"/>
      <c r="X44" s="8"/>
    </row>
    <row r="45" spans="2:24">
      <c r="B45" s="8"/>
      <c r="C45" s="8"/>
      <c r="D45" s="8"/>
      <c r="E45" s="8"/>
      <c r="F45" s="8"/>
      <c r="G45" s="8"/>
      <c r="H45" s="8"/>
      <c r="I45" s="8"/>
      <c r="J45" s="8"/>
      <c r="K45" s="8"/>
      <c r="L45" s="8"/>
      <c r="M45" s="8"/>
      <c r="N45" s="8"/>
      <c r="O45" s="8"/>
      <c r="P45" s="8"/>
      <c r="Q45" s="8"/>
      <c r="R45" s="8"/>
      <c r="S45" s="8"/>
      <c r="T45" s="493"/>
      <c r="U45" s="493"/>
      <c r="V45" s="493"/>
      <c r="W45" s="493"/>
      <c r="X45" s="8"/>
    </row>
    <row r="46" spans="2:24">
      <c r="B46" s="8"/>
      <c r="C46" s="8"/>
      <c r="D46" s="8"/>
      <c r="E46" s="8"/>
      <c r="F46" s="8"/>
      <c r="G46" s="8"/>
      <c r="H46" s="8"/>
      <c r="I46" s="8"/>
      <c r="J46" s="8"/>
      <c r="K46" s="8"/>
      <c r="L46" s="8"/>
      <c r="M46" s="8"/>
      <c r="N46" s="8"/>
      <c r="O46" s="8"/>
      <c r="P46" s="8"/>
      <c r="Q46" s="8"/>
      <c r="R46" s="8"/>
      <c r="S46" s="8"/>
      <c r="T46" s="8"/>
      <c r="U46" s="8"/>
      <c r="V46" s="8"/>
      <c r="W46" s="8"/>
      <c r="X46" s="8"/>
    </row>
    <row r="47" spans="2:24">
      <c r="B47" s="8"/>
      <c r="C47" s="8"/>
      <c r="D47" s="8"/>
      <c r="E47" s="8"/>
      <c r="F47" s="8"/>
      <c r="G47" s="8"/>
      <c r="H47" s="8"/>
      <c r="I47" s="8"/>
      <c r="J47" s="8"/>
      <c r="K47" s="8"/>
      <c r="L47" s="8"/>
      <c r="M47" s="8"/>
      <c r="N47" s="8"/>
      <c r="O47" s="8"/>
      <c r="P47" s="8"/>
      <c r="Q47" s="8"/>
      <c r="R47" s="8"/>
      <c r="S47" s="8"/>
      <c r="T47" s="8"/>
      <c r="U47" s="8"/>
      <c r="V47" s="8"/>
      <c r="W47" s="8"/>
      <c r="X47" s="8"/>
    </row>
    <row r="48" spans="2:24">
      <c r="B48" s="8"/>
      <c r="C48" s="8"/>
      <c r="D48" s="8"/>
      <c r="E48" s="8"/>
      <c r="F48" s="8"/>
      <c r="G48" s="8"/>
      <c r="H48" s="8"/>
      <c r="I48" s="8"/>
      <c r="J48" s="8"/>
      <c r="K48" s="8"/>
      <c r="L48" s="8"/>
      <c r="M48" s="8"/>
      <c r="N48" s="8"/>
      <c r="O48" s="8"/>
      <c r="P48" s="8"/>
      <c r="Q48" s="8"/>
      <c r="R48" s="8"/>
      <c r="S48" s="8"/>
      <c r="T48" s="8"/>
      <c r="U48" s="8"/>
      <c r="V48" s="8"/>
      <c r="W48" s="8"/>
      <c r="X48" s="8"/>
    </row>
    <row r="50" spans="8:23">
      <c r="H50" s="52" t="s">
        <v>311</v>
      </c>
      <c r="I50" s="317">
        <f ca="1">Results!I33</f>
        <v>511004574.00527775</v>
      </c>
      <c r="J50" s="8"/>
      <c r="K50" s="8"/>
      <c r="L50" s="8"/>
      <c r="M50" s="8"/>
      <c r="N50" s="8"/>
      <c r="O50" s="8"/>
      <c r="P50" s="8"/>
      <c r="Q50" s="8"/>
      <c r="R50" s="8"/>
      <c r="S50" s="8"/>
      <c r="T50" s="8"/>
      <c r="U50" s="8"/>
      <c r="V50" s="8"/>
      <c r="W50" s="8"/>
    </row>
    <row r="51" spans="8:23">
      <c r="H51" s="52" t="s">
        <v>309</v>
      </c>
      <c r="I51" s="317">
        <f>MIN(DSA!I70:J123)*0.8</f>
        <v>356035234.35145181</v>
      </c>
      <c r="J51" s="8"/>
      <c r="K51" s="8"/>
      <c r="L51" s="8"/>
      <c r="M51" s="8"/>
      <c r="N51" s="8"/>
      <c r="O51" s="8"/>
      <c r="P51" s="8"/>
      <c r="Q51" s="8"/>
      <c r="R51" s="8"/>
      <c r="S51" s="8"/>
      <c r="T51" s="8"/>
      <c r="U51" s="8"/>
      <c r="V51" s="8"/>
      <c r="W51" s="8"/>
    </row>
    <row r="52" spans="8:23">
      <c r="H52" s="52" t="s">
        <v>310</v>
      </c>
      <c r="I52" s="317">
        <f>MAX(DSA!I70:J123)*1.2</f>
        <v>701001230.15620172</v>
      </c>
      <c r="J52" s="8"/>
      <c r="K52" s="8"/>
      <c r="L52" s="8"/>
      <c r="M52" s="8"/>
      <c r="N52" s="8"/>
      <c r="O52" s="8"/>
      <c r="P52" s="8"/>
      <c r="Q52" s="8"/>
      <c r="R52" s="8"/>
      <c r="S52" s="8"/>
      <c r="T52" s="8"/>
      <c r="U52" s="8"/>
      <c r="V52" s="8"/>
      <c r="W52" s="8"/>
    </row>
    <row r="53" spans="8:23">
      <c r="H53" s="8"/>
      <c r="I53" s="8"/>
      <c r="J53" s="8"/>
      <c r="K53" s="8"/>
      <c r="L53" s="8"/>
      <c r="M53" s="8"/>
      <c r="N53" s="8"/>
      <c r="O53" s="8"/>
      <c r="P53" s="8"/>
      <c r="Q53" s="8"/>
      <c r="R53" s="8"/>
      <c r="S53" s="8"/>
      <c r="T53" s="8"/>
      <c r="U53" s="8"/>
      <c r="V53" s="8"/>
      <c r="W53" s="8"/>
    </row>
    <row r="54" spans="8:23">
      <c r="H54" s="8"/>
      <c r="I54" s="8"/>
      <c r="J54" s="8"/>
      <c r="K54" s="8"/>
      <c r="L54" s="8"/>
      <c r="M54" s="8"/>
      <c r="N54" s="8"/>
      <c r="O54" s="8"/>
      <c r="P54" s="8"/>
      <c r="Q54" s="8"/>
      <c r="R54" s="8"/>
      <c r="S54" s="8"/>
      <c r="T54" s="8"/>
      <c r="U54" s="8"/>
      <c r="V54" s="8"/>
      <c r="W54" s="8"/>
    </row>
    <row r="72" spans="2:24">
      <c r="B72" s="8"/>
      <c r="C72" s="8"/>
      <c r="D72" s="272"/>
      <c r="E72" s="8"/>
      <c r="F72" s="8"/>
      <c r="G72" s="8"/>
      <c r="H72" s="8"/>
      <c r="I72" s="8"/>
      <c r="J72" s="8"/>
      <c r="K72" s="8"/>
      <c r="L72" s="8"/>
      <c r="M72" s="8"/>
      <c r="N72" s="8"/>
      <c r="O72" s="8"/>
      <c r="P72" s="8"/>
      <c r="Q72" s="8"/>
      <c r="R72" s="8"/>
      <c r="S72" s="8"/>
      <c r="T72" s="8"/>
      <c r="U72" s="8"/>
      <c r="V72" s="8"/>
      <c r="W72" s="8"/>
      <c r="X72" s="8"/>
    </row>
    <row r="73" spans="2:24" s="3" customFormat="1" ht="13.95" customHeight="1">
      <c r="B73" s="7"/>
      <c r="C73" s="7"/>
      <c r="D73" s="7"/>
      <c r="E73" s="7"/>
      <c r="F73" s="7"/>
      <c r="G73" s="7"/>
      <c r="H73" s="7"/>
      <c r="I73" s="7"/>
      <c r="J73" s="7"/>
      <c r="K73" s="7"/>
      <c r="L73" s="142"/>
      <c r="M73" s="142"/>
      <c r="N73" s="9"/>
      <c r="O73" s="9"/>
      <c r="P73" s="9"/>
      <c r="Q73" s="9"/>
      <c r="R73" s="9"/>
      <c r="S73" s="9"/>
      <c r="T73" s="9"/>
      <c r="U73" s="9"/>
      <c r="V73" s="9"/>
      <c r="W73" s="9"/>
      <c r="X73" s="9"/>
    </row>
    <row r="74" spans="2:24" s="3" customFormat="1">
      <c r="B74" s="65"/>
      <c r="C74" s="65"/>
      <c r="D74" s="65"/>
      <c r="E74" s="65"/>
      <c r="F74" s="65"/>
      <c r="G74" s="65"/>
      <c r="H74" s="65"/>
      <c r="I74" s="65"/>
      <c r="J74" s="65"/>
      <c r="K74" s="65"/>
      <c r="L74" s="65"/>
      <c r="M74" s="65"/>
    </row>
    <row r="75" spans="2:24" s="3" customFormat="1">
      <c r="B75" s="406" t="s">
        <v>77</v>
      </c>
      <c r="C75" s="406"/>
      <c r="D75" s="406"/>
      <c r="E75" s="406"/>
      <c r="F75" s="406"/>
      <c r="G75" s="406"/>
      <c r="H75" s="406"/>
      <c r="I75" s="406"/>
      <c r="J75" s="406"/>
      <c r="K75" s="406"/>
      <c r="L75" s="406"/>
      <c r="M75" s="406"/>
    </row>
    <row r="76" spans="2:24" s="3" customFormat="1">
      <c r="B76" s="406"/>
      <c r="C76" s="406"/>
      <c r="D76" s="406"/>
      <c r="E76" s="406"/>
      <c r="F76" s="406"/>
      <c r="G76" s="406"/>
      <c r="H76" s="406"/>
      <c r="I76" s="406"/>
      <c r="J76" s="406"/>
      <c r="K76" s="406"/>
      <c r="L76" s="406"/>
      <c r="M76" s="406"/>
    </row>
    <row r="77" spans="2:24" ht="85.95" customHeight="1">
      <c r="B77" s="405" t="e" vm="1">
        <v>#VALUE!</v>
      </c>
      <c r="C77" s="405"/>
      <c r="D77" s="405"/>
      <c r="E77" s="405"/>
      <c r="F77" s="405"/>
      <c r="G77" s="405"/>
      <c r="H77" s="405"/>
      <c r="I77" s="405"/>
      <c r="J77" s="405"/>
      <c r="K77" s="405"/>
      <c r="L77" s="405"/>
      <c r="M77" s="405"/>
    </row>
  </sheetData>
  <sheetProtection sort="0" autoFilter="0" pivotTables="0"/>
  <mergeCells count="4">
    <mergeCell ref="B77:M77"/>
    <mergeCell ref="T10:W12"/>
    <mergeCell ref="T43:W45"/>
    <mergeCell ref="B75:M76"/>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C-6543-465E-B7EE-32F91E4B6F12}">
  <sheetPr codeName="Planilha2">
    <tabColor rgb="FFDDCFAD"/>
  </sheetPr>
  <dimension ref="B1:AX170"/>
  <sheetViews>
    <sheetView showGridLines="0" showRowColHeaders="0" zoomScaleNormal="100" workbookViewId="0">
      <selection activeCell="S18" sqref="S18"/>
    </sheetView>
  </sheetViews>
  <sheetFormatPr defaultColWidth="8.77734375" defaultRowHeight="14.4"/>
  <cols>
    <col min="2" max="2" width="15" customWidth="1"/>
    <col min="3" max="16" width="13.44140625" customWidth="1"/>
    <col min="18" max="18" width="15.33203125" customWidth="1"/>
    <col min="19" max="32" width="13.44140625" customWidth="1"/>
    <col min="36" max="36" width="11.77734375" customWidth="1"/>
    <col min="37" max="50" width="18.33203125" customWidth="1"/>
  </cols>
  <sheetData>
    <row r="1" spans="2:50" s="130" customFormat="1" ht="33.6">
      <c r="B1" s="128" t="str">
        <f>Introduction!$B$1</f>
        <v>Budget impact analysis of treatments for Patients at high and very high cardiovascular risk</v>
      </c>
      <c r="C1" s="128"/>
      <c r="D1" s="129"/>
      <c r="E1" s="127"/>
      <c r="F1" s="127"/>
      <c r="G1" s="127"/>
      <c r="H1" s="127"/>
      <c r="I1" s="127"/>
      <c r="J1" s="127"/>
      <c r="K1" s="127"/>
      <c r="L1" s="127"/>
      <c r="M1" s="217"/>
      <c r="N1" s="217"/>
      <c r="O1" s="127"/>
      <c r="P1" s="127"/>
      <c r="Q1" s="127"/>
      <c r="R1" s="127"/>
      <c r="S1" s="127"/>
      <c r="T1" s="127"/>
      <c r="U1" s="127"/>
      <c r="V1" s="127"/>
      <c r="W1" s="127"/>
      <c r="X1" s="127"/>
      <c r="Y1" s="127"/>
      <c r="Z1" s="127"/>
      <c r="AA1" s="127"/>
      <c r="AB1" s="127"/>
      <c r="AC1" s="127"/>
      <c r="AD1" s="127"/>
      <c r="AE1" s="127"/>
      <c r="AF1" s="127"/>
      <c r="AG1" s="127"/>
      <c r="AH1" s="127"/>
      <c r="AI1" s="127"/>
      <c r="AJ1" s="127"/>
      <c r="AK1" s="127"/>
      <c r="AL1" s="129"/>
      <c r="AM1" s="129"/>
      <c r="AN1" s="129"/>
      <c r="AO1" s="129"/>
      <c r="AP1" s="129"/>
      <c r="AQ1" s="127"/>
      <c r="AR1" s="127"/>
      <c r="AS1" s="129"/>
      <c r="AT1" s="129"/>
      <c r="AU1" s="129"/>
      <c r="AV1" s="129"/>
      <c r="AW1" s="129"/>
      <c r="AX1" s="129"/>
    </row>
    <row r="2" spans="2:50" s="130" customFormat="1" ht="18">
      <c r="B2" s="131"/>
      <c r="C2" s="131"/>
      <c r="D2" s="132"/>
      <c r="E2" s="133"/>
      <c r="F2" s="133"/>
      <c r="G2" s="133"/>
      <c r="H2" s="133"/>
      <c r="I2" s="133"/>
      <c r="J2" s="133"/>
      <c r="K2" s="133"/>
      <c r="L2" s="133"/>
      <c r="M2" s="217"/>
      <c r="N2" s="217"/>
      <c r="O2" s="127"/>
      <c r="P2" s="127"/>
      <c r="Q2" s="127"/>
      <c r="R2" s="127"/>
      <c r="S2" s="127"/>
      <c r="T2" s="127"/>
      <c r="U2" s="127"/>
      <c r="V2" s="127"/>
      <c r="W2" s="127"/>
      <c r="X2" s="127"/>
      <c r="Y2" s="127"/>
      <c r="Z2" s="127"/>
      <c r="AA2" s="127"/>
      <c r="AB2" s="127"/>
      <c r="AC2" s="127"/>
      <c r="AD2" s="127"/>
      <c r="AE2" s="127"/>
      <c r="AF2" s="127"/>
      <c r="AG2" s="127"/>
      <c r="AH2" s="127"/>
      <c r="AI2" s="127"/>
      <c r="AJ2" s="127"/>
      <c r="AK2" s="127"/>
      <c r="AL2" s="129"/>
      <c r="AM2" s="129"/>
      <c r="AN2" s="129"/>
      <c r="AO2" s="129"/>
      <c r="AP2" s="129"/>
      <c r="AQ2" s="127"/>
      <c r="AR2" s="127"/>
      <c r="AS2" s="129"/>
      <c r="AT2" s="129"/>
      <c r="AU2" s="129"/>
      <c r="AV2" s="129"/>
      <c r="AW2" s="129"/>
      <c r="AX2" s="129"/>
    </row>
    <row r="3" spans="2:50" s="134" customFormat="1" ht="2.25" customHeight="1">
      <c r="D3" s="135"/>
      <c r="M3" s="218"/>
      <c r="N3" s="218"/>
      <c r="AL3" s="135"/>
      <c r="AM3" s="135"/>
      <c r="AN3" s="135"/>
      <c r="AO3" s="135"/>
      <c r="AP3" s="135"/>
      <c r="AS3" s="135"/>
      <c r="AT3" s="135"/>
      <c r="AU3" s="135"/>
      <c r="AV3" s="135"/>
      <c r="AW3" s="135"/>
      <c r="AX3" s="135"/>
    </row>
    <row r="4" spans="2:50" s="3" customFormat="1">
      <c r="B4" s="9"/>
      <c r="C4" s="9"/>
      <c r="D4" s="9"/>
      <c r="E4" s="9"/>
      <c r="F4" s="9"/>
      <c r="G4" s="9"/>
      <c r="H4" s="9"/>
      <c r="I4" s="9"/>
      <c r="J4" s="9"/>
      <c r="K4" s="9"/>
      <c r="L4" s="9"/>
      <c r="M4" s="4"/>
      <c r="N4" s="4"/>
      <c r="O4" s="9"/>
      <c r="P4" s="9"/>
      <c r="Q4" s="9"/>
      <c r="R4" s="9"/>
      <c r="S4" s="9"/>
      <c r="T4" s="9"/>
      <c r="U4" s="9"/>
      <c r="V4" s="9"/>
      <c r="W4" s="9"/>
      <c r="X4" s="9"/>
      <c r="Y4" s="9"/>
      <c r="Z4" s="9"/>
      <c r="AA4" s="9"/>
      <c r="AB4" s="9"/>
      <c r="AC4" s="9"/>
      <c r="AD4" s="9"/>
      <c r="AE4" s="9"/>
      <c r="AF4" s="9"/>
      <c r="AG4" s="9"/>
      <c r="AH4" s="9"/>
      <c r="AI4" s="9"/>
      <c r="AJ4" s="9"/>
      <c r="AK4" s="9"/>
      <c r="AL4" s="11"/>
      <c r="AM4" s="11"/>
      <c r="AN4" s="11"/>
      <c r="AO4" s="11"/>
      <c r="AP4" s="11"/>
      <c r="AQ4" s="9"/>
      <c r="AR4" s="9"/>
      <c r="AS4" s="11"/>
      <c r="AT4" s="11"/>
      <c r="AU4" s="11"/>
      <c r="AV4" s="11"/>
      <c r="AW4" s="11"/>
      <c r="AX4" s="11"/>
    </row>
    <row r="5" spans="2:50" ht="15.6">
      <c r="B5" s="219" t="s">
        <v>266</v>
      </c>
      <c r="R5" s="219" t="s">
        <v>267</v>
      </c>
      <c r="AJ5" s="219" t="s">
        <v>273</v>
      </c>
    </row>
    <row r="6" spans="2:50" ht="15.6" hidden="1">
      <c r="B6" s="219"/>
      <c r="R6" s="219"/>
      <c r="AJ6" s="219"/>
    </row>
    <row r="7" spans="2:50" ht="15" customHeight="1">
      <c r="B7" s="499" t="s">
        <v>275</v>
      </c>
      <c r="C7" s="500"/>
      <c r="D7" s="500"/>
      <c r="E7" s="500"/>
      <c r="F7" s="500"/>
      <c r="G7" s="500"/>
      <c r="H7" s="500"/>
      <c r="I7" s="500"/>
      <c r="J7" s="500"/>
      <c r="K7" s="500"/>
      <c r="L7" s="500"/>
      <c r="M7" s="500"/>
      <c r="N7" s="500"/>
      <c r="O7" s="500"/>
      <c r="P7" s="501"/>
      <c r="R7" s="499" t="s">
        <v>274</v>
      </c>
      <c r="S7" s="500"/>
      <c r="T7" s="500"/>
      <c r="U7" s="500"/>
      <c r="V7" s="500"/>
      <c r="W7" s="500"/>
      <c r="X7" s="500"/>
      <c r="Y7" s="500"/>
      <c r="Z7" s="500"/>
      <c r="AA7" s="500"/>
      <c r="AB7" s="500"/>
      <c r="AC7" s="500"/>
      <c r="AD7" s="500"/>
      <c r="AE7" s="500"/>
      <c r="AF7" s="501"/>
      <c r="AJ7" s="499" t="s">
        <v>8</v>
      </c>
      <c r="AK7" s="500"/>
      <c r="AL7" s="500"/>
      <c r="AM7" s="500"/>
      <c r="AN7" s="500"/>
      <c r="AO7" s="500"/>
      <c r="AP7" s="500"/>
      <c r="AQ7" s="500"/>
      <c r="AR7" s="500"/>
      <c r="AS7" s="500"/>
      <c r="AT7" s="500"/>
      <c r="AU7" s="500"/>
      <c r="AV7" s="500"/>
      <c r="AW7" s="500"/>
      <c r="AX7" s="501"/>
    </row>
    <row r="8" spans="2:50" ht="16.5" customHeight="1">
      <c r="B8" s="498"/>
      <c r="C8" s="498" t="str">
        <f>IF(intervencao1=0,"Do not fill",intervencao1)</f>
        <v>Rosuvastatin 5mg</v>
      </c>
      <c r="D8" s="498" t="str">
        <f>IF(intervencao2=0,"Do not fill",intervencao2)</f>
        <v>Rosuvastatin 10mg</v>
      </c>
      <c r="E8" s="498" t="str">
        <f>IF(intervencao3=0,"Do not fill",intervencao3)</f>
        <v>Rosuvastatin 20mg</v>
      </c>
      <c r="F8" s="498" t="str">
        <f>IF(intervencao4=0,"Do not fill",intervencao4)</f>
        <v>Rosuvastatin 40mg</v>
      </c>
      <c r="G8" s="498" t="str">
        <f>IF(comparador1=0,"Do not fill",comparador1)</f>
        <v>Atorvastatin 10mg</v>
      </c>
      <c r="H8" s="498" t="str">
        <f>IF(comparador2=0,"Do not fill",comparador2)</f>
        <v>Atorvastatin 20mg</v>
      </c>
      <c r="I8" s="498" t="str">
        <f>IF(comparador3=0,"Do not fill",comparador3)</f>
        <v>Atorvastatin 40mg</v>
      </c>
      <c r="J8" s="498" t="str">
        <f>IF(comparador4=0,"Do not fill",comparador4)</f>
        <v>Atorvastatin 80mg</v>
      </c>
      <c r="K8" s="498" t="str">
        <f>IF(comparador5=0,"Do not fill",comparador5)</f>
        <v>Pravastatin</v>
      </c>
      <c r="L8" s="498" t="str">
        <f>IF(comparador6=0,"Do not fill",comparador6)</f>
        <v>Simvastatin 5mg</v>
      </c>
      <c r="M8" s="498" t="str">
        <f>IF(comparador7=0,"Do not fill",comparador7)</f>
        <v>Simvastatin 10mg</v>
      </c>
      <c r="N8" s="498" t="str">
        <f>IF(comparador8=0,"Do not fill",comparador8)</f>
        <v>Simvastatin 20mg</v>
      </c>
      <c r="O8" s="498" t="str">
        <f>IF(comparador9=0,"Do not fill",comparador9)</f>
        <v>Simvastatin 40mg</v>
      </c>
      <c r="P8" s="498" t="str">
        <f>IF(comparador10=0,"Do not fill",comparador10)</f>
        <v>Do not fill</v>
      </c>
      <c r="R8" s="498"/>
      <c r="S8" s="498" t="str">
        <f>IF(intervencao1=0,"Do not fill",intervencao1)</f>
        <v>Rosuvastatin 5mg</v>
      </c>
      <c r="T8" s="498" t="str">
        <f>IF(intervencao2=0,"Do not fill",intervencao2)</f>
        <v>Rosuvastatin 10mg</v>
      </c>
      <c r="U8" s="498" t="str">
        <f>IF(intervencao3=0,"Do not fill",intervencao3)</f>
        <v>Rosuvastatin 20mg</v>
      </c>
      <c r="V8" s="498" t="str">
        <f>IF(intervencao4=0,"Do not fill",intervencao4)</f>
        <v>Rosuvastatin 40mg</v>
      </c>
      <c r="W8" s="498" t="str">
        <f>IF(comparador1=0,"Do not fill",comparador1)</f>
        <v>Atorvastatin 10mg</v>
      </c>
      <c r="X8" s="498" t="str">
        <f>IF(comparador2=0,"Do not fill",comparador2)</f>
        <v>Atorvastatin 20mg</v>
      </c>
      <c r="Y8" s="498" t="str">
        <f>IF(comparador3=0,"Do not fill",comparador3)</f>
        <v>Atorvastatin 40mg</v>
      </c>
      <c r="Z8" s="498" t="str">
        <f>IF(comparador4=0,"Do not fill",comparador4)</f>
        <v>Atorvastatin 80mg</v>
      </c>
      <c r="AA8" s="498" t="str">
        <f>IF(comparador5=0,"Do not fill",comparador5)</f>
        <v>Pravastatin</v>
      </c>
      <c r="AB8" s="498" t="str">
        <f>IF(comparador6=0,"Do not fill",comparador6)</f>
        <v>Simvastatin 5mg</v>
      </c>
      <c r="AC8" s="498" t="str">
        <f>IF(comparador7=0,"Do not fill",comparador7)</f>
        <v>Simvastatin 10mg</v>
      </c>
      <c r="AD8" s="498" t="str">
        <f>IF(comparador8=0,"Do not fill",comparador8)</f>
        <v>Simvastatin 20mg</v>
      </c>
      <c r="AE8" s="498" t="str">
        <f>IF(comparador9=0,"Do not fill",comparador9)</f>
        <v>Simvastatin 40mg</v>
      </c>
      <c r="AF8" s="498" t="str">
        <f>IF(comparador10=0,"Do not fill",comparador10)</f>
        <v>Do not fill</v>
      </c>
      <c r="AJ8" s="220"/>
      <c r="AK8" s="221" t="str">
        <f>IF(intervencao1=0,"Do not fill",intervencao1)</f>
        <v>Rosuvastatin 5mg</v>
      </c>
      <c r="AL8" s="221" t="str">
        <f>IF(intervencao2=0,"Do not fill",intervencao2)</f>
        <v>Rosuvastatin 10mg</v>
      </c>
      <c r="AM8" s="221" t="str">
        <f>IF(intervencao3=0,"Do not fill",intervencao3)</f>
        <v>Rosuvastatin 20mg</v>
      </c>
      <c r="AN8" s="221" t="str">
        <f>IF(intervencao4=0,"Do not fill",intervencao4)</f>
        <v>Rosuvastatin 40mg</v>
      </c>
      <c r="AO8" s="221" t="str">
        <f>IF(comparador1=0,"Do not fill",comparador1)</f>
        <v>Atorvastatin 10mg</v>
      </c>
      <c r="AP8" s="221" t="str">
        <f>IF(comparador2=0,"Do not fill",comparador2)</f>
        <v>Atorvastatin 20mg</v>
      </c>
      <c r="AQ8" s="221" t="str">
        <f>IF(comparador3=0,"Do not fill",comparador3)</f>
        <v>Atorvastatin 40mg</v>
      </c>
      <c r="AR8" s="221" t="str">
        <f>IF(comparador4=0,"Do not fill",comparador4)</f>
        <v>Atorvastatin 80mg</v>
      </c>
      <c r="AS8" s="221" t="str">
        <f>IF(comparador5=0,"Do not fill",comparador5)</f>
        <v>Pravastatin</v>
      </c>
      <c r="AT8" s="221" t="str">
        <f>IF(comparador6=0,"Do not fill",comparador6)</f>
        <v>Simvastatin 5mg</v>
      </c>
      <c r="AU8" s="221" t="str">
        <f>IF(comparador7=0,"Do not fill",comparador7)</f>
        <v>Simvastatin 10mg</v>
      </c>
      <c r="AV8" s="221" t="str">
        <f>IF(comparador8=0,"Do not fill",comparador8)</f>
        <v>Simvastatin 20mg</v>
      </c>
      <c r="AW8" s="221" t="str">
        <f>IF(comparador9=0,"Do not fill",comparador9)</f>
        <v>Simvastatin 40mg</v>
      </c>
      <c r="AX8" s="222" t="str">
        <f>IF(comparador10=0,"Do not fill",comparador10)</f>
        <v>Do not fill</v>
      </c>
    </row>
    <row r="9" spans="2:50">
      <c r="B9" s="468"/>
      <c r="C9" s="468"/>
      <c r="D9" s="468"/>
      <c r="E9" s="468"/>
      <c r="F9" s="468"/>
      <c r="G9" s="468"/>
      <c r="H9" s="468"/>
      <c r="I9" s="468"/>
      <c r="J9" s="468"/>
      <c r="K9" s="468"/>
      <c r="L9" s="468"/>
      <c r="M9" s="468"/>
      <c r="N9" s="468"/>
      <c r="O9" s="468"/>
      <c r="P9" s="468"/>
      <c r="R9" s="468"/>
      <c r="S9" s="468"/>
      <c r="T9" s="468"/>
      <c r="U9" s="468"/>
      <c r="V9" s="468"/>
      <c r="W9" s="468"/>
      <c r="X9" s="468"/>
      <c r="Y9" s="468"/>
      <c r="Z9" s="468"/>
      <c r="AA9" s="468"/>
      <c r="AB9" s="468"/>
      <c r="AC9" s="468"/>
      <c r="AD9" s="468"/>
      <c r="AE9" s="468"/>
      <c r="AF9" s="468"/>
      <c r="AJ9" s="220" t="s">
        <v>9</v>
      </c>
      <c r="AK9" s="223" t="e">
        <f>LN(2)/'Time on treatment'!$D$65</f>
        <v>#DIV/0!</v>
      </c>
      <c r="AL9" s="223" t="e">
        <f>LN(2)/'Time on treatment'!$D$66</f>
        <v>#DIV/0!</v>
      </c>
      <c r="AM9" s="223" t="e">
        <f>LN(2)/'Time on treatment'!$D$67</f>
        <v>#DIV/0!</v>
      </c>
      <c r="AN9" s="223" t="e">
        <f>LN(2)/'Time on treatment'!$D$68</f>
        <v>#DIV/0!</v>
      </c>
      <c r="AO9" s="223" t="e">
        <f>LN(2)/'Time on treatment'!$D$70</f>
        <v>#DIV/0!</v>
      </c>
      <c r="AP9" s="223" t="e">
        <f>LN(2)/'Time on treatment'!$D$71</f>
        <v>#DIV/0!</v>
      </c>
      <c r="AQ9" s="223" t="e">
        <f>LN(2)/'Time on treatment'!$D$72</f>
        <v>#DIV/0!</v>
      </c>
      <c r="AR9" s="223" t="e">
        <f>LN(2)/'Time on treatment'!$D$73</f>
        <v>#DIV/0!</v>
      </c>
      <c r="AS9" s="223" t="e">
        <f>LN(2)/'Time on treatment'!$D$74</f>
        <v>#DIV/0!</v>
      </c>
      <c r="AT9" s="223" t="e">
        <f>LN(2)/'Time on treatment'!$D$75</f>
        <v>#DIV/0!</v>
      </c>
      <c r="AU9" s="223" t="e">
        <f>LN(2)/'Time on treatment'!$D$75</f>
        <v>#DIV/0!</v>
      </c>
      <c r="AV9" s="223" t="e">
        <f>LN(2)/'Time on treatment'!$D$76</f>
        <v>#DIV/0!</v>
      </c>
      <c r="AW9" s="223" t="e">
        <f>LN(2)/'Time on treatment'!$D$78</f>
        <v>#DIV/0!</v>
      </c>
      <c r="AX9" s="223" t="e">
        <f>LN(2)/'Time on treatment'!$D$79</f>
        <v>#DIV/0!</v>
      </c>
    </row>
    <row r="10" spans="2:50">
      <c r="B10" s="224">
        <v>0</v>
      </c>
      <c r="C10" s="68"/>
      <c r="D10" s="68"/>
      <c r="E10" s="68"/>
      <c r="F10" s="68"/>
      <c r="G10" s="68"/>
      <c r="H10" s="68"/>
      <c r="I10" s="68"/>
      <c r="J10" s="68"/>
      <c r="K10" s="68"/>
      <c r="L10" s="68"/>
      <c r="M10" s="68"/>
      <c r="N10" s="68"/>
      <c r="O10" s="68"/>
      <c r="P10" s="69"/>
      <c r="R10" s="224">
        <v>0</v>
      </c>
      <c r="S10" s="68"/>
      <c r="T10" s="68"/>
      <c r="U10" s="68"/>
      <c r="V10" s="68"/>
      <c r="W10" s="68"/>
      <c r="X10" s="68"/>
      <c r="Y10" s="68"/>
      <c r="Z10" s="68"/>
      <c r="AA10" s="68"/>
      <c r="AB10" s="68"/>
      <c r="AC10" s="68"/>
      <c r="AD10" s="68"/>
      <c r="AE10" s="68"/>
      <c r="AF10" s="69"/>
      <c r="AJ10" s="224">
        <v>0</v>
      </c>
      <c r="AK10" s="225" t="e">
        <f t="shared" ref="AK10:AX19" si="0">EXP(-AK$9*$AJ10)</f>
        <v>#DIV/0!</v>
      </c>
      <c r="AL10" s="225" t="e">
        <f t="shared" si="0"/>
        <v>#DIV/0!</v>
      </c>
      <c r="AM10" s="225" t="e">
        <f t="shared" si="0"/>
        <v>#DIV/0!</v>
      </c>
      <c r="AN10" s="225" t="e">
        <f t="shared" si="0"/>
        <v>#DIV/0!</v>
      </c>
      <c r="AO10" s="225" t="e">
        <f t="shared" si="0"/>
        <v>#DIV/0!</v>
      </c>
      <c r="AP10" s="225" t="e">
        <f t="shared" si="0"/>
        <v>#DIV/0!</v>
      </c>
      <c r="AQ10" s="225" t="e">
        <f t="shared" si="0"/>
        <v>#DIV/0!</v>
      </c>
      <c r="AR10" s="225" t="e">
        <f t="shared" si="0"/>
        <v>#DIV/0!</v>
      </c>
      <c r="AS10" s="225" t="e">
        <f t="shared" si="0"/>
        <v>#DIV/0!</v>
      </c>
      <c r="AT10" s="225" t="e">
        <f t="shared" si="0"/>
        <v>#DIV/0!</v>
      </c>
      <c r="AU10" s="225" t="e">
        <f t="shared" si="0"/>
        <v>#DIV/0!</v>
      </c>
      <c r="AV10" s="225" t="e">
        <f t="shared" si="0"/>
        <v>#DIV/0!</v>
      </c>
      <c r="AW10" s="225" t="e">
        <f t="shared" si="0"/>
        <v>#DIV/0!</v>
      </c>
      <c r="AX10" s="226" t="e">
        <f t="shared" si="0"/>
        <v>#DIV/0!</v>
      </c>
    </row>
    <row r="11" spans="2:50">
      <c r="B11" s="220">
        <v>1</v>
      </c>
      <c r="C11" s="61"/>
      <c r="D11" s="61"/>
      <c r="E11" s="61"/>
      <c r="F11" s="61"/>
      <c r="G11" s="61"/>
      <c r="H11" s="61"/>
      <c r="I11" s="61"/>
      <c r="J11" s="61"/>
      <c r="K11" s="61"/>
      <c r="L11" s="61"/>
      <c r="M11" s="61"/>
      <c r="N11" s="61"/>
      <c r="O11" s="61"/>
      <c r="P11" s="70"/>
      <c r="R11" s="220">
        <v>1</v>
      </c>
      <c r="S11" s="61"/>
      <c r="T11" s="61"/>
      <c r="U11" s="61"/>
      <c r="V11" s="61"/>
      <c r="W11" s="61"/>
      <c r="X11" s="61"/>
      <c r="Y11" s="61"/>
      <c r="Z11" s="61"/>
      <c r="AA11" s="61"/>
      <c r="AB11" s="61"/>
      <c r="AC11" s="61"/>
      <c r="AD11" s="61"/>
      <c r="AE11" s="61"/>
      <c r="AF11" s="70"/>
      <c r="AJ11" s="220">
        <v>1</v>
      </c>
      <c r="AK11" s="227" t="e">
        <f t="shared" si="0"/>
        <v>#DIV/0!</v>
      </c>
      <c r="AL11" s="227" t="e">
        <f t="shared" si="0"/>
        <v>#DIV/0!</v>
      </c>
      <c r="AM11" s="227" t="e">
        <f t="shared" si="0"/>
        <v>#DIV/0!</v>
      </c>
      <c r="AN11" s="227" t="e">
        <f t="shared" si="0"/>
        <v>#DIV/0!</v>
      </c>
      <c r="AO11" s="227" t="e">
        <f t="shared" si="0"/>
        <v>#DIV/0!</v>
      </c>
      <c r="AP11" s="227" t="e">
        <f t="shared" si="0"/>
        <v>#DIV/0!</v>
      </c>
      <c r="AQ11" s="227" t="e">
        <f t="shared" si="0"/>
        <v>#DIV/0!</v>
      </c>
      <c r="AR11" s="227" t="e">
        <f t="shared" si="0"/>
        <v>#DIV/0!</v>
      </c>
      <c r="AS11" s="227" t="e">
        <f t="shared" si="0"/>
        <v>#DIV/0!</v>
      </c>
      <c r="AT11" s="227" t="e">
        <f t="shared" si="0"/>
        <v>#DIV/0!</v>
      </c>
      <c r="AU11" s="227" t="e">
        <f t="shared" si="0"/>
        <v>#DIV/0!</v>
      </c>
      <c r="AV11" s="227" t="e">
        <f t="shared" si="0"/>
        <v>#DIV/0!</v>
      </c>
      <c r="AW11" s="227" t="e">
        <f t="shared" si="0"/>
        <v>#DIV/0!</v>
      </c>
      <c r="AX11" s="228" t="e">
        <f t="shared" si="0"/>
        <v>#DIV/0!</v>
      </c>
    </row>
    <row r="12" spans="2:50">
      <c r="B12" s="220">
        <v>2</v>
      </c>
      <c r="C12" s="61"/>
      <c r="D12" s="61"/>
      <c r="E12" s="61"/>
      <c r="F12" s="61"/>
      <c r="G12" s="61"/>
      <c r="H12" s="61"/>
      <c r="I12" s="61"/>
      <c r="J12" s="61"/>
      <c r="K12" s="61"/>
      <c r="L12" s="61"/>
      <c r="M12" s="61"/>
      <c r="N12" s="61"/>
      <c r="O12" s="61"/>
      <c r="P12" s="70"/>
      <c r="R12" s="220">
        <v>2</v>
      </c>
      <c r="S12" s="61"/>
      <c r="T12" s="61"/>
      <c r="U12" s="61"/>
      <c r="V12" s="61"/>
      <c r="W12" s="61"/>
      <c r="X12" s="61"/>
      <c r="Y12" s="61"/>
      <c r="Z12" s="61"/>
      <c r="AA12" s="61"/>
      <c r="AB12" s="61"/>
      <c r="AC12" s="61"/>
      <c r="AD12" s="61"/>
      <c r="AE12" s="61"/>
      <c r="AF12" s="70"/>
      <c r="AJ12" s="220">
        <v>2</v>
      </c>
      <c r="AK12" s="227" t="e">
        <f t="shared" si="0"/>
        <v>#DIV/0!</v>
      </c>
      <c r="AL12" s="227" t="e">
        <f t="shared" si="0"/>
        <v>#DIV/0!</v>
      </c>
      <c r="AM12" s="227" t="e">
        <f t="shared" si="0"/>
        <v>#DIV/0!</v>
      </c>
      <c r="AN12" s="227" t="e">
        <f t="shared" si="0"/>
        <v>#DIV/0!</v>
      </c>
      <c r="AO12" s="227" t="e">
        <f t="shared" si="0"/>
        <v>#DIV/0!</v>
      </c>
      <c r="AP12" s="227" t="e">
        <f t="shared" si="0"/>
        <v>#DIV/0!</v>
      </c>
      <c r="AQ12" s="227" t="e">
        <f t="shared" si="0"/>
        <v>#DIV/0!</v>
      </c>
      <c r="AR12" s="227" t="e">
        <f t="shared" si="0"/>
        <v>#DIV/0!</v>
      </c>
      <c r="AS12" s="227" t="e">
        <f t="shared" si="0"/>
        <v>#DIV/0!</v>
      </c>
      <c r="AT12" s="227" t="e">
        <f t="shared" si="0"/>
        <v>#DIV/0!</v>
      </c>
      <c r="AU12" s="227" t="e">
        <f t="shared" si="0"/>
        <v>#DIV/0!</v>
      </c>
      <c r="AV12" s="227" t="e">
        <f t="shared" si="0"/>
        <v>#DIV/0!</v>
      </c>
      <c r="AW12" s="227" t="e">
        <f t="shared" si="0"/>
        <v>#DIV/0!</v>
      </c>
      <c r="AX12" s="228" t="e">
        <f t="shared" si="0"/>
        <v>#DIV/0!</v>
      </c>
    </row>
    <row r="13" spans="2:50">
      <c r="B13" s="220">
        <v>3</v>
      </c>
      <c r="C13" s="61"/>
      <c r="D13" s="61"/>
      <c r="E13" s="61"/>
      <c r="F13" s="61"/>
      <c r="G13" s="61"/>
      <c r="H13" s="61"/>
      <c r="I13" s="61"/>
      <c r="J13" s="61"/>
      <c r="K13" s="61"/>
      <c r="L13" s="61"/>
      <c r="M13" s="61"/>
      <c r="N13" s="61"/>
      <c r="O13" s="61"/>
      <c r="P13" s="70"/>
      <c r="R13" s="220">
        <v>3</v>
      </c>
      <c r="S13" s="61"/>
      <c r="T13" s="61"/>
      <c r="U13" s="61"/>
      <c r="V13" s="61"/>
      <c r="W13" s="61"/>
      <c r="X13" s="61"/>
      <c r="Y13" s="61"/>
      <c r="Z13" s="61"/>
      <c r="AA13" s="61"/>
      <c r="AB13" s="61"/>
      <c r="AC13" s="61"/>
      <c r="AD13" s="61"/>
      <c r="AE13" s="61"/>
      <c r="AF13" s="70"/>
      <c r="AJ13" s="220">
        <v>3</v>
      </c>
      <c r="AK13" s="227" t="e">
        <f t="shared" si="0"/>
        <v>#DIV/0!</v>
      </c>
      <c r="AL13" s="227" t="e">
        <f t="shared" si="0"/>
        <v>#DIV/0!</v>
      </c>
      <c r="AM13" s="227" t="e">
        <f t="shared" si="0"/>
        <v>#DIV/0!</v>
      </c>
      <c r="AN13" s="227" t="e">
        <f t="shared" si="0"/>
        <v>#DIV/0!</v>
      </c>
      <c r="AO13" s="227" t="e">
        <f t="shared" si="0"/>
        <v>#DIV/0!</v>
      </c>
      <c r="AP13" s="227" t="e">
        <f t="shared" si="0"/>
        <v>#DIV/0!</v>
      </c>
      <c r="AQ13" s="227" t="e">
        <f t="shared" si="0"/>
        <v>#DIV/0!</v>
      </c>
      <c r="AR13" s="227" t="e">
        <f t="shared" si="0"/>
        <v>#DIV/0!</v>
      </c>
      <c r="AS13" s="227" t="e">
        <f t="shared" si="0"/>
        <v>#DIV/0!</v>
      </c>
      <c r="AT13" s="227" t="e">
        <f t="shared" si="0"/>
        <v>#DIV/0!</v>
      </c>
      <c r="AU13" s="227" t="e">
        <f t="shared" si="0"/>
        <v>#DIV/0!</v>
      </c>
      <c r="AV13" s="227" t="e">
        <f t="shared" si="0"/>
        <v>#DIV/0!</v>
      </c>
      <c r="AW13" s="227" t="e">
        <f t="shared" si="0"/>
        <v>#DIV/0!</v>
      </c>
      <c r="AX13" s="228" t="e">
        <f t="shared" si="0"/>
        <v>#DIV/0!</v>
      </c>
    </row>
    <row r="14" spans="2:50">
      <c r="B14" s="220">
        <v>4</v>
      </c>
      <c r="C14" s="61"/>
      <c r="D14" s="61"/>
      <c r="E14" s="61"/>
      <c r="F14" s="61"/>
      <c r="G14" s="61"/>
      <c r="H14" s="61"/>
      <c r="I14" s="61"/>
      <c r="J14" s="61"/>
      <c r="K14" s="61"/>
      <c r="L14" s="61"/>
      <c r="M14" s="61"/>
      <c r="N14" s="61"/>
      <c r="O14" s="61"/>
      <c r="P14" s="70"/>
      <c r="R14" s="220">
        <v>4</v>
      </c>
      <c r="S14" s="61"/>
      <c r="T14" s="61"/>
      <c r="U14" s="61"/>
      <c r="V14" s="61"/>
      <c r="W14" s="61"/>
      <c r="X14" s="61"/>
      <c r="Y14" s="61"/>
      <c r="Z14" s="61"/>
      <c r="AA14" s="61"/>
      <c r="AB14" s="61"/>
      <c r="AC14" s="61"/>
      <c r="AD14" s="61"/>
      <c r="AE14" s="61"/>
      <c r="AF14" s="70"/>
      <c r="AJ14" s="220">
        <v>4</v>
      </c>
      <c r="AK14" s="227" t="e">
        <f t="shared" si="0"/>
        <v>#DIV/0!</v>
      </c>
      <c r="AL14" s="227" t="e">
        <f t="shared" si="0"/>
        <v>#DIV/0!</v>
      </c>
      <c r="AM14" s="227" t="e">
        <f t="shared" si="0"/>
        <v>#DIV/0!</v>
      </c>
      <c r="AN14" s="227" t="e">
        <f t="shared" si="0"/>
        <v>#DIV/0!</v>
      </c>
      <c r="AO14" s="227" t="e">
        <f t="shared" si="0"/>
        <v>#DIV/0!</v>
      </c>
      <c r="AP14" s="227" t="e">
        <f t="shared" si="0"/>
        <v>#DIV/0!</v>
      </c>
      <c r="AQ14" s="227" t="e">
        <f t="shared" si="0"/>
        <v>#DIV/0!</v>
      </c>
      <c r="AR14" s="227" t="e">
        <f t="shared" si="0"/>
        <v>#DIV/0!</v>
      </c>
      <c r="AS14" s="227" t="e">
        <f t="shared" si="0"/>
        <v>#DIV/0!</v>
      </c>
      <c r="AT14" s="227" t="e">
        <f t="shared" si="0"/>
        <v>#DIV/0!</v>
      </c>
      <c r="AU14" s="227" t="e">
        <f t="shared" si="0"/>
        <v>#DIV/0!</v>
      </c>
      <c r="AV14" s="227" t="e">
        <f t="shared" si="0"/>
        <v>#DIV/0!</v>
      </c>
      <c r="AW14" s="227" t="e">
        <f t="shared" si="0"/>
        <v>#DIV/0!</v>
      </c>
      <c r="AX14" s="228" t="e">
        <f t="shared" si="0"/>
        <v>#DIV/0!</v>
      </c>
    </row>
    <row r="15" spans="2:50">
      <c r="B15" s="220">
        <v>5</v>
      </c>
      <c r="C15" s="61"/>
      <c r="D15" s="61"/>
      <c r="E15" s="61"/>
      <c r="F15" s="61"/>
      <c r="G15" s="61"/>
      <c r="H15" s="61"/>
      <c r="I15" s="61"/>
      <c r="J15" s="61"/>
      <c r="K15" s="61"/>
      <c r="L15" s="61"/>
      <c r="M15" s="61"/>
      <c r="N15" s="61"/>
      <c r="O15" s="61"/>
      <c r="P15" s="70"/>
      <c r="R15" s="220">
        <v>5</v>
      </c>
      <c r="S15" s="61"/>
      <c r="T15" s="61"/>
      <c r="U15" s="61"/>
      <c r="V15" s="61"/>
      <c r="W15" s="61"/>
      <c r="X15" s="61"/>
      <c r="Y15" s="61"/>
      <c r="Z15" s="61"/>
      <c r="AA15" s="61"/>
      <c r="AB15" s="61"/>
      <c r="AC15" s="61"/>
      <c r="AD15" s="61"/>
      <c r="AE15" s="61"/>
      <c r="AF15" s="70"/>
      <c r="AJ15" s="220">
        <v>5</v>
      </c>
      <c r="AK15" s="227" t="e">
        <f t="shared" si="0"/>
        <v>#DIV/0!</v>
      </c>
      <c r="AL15" s="227" t="e">
        <f t="shared" si="0"/>
        <v>#DIV/0!</v>
      </c>
      <c r="AM15" s="227" t="e">
        <f t="shared" si="0"/>
        <v>#DIV/0!</v>
      </c>
      <c r="AN15" s="227" t="e">
        <f t="shared" si="0"/>
        <v>#DIV/0!</v>
      </c>
      <c r="AO15" s="227" t="e">
        <f t="shared" si="0"/>
        <v>#DIV/0!</v>
      </c>
      <c r="AP15" s="227" t="e">
        <f t="shared" si="0"/>
        <v>#DIV/0!</v>
      </c>
      <c r="AQ15" s="227" t="e">
        <f t="shared" si="0"/>
        <v>#DIV/0!</v>
      </c>
      <c r="AR15" s="227" t="e">
        <f t="shared" si="0"/>
        <v>#DIV/0!</v>
      </c>
      <c r="AS15" s="227" t="e">
        <f t="shared" si="0"/>
        <v>#DIV/0!</v>
      </c>
      <c r="AT15" s="227" t="e">
        <f t="shared" si="0"/>
        <v>#DIV/0!</v>
      </c>
      <c r="AU15" s="227" t="e">
        <f t="shared" si="0"/>
        <v>#DIV/0!</v>
      </c>
      <c r="AV15" s="227" t="e">
        <f t="shared" si="0"/>
        <v>#DIV/0!</v>
      </c>
      <c r="AW15" s="227" t="e">
        <f t="shared" si="0"/>
        <v>#DIV/0!</v>
      </c>
      <c r="AX15" s="228" t="e">
        <f t="shared" si="0"/>
        <v>#DIV/0!</v>
      </c>
    </row>
    <row r="16" spans="2:50">
      <c r="B16" s="220">
        <v>6</v>
      </c>
      <c r="C16" s="61"/>
      <c r="D16" s="61"/>
      <c r="E16" s="61"/>
      <c r="F16" s="61"/>
      <c r="G16" s="61"/>
      <c r="H16" s="61"/>
      <c r="I16" s="61"/>
      <c r="J16" s="61"/>
      <c r="K16" s="61"/>
      <c r="L16" s="61"/>
      <c r="M16" s="61"/>
      <c r="N16" s="61"/>
      <c r="O16" s="61"/>
      <c r="P16" s="70"/>
      <c r="R16" s="220">
        <v>6</v>
      </c>
      <c r="S16" s="61"/>
      <c r="T16" s="61"/>
      <c r="U16" s="61"/>
      <c r="V16" s="61"/>
      <c r="W16" s="61"/>
      <c r="X16" s="61"/>
      <c r="Y16" s="61"/>
      <c r="Z16" s="61"/>
      <c r="AA16" s="61"/>
      <c r="AB16" s="61"/>
      <c r="AC16" s="61"/>
      <c r="AD16" s="61"/>
      <c r="AE16" s="61"/>
      <c r="AF16" s="70"/>
      <c r="AJ16" s="220">
        <v>6</v>
      </c>
      <c r="AK16" s="227" t="e">
        <f t="shared" si="0"/>
        <v>#DIV/0!</v>
      </c>
      <c r="AL16" s="227" t="e">
        <f t="shared" si="0"/>
        <v>#DIV/0!</v>
      </c>
      <c r="AM16" s="227" t="e">
        <f t="shared" si="0"/>
        <v>#DIV/0!</v>
      </c>
      <c r="AN16" s="227" t="e">
        <f t="shared" si="0"/>
        <v>#DIV/0!</v>
      </c>
      <c r="AO16" s="227" t="e">
        <f t="shared" si="0"/>
        <v>#DIV/0!</v>
      </c>
      <c r="AP16" s="227" t="e">
        <f t="shared" si="0"/>
        <v>#DIV/0!</v>
      </c>
      <c r="AQ16" s="227" t="e">
        <f t="shared" si="0"/>
        <v>#DIV/0!</v>
      </c>
      <c r="AR16" s="227" t="e">
        <f t="shared" si="0"/>
        <v>#DIV/0!</v>
      </c>
      <c r="AS16" s="227" t="e">
        <f t="shared" si="0"/>
        <v>#DIV/0!</v>
      </c>
      <c r="AT16" s="227" t="e">
        <f t="shared" si="0"/>
        <v>#DIV/0!</v>
      </c>
      <c r="AU16" s="227" t="e">
        <f t="shared" si="0"/>
        <v>#DIV/0!</v>
      </c>
      <c r="AV16" s="227" t="e">
        <f t="shared" si="0"/>
        <v>#DIV/0!</v>
      </c>
      <c r="AW16" s="227" t="e">
        <f t="shared" si="0"/>
        <v>#DIV/0!</v>
      </c>
      <c r="AX16" s="228" t="e">
        <f t="shared" si="0"/>
        <v>#DIV/0!</v>
      </c>
    </row>
    <row r="17" spans="2:50">
      <c r="B17" s="220">
        <v>7</v>
      </c>
      <c r="C17" s="61"/>
      <c r="D17" s="61"/>
      <c r="E17" s="61"/>
      <c r="F17" s="61"/>
      <c r="G17" s="61"/>
      <c r="H17" s="61"/>
      <c r="I17" s="61"/>
      <c r="J17" s="61"/>
      <c r="K17" s="61"/>
      <c r="L17" s="61"/>
      <c r="M17" s="61"/>
      <c r="N17" s="61"/>
      <c r="O17" s="61"/>
      <c r="P17" s="70"/>
      <c r="R17" s="220">
        <v>7</v>
      </c>
      <c r="S17" s="61"/>
      <c r="T17" s="61"/>
      <c r="U17" s="61"/>
      <c r="V17" s="61"/>
      <c r="W17" s="61"/>
      <c r="X17" s="61"/>
      <c r="Y17" s="61"/>
      <c r="Z17" s="61"/>
      <c r="AA17" s="61"/>
      <c r="AB17" s="61"/>
      <c r="AC17" s="61"/>
      <c r="AD17" s="61"/>
      <c r="AE17" s="61"/>
      <c r="AF17" s="70"/>
      <c r="AJ17" s="220">
        <v>7</v>
      </c>
      <c r="AK17" s="227" t="e">
        <f t="shared" si="0"/>
        <v>#DIV/0!</v>
      </c>
      <c r="AL17" s="227" t="e">
        <f t="shared" si="0"/>
        <v>#DIV/0!</v>
      </c>
      <c r="AM17" s="227" t="e">
        <f t="shared" si="0"/>
        <v>#DIV/0!</v>
      </c>
      <c r="AN17" s="227" t="e">
        <f t="shared" si="0"/>
        <v>#DIV/0!</v>
      </c>
      <c r="AO17" s="227" t="e">
        <f t="shared" si="0"/>
        <v>#DIV/0!</v>
      </c>
      <c r="AP17" s="227" t="e">
        <f t="shared" si="0"/>
        <v>#DIV/0!</v>
      </c>
      <c r="AQ17" s="227" t="e">
        <f t="shared" si="0"/>
        <v>#DIV/0!</v>
      </c>
      <c r="AR17" s="227" t="e">
        <f t="shared" si="0"/>
        <v>#DIV/0!</v>
      </c>
      <c r="AS17" s="227" t="e">
        <f t="shared" si="0"/>
        <v>#DIV/0!</v>
      </c>
      <c r="AT17" s="227" t="e">
        <f t="shared" si="0"/>
        <v>#DIV/0!</v>
      </c>
      <c r="AU17" s="227" t="e">
        <f t="shared" si="0"/>
        <v>#DIV/0!</v>
      </c>
      <c r="AV17" s="227" t="e">
        <f t="shared" si="0"/>
        <v>#DIV/0!</v>
      </c>
      <c r="AW17" s="227" t="e">
        <f t="shared" si="0"/>
        <v>#DIV/0!</v>
      </c>
      <c r="AX17" s="228" t="e">
        <f t="shared" si="0"/>
        <v>#DIV/0!</v>
      </c>
    </row>
    <row r="18" spans="2:50">
      <c r="B18" s="220">
        <v>8</v>
      </c>
      <c r="C18" s="61"/>
      <c r="D18" s="61"/>
      <c r="E18" s="61"/>
      <c r="F18" s="61"/>
      <c r="G18" s="61"/>
      <c r="H18" s="61"/>
      <c r="I18" s="61"/>
      <c r="J18" s="61"/>
      <c r="K18" s="61"/>
      <c r="L18" s="61"/>
      <c r="M18" s="61"/>
      <c r="N18" s="61"/>
      <c r="O18" s="61"/>
      <c r="P18" s="70"/>
      <c r="R18" s="220">
        <v>8</v>
      </c>
      <c r="S18" s="61"/>
      <c r="T18" s="61"/>
      <c r="U18" s="61"/>
      <c r="V18" s="61"/>
      <c r="W18" s="61"/>
      <c r="X18" s="61"/>
      <c r="Y18" s="61"/>
      <c r="Z18" s="61"/>
      <c r="AA18" s="61"/>
      <c r="AB18" s="61"/>
      <c r="AC18" s="61"/>
      <c r="AD18" s="61"/>
      <c r="AE18" s="61"/>
      <c r="AF18" s="70"/>
      <c r="AJ18" s="220">
        <v>8</v>
      </c>
      <c r="AK18" s="227" t="e">
        <f t="shared" si="0"/>
        <v>#DIV/0!</v>
      </c>
      <c r="AL18" s="227" t="e">
        <f t="shared" si="0"/>
        <v>#DIV/0!</v>
      </c>
      <c r="AM18" s="227" t="e">
        <f t="shared" si="0"/>
        <v>#DIV/0!</v>
      </c>
      <c r="AN18" s="227" t="e">
        <f t="shared" si="0"/>
        <v>#DIV/0!</v>
      </c>
      <c r="AO18" s="227" t="e">
        <f t="shared" si="0"/>
        <v>#DIV/0!</v>
      </c>
      <c r="AP18" s="227" t="e">
        <f t="shared" si="0"/>
        <v>#DIV/0!</v>
      </c>
      <c r="AQ18" s="227" t="e">
        <f t="shared" si="0"/>
        <v>#DIV/0!</v>
      </c>
      <c r="AR18" s="227" t="e">
        <f t="shared" si="0"/>
        <v>#DIV/0!</v>
      </c>
      <c r="AS18" s="227" t="e">
        <f t="shared" si="0"/>
        <v>#DIV/0!</v>
      </c>
      <c r="AT18" s="227" t="e">
        <f t="shared" si="0"/>
        <v>#DIV/0!</v>
      </c>
      <c r="AU18" s="227" t="e">
        <f t="shared" si="0"/>
        <v>#DIV/0!</v>
      </c>
      <c r="AV18" s="227" t="e">
        <f t="shared" si="0"/>
        <v>#DIV/0!</v>
      </c>
      <c r="AW18" s="227" t="e">
        <f t="shared" si="0"/>
        <v>#DIV/0!</v>
      </c>
      <c r="AX18" s="228" t="e">
        <f t="shared" si="0"/>
        <v>#DIV/0!</v>
      </c>
    </row>
    <row r="19" spans="2:50">
      <c r="B19" s="220">
        <v>9</v>
      </c>
      <c r="C19" s="61"/>
      <c r="D19" s="61"/>
      <c r="E19" s="61"/>
      <c r="F19" s="61"/>
      <c r="G19" s="61"/>
      <c r="H19" s="61"/>
      <c r="I19" s="61"/>
      <c r="J19" s="61"/>
      <c r="K19" s="61"/>
      <c r="L19" s="61"/>
      <c r="M19" s="61"/>
      <c r="N19" s="61"/>
      <c r="O19" s="61"/>
      <c r="P19" s="70"/>
      <c r="R19" s="220">
        <v>9</v>
      </c>
      <c r="S19" s="61"/>
      <c r="T19" s="61"/>
      <c r="U19" s="61"/>
      <c r="V19" s="61"/>
      <c r="W19" s="61"/>
      <c r="X19" s="61"/>
      <c r="Y19" s="61"/>
      <c r="Z19" s="61"/>
      <c r="AA19" s="61"/>
      <c r="AB19" s="61"/>
      <c r="AC19" s="61"/>
      <c r="AD19" s="61"/>
      <c r="AE19" s="61"/>
      <c r="AF19" s="70"/>
      <c r="AJ19" s="220">
        <v>9</v>
      </c>
      <c r="AK19" s="227" t="e">
        <f t="shared" si="0"/>
        <v>#DIV/0!</v>
      </c>
      <c r="AL19" s="227" t="e">
        <f t="shared" si="0"/>
        <v>#DIV/0!</v>
      </c>
      <c r="AM19" s="227" t="e">
        <f t="shared" si="0"/>
        <v>#DIV/0!</v>
      </c>
      <c r="AN19" s="227" t="e">
        <f t="shared" si="0"/>
        <v>#DIV/0!</v>
      </c>
      <c r="AO19" s="227" t="e">
        <f t="shared" si="0"/>
        <v>#DIV/0!</v>
      </c>
      <c r="AP19" s="227" t="e">
        <f t="shared" si="0"/>
        <v>#DIV/0!</v>
      </c>
      <c r="AQ19" s="227" t="e">
        <f t="shared" si="0"/>
        <v>#DIV/0!</v>
      </c>
      <c r="AR19" s="227" t="e">
        <f t="shared" si="0"/>
        <v>#DIV/0!</v>
      </c>
      <c r="AS19" s="227" t="e">
        <f t="shared" si="0"/>
        <v>#DIV/0!</v>
      </c>
      <c r="AT19" s="227" t="e">
        <f t="shared" si="0"/>
        <v>#DIV/0!</v>
      </c>
      <c r="AU19" s="227" t="e">
        <f t="shared" si="0"/>
        <v>#DIV/0!</v>
      </c>
      <c r="AV19" s="227" t="e">
        <f t="shared" si="0"/>
        <v>#DIV/0!</v>
      </c>
      <c r="AW19" s="227" t="e">
        <f t="shared" si="0"/>
        <v>#DIV/0!</v>
      </c>
      <c r="AX19" s="228" t="e">
        <f t="shared" si="0"/>
        <v>#DIV/0!</v>
      </c>
    </row>
    <row r="20" spans="2:50">
      <c r="B20" s="220">
        <v>10</v>
      </c>
      <c r="C20" s="61"/>
      <c r="D20" s="61"/>
      <c r="E20" s="61"/>
      <c r="F20" s="61"/>
      <c r="G20" s="61"/>
      <c r="H20" s="61"/>
      <c r="I20" s="61"/>
      <c r="J20" s="61"/>
      <c r="K20" s="61"/>
      <c r="L20" s="61"/>
      <c r="M20" s="61"/>
      <c r="N20" s="61"/>
      <c r="O20" s="61"/>
      <c r="P20" s="70"/>
      <c r="R20" s="220">
        <v>10</v>
      </c>
      <c r="S20" s="61"/>
      <c r="T20" s="61"/>
      <c r="U20" s="61"/>
      <c r="V20" s="61"/>
      <c r="W20" s="61"/>
      <c r="X20" s="61"/>
      <c r="Y20" s="61"/>
      <c r="Z20" s="61"/>
      <c r="AA20" s="61"/>
      <c r="AB20" s="61"/>
      <c r="AC20" s="61"/>
      <c r="AD20" s="61"/>
      <c r="AE20" s="61"/>
      <c r="AF20" s="70"/>
      <c r="AJ20" s="220">
        <v>10</v>
      </c>
      <c r="AK20" s="227" t="e">
        <f t="shared" ref="AK20:AX29" si="1">EXP(-AK$9*$AJ20)</f>
        <v>#DIV/0!</v>
      </c>
      <c r="AL20" s="227" t="e">
        <f t="shared" si="1"/>
        <v>#DIV/0!</v>
      </c>
      <c r="AM20" s="227" t="e">
        <f t="shared" si="1"/>
        <v>#DIV/0!</v>
      </c>
      <c r="AN20" s="227" t="e">
        <f t="shared" si="1"/>
        <v>#DIV/0!</v>
      </c>
      <c r="AO20" s="227" t="e">
        <f t="shared" si="1"/>
        <v>#DIV/0!</v>
      </c>
      <c r="AP20" s="227" t="e">
        <f t="shared" si="1"/>
        <v>#DIV/0!</v>
      </c>
      <c r="AQ20" s="227" t="e">
        <f t="shared" si="1"/>
        <v>#DIV/0!</v>
      </c>
      <c r="AR20" s="227" t="e">
        <f t="shared" si="1"/>
        <v>#DIV/0!</v>
      </c>
      <c r="AS20" s="227" t="e">
        <f t="shared" si="1"/>
        <v>#DIV/0!</v>
      </c>
      <c r="AT20" s="227" t="e">
        <f t="shared" si="1"/>
        <v>#DIV/0!</v>
      </c>
      <c r="AU20" s="227" t="e">
        <f t="shared" si="1"/>
        <v>#DIV/0!</v>
      </c>
      <c r="AV20" s="227" t="e">
        <f t="shared" si="1"/>
        <v>#DIV/0!</v>
      </c>
      <c r="AW20" s="227" t="e">
        <f t="shared" si="1"/>
        <v>#DIV/0!</v>
      </c>
      <c r="AX20" s="228" t="e">
        <f t="shared" si="1"/>
        <v>#DIV/0!</v>
      </c>
    </row>
    <row r="21" spans="2:50">
      <c r="B21" s="224">
        <v>11</v>
      </c>
      <c r="C21" s="68"/>
      <c r="D21" s="68"/>
      <c r="E21" s="68"/>
      <c r="F21" s="68"/>
      <c r="G21" s="68"/>
      <c r="H21" s="68"/>
      <c r="I21" s="68"/>
      <c r="J21" s="68"/>
      <c r="K21" s="68"/>
      <c r="L21" s="68"/>
      <c r="M21" s="68"/>
      <c r="N21" s="68"/>
      <c r="O21" s="68"/>
      <c r="P21" s="69"/>
      <c r="R21" s="224">
        <v>11</v>
      </c>
      <c r="S21" s="68"/>
      <c r="T21" s="68"/>
      <c r="U21" s="68"/>
      <c r="V21" s="68"/>
      <c r="W21" s="68"/>
      <c r="X21" s="68"/>
      <c r="Y21" s="68"/>
      <c r="Z21" s="68"/>
      <c r="AA21" s="68"/>
      <c r="AB21" s="68"/>
      <c r="AC21" s="68"/>
      <c r="AD21" s="68"/>
      <c r="AE21" s="68"/>
      <c r="AF21" s="69"/>
      <c r="AJ21" s="224">
        <v>11</v>
      </c>
      <c r="AK21" s="225" t="e">
        <f t="shared" si="1"/>
        <v>#DIV/0!</v>
      </c>
      <c r="AL21" s="225" t="e">
        <f t="shared" si="1"/>
        <v>#DIV/0!</v>
      </c>
      <c r="AM21" s="225" t="e">
        <f t="shared" si="1"/>
        <v>#DIV/0!</v>
      </c>
      <c r="AN21" s="225" t="e">
        <f t="shared" si="1"/>
        <v>#DIV/0!</v>
      </c>
      <c r="AO21" s="225" t="e">
        <f t="shared" si="1"/>
        <v>#DIV/0!</v>
      </c>
      <c r="AP21" s="225" t="e">
        <f t="shared" si="1"/>
        <v>#DIV/0!</v>
      </c>
      <c r="AQ21" s="225" t="e">
        <f t="shared" si="1"/>
        <v>#DIV/0!</v>
      </c>
      <c r="AR21" s="225" t="e">
        <f t="shared" si="1"/>
        <v>#DIV/0!</v>
      </c>
      <c r="AS21" s="225" t="e">
        <f t="shared" si="1"/>
        <v>#DIV/0!</v>
      </c>
      <c r="AT21" s="225" t="e">
        <f t="shared" si="1"/>
        <v>#DIV/0!</v>
      </c>
      <c r="AU21" s="225" t="e">
        <f t="shared" si="1"/>
        <v>#DIV/0!</v>
      </c>
      <c r="AV21" s="225" t="e">
        <f t="shared" si="1"/>
        <v>#DIV/0!</v>
      </c>
      <c r="AW21" s="225" t="e">
        <f t="shared" si="1"/>
        <v>#DIV/0!</v>
      </c>
      <c r="AX21" s="226" t="e">
        <f t="shared" si="1"/>
        <v>#DIV/0!</v>
      </c>
    </row>
    <row r="22" spans="2:50" s="229" customFormat="1">
      <c r="B22" s="224">
        <v>12</v>
      </c>
      <c r="C22" s="68"/>
      <c r="D22" s="68"/>
      <c r="E22" s="68"/>
      <c r="F22" s="68"/>
      <c r="G22" s="68"/>
      <c r="H22" s="68"/>
      <c r="I22" s="68"/>
      <c r="J22" s="68"/>
      <c r="K22" s="68"/>
      <c r="L22" s="68"/>
      <c r="M22" s="68"/>
      <c r="N22" s="68"/>
      <c r="O22" s="68"/>
      <c r="P22" s="69"/>
      <c r="R22" s="224">
        <v>12</v>
      </c>
      <c r="S22" s="68"/>
      <c r="T22" s="68"/>
      <c r="U22" s="68"/>
      <c r="V22" s="68"/>
      <c r="W22" s="68"/>
      <c r="X22" s="68"/>
      <c r="Y22" s="68"/>
      <c r="Z22" s="68"/>
      <c r="AA22" s="68"/>
      <c r="AB22" s="68"/>
      <c r="AC22" s="68"/>
      <c r="AD22" s="68"/>
      <c r="AE22" s="68"/>
      <c r="AF22" s="69"/>
      <c r="AJ22" s="224">
        <v>12</v>
      </c>
      <c r="AK22" s="225" t="e">
        <f t="shared" si="1"/>
        <v>#DIV/0!</v>
      </c>
      <c r="AL22" s="225" t="e">
        <f t="shared" si="1"/>
        <v>#DIV/0!</v>
      </c>
      <c r="AM22" s="225" t="e">
        <f t="shared" si="1"/>
        <v>#DIV/0!</v>
      </c>
      <c r="AN22" s="225" t="e">
        <f t="shared" si="1"/>
        <v>#DIV/0!</v>
      </c>
      <c r="AO22" s="225" t="e">
        <f t="shared" si="1"/>
        <v>#DIV/0!</v>
      </c>
      <c r="AP22" s="225" t="e">
        <f t="shared" si="1"/>
        <v>#DIV/0!</v>
      </c>
      <c r="AQ22" s="225" t="e">
        <f t="shared" si="1"/>
        <v>#DIV/0!</v>
      </c>
      <c r="AR22" s="225" t="e">
        <f t="shared" si="1"/>
        <v>#DIV/0!</v>
      </c>
      <c r="AS22" s="225" t="e">
        <f t="shared" si="1"/>
        <v>#DIV/0!</v>
      </c>
      <c r="AT22" s="225" t="e">
        <f t="shared" si="1"/>
        <v>#DIV/0!</v>
      </c>
      <c r="AU22" s="225" t="e">
        <f t="shared" si="1"/>
        <v>#DIV/0!</v>
      </c>
      <c r="AV22" s="225" t="e">
        <f t="shared" si="1"/>
        <v>#DIV/0!</v>
      </c>
      <c r="AW22" s="225" t="e">
        <f t="shared" si="1"/>
        <v>#DIV/0!</v>
      </c>
      <c r="AX22" s="226" t="e">
        <f t="shared" si="1"/>
        <v>#DIV/0!</v>
      </c>
    </row>
    <row r="23" spans="2:50">
      <c r="B23" s="220">
        <v>13</v>
      </c>
      <c r="C23" s="61"/>
      <c r="D23" s="61"/>
      <c r="E23" s="61"/>
      <c r="F23" s="61"/>
      <c r="G23" s="61"/>
      <c r="H23" s="61"/>
      <c r="I23" s="61"/>
      <c r="J23" s="61"/>
      <c r="K23" s="61"/>
      <c r="L23" s="61"/>
      <c r="M23" s="61"/>
      <c r="N23" s="61"/>
      <c r="O23" s="61"/>
      <c r="P23" s="70"/>
      <c r="R23" s="220">
        <v>13</v>
      </c>
      <c r="S23" s="61"/>
      <c r="T23" s="61"/>
      <c r="U23" s="61"/>
      <c r="V23" s="61"/>
      <c r="W23" s="61"/>
      <c r="X23" s="61"/>
      <c r="Y23" s="61"/>
      <c r="Z23" s="61"/>
      <c r="AA23" s="61"/>
      <c r="AB23" s="61"/>
      <c r="AC23" s="61"/>
      <c r="AD23" s="61"/>
      <c r="AE23" s="61"/>
      <c r="AF23" s="70"/>
      <c r="AJ23" s="220">
        <v>13</v>
      </c>
      <c r="AK23" s="227" t="e">
        <f t="shared" si="1"/>
        <v>#DIV/0!</v>
      </c>
      <c r="AL23" s="227" t="e">
        <f t="shared" si="1"/>
        <v>#DIV/0!</v>
      </c>
      <c r="AM23" s="227" t="e">
        <f t="shared" si="1"/>
        <v>#DIV/0!</v>
      </c>
      <c r="AN23" s="227" t="e">
        <f t="shared" si="1"/>
        <v>#DIV/0!</v>
      </c>
      <c r="AO23" s="227" t="e">
        <f t="shared" si="1"/>
        <v>#DIV/0!</v>
      </c>
      <c r="AP23" s="227" t="e">
        <f t="shared" si="1"/>
        <v>#DIV/0!</v>
      </c>
      <c r="AQ23" s="227" t="e">
        <f t="shared" si="1"/>
        <v>#DIV/0!</v>
      </c>
      <c r="AR23" s="227" t="e">
        <f t="shared" si="1"/>
        <v>#DIV/0!</v>
      </c>
      <c r="AS23" s="227" t="e">
        <f t="shared" si="1"/>
        <v>#DIV/0!</v>
      </c>
      <c r="AT23" s="227" t="e">
        <f t="shared" si="1"/>
        <v>#DIV/0!</v>
      </c>
      <c r="AU23" s="227" t="e">
        <f t="shared" si="1"/>
        <v>#DIV/0!</v>
      </c>
      <c r="AV23" s="227" t="e">
        <f t="shared" si="1"/>
        <v>#DIV/0!</v>
      </c>
      <c r="AW23" s="227" t="e">
        <f t="shared" si="1"/>
        <v>#DIV/0!</v>
      </c>
      <c r="AX23" s="228" t="e">
        <f t="shared" si="1"/>
        <v>#DIV/0!</v>
      </c>
    </row>
    <row r="24" spans="2:50">
      <c r="B24" s="220">
        <v>14</v>
      </c>
      <c r="C24" s="61"/>
      <c r="D24" s="61"/>
      <c r="E24" s="61"/>
      <c r="F24" s="61"/>
      <c r="G24" s="61"/>
      <c r="H24" s="61"/>
      <c r="I24" s="61"/>
      <c r="J24" s="61"/>
      <c r="K24" s="61"/>
      <c r="L24" s="61"/>
      <c r="M24" s="61"/>
      <c r="N24" s="61"/>
      <c r="O24" s="61"/>
      <c r="P24" s="70"/>
      <c r="R24" s="220">
        <v>14</v>
      </c>
      <c r="S24" s="61"/>
      <c r="T24" s="61"/>
      <c r="U24" s="61"/>
      <c r="V24" s="61"/>
      <c r="W24" s="61"/>
      <c r="X24" s="61"/>
      <c r="Y24" s="61"/>
      <c r="Z24" s="61"/>
      <c r="AA24" s="61"/>
      <c r="AB24" s="61"/>
      <c r="AC24" s="61"/>
      <c r="AD24" s="61"/>
      <c r="AE24" s="61"/>
      <c r="AF24" s="70"/>
      <c r="AJ24" s="220">
        <v>14</v>
      </c>
      <c r="AK24" s="227" t="e">
        <f t="shared" si="1"/>
        <v>#DIV/0!</v>
      </c>
      <c r="AL24" s="227" t="e">
        <f t="shared" si="1"/>
        <v>#DIV/0!</v>
      </c>
      <c r="AM24" s="227" t="e">
        <f t="shared" si="1"/>
        <v>#DIV/0!</v>
      </c>
      <c r="AN24" s="227" t="e">
        <f t="shared" si="1"/>
        <v>#DIV/0!</v>
      </c>
      <c r="AO24" s="227" t="e">
        <f t="shared" si="1"/>
        <v>#DIV/0!</v>
      </c>
      <c r="AP24" s="227" t="e">
        <f t="shared" si="1"/>
        <v>#DIV/0!</v>
      </c>
      <c r="AQ24" s="227" t="e">
        <f t="shared" si="1"/>
        <v>#DIV/0!</v>
      </c>
      <c r="AR24" s="227" t="e">
        <f t="shared" si="1"/>
        <v>#DIV/0!</v>
      </c>
      <c r="AS24" s="227" t="e">
        <f t="shared" si="1"/>
        <v>#DIV/0!</v>
      </c>
      <c r="AT24" s="227" t="e">
        <f t="shared" si="1"/>
        <v>#DIV/0!</v>
      </c>
      <c r="AU24" s="227" t="e">
        <f t="shared" si="1"/>
        <v>#DIV/0!</v>
      </c>
      <c r="AV24" s="227" t="e">
        <f t="shared" si="1"/>
        <v>#DIV/0!</v>
      </c>
      <c r="AW24" s="227" t="e">
        <f t="shared" si="1"/>
        <v>#DIV/0!</v>
      </c>
      <c r="AX24" s="228" t="e">
        <f t="shared" si="1"/>
        <v>#DIV/0!</v>
      </c>
    </row>
    <row r="25" spans="2:50">
      <c r="B25" s="220">
        <v>15</v>
      </c>
      <c r="C25" s="61"/>
      <c r="D25" s="61"/>
      <c r="E25" s="61"/>
      <c r="F25" s="61"/>
      <c r="G25" s="61"/>
      <c r="H25" s="61"/>
      <c r="I25" s="61"/>
      <c r="J25" s="61"/>
      <c r="K25" s="61"/>
      <c r="L25" s="61"/>
      <c r="M25" s="61"/>
      <c r="N25" s="61"/>
      <c r="O25" s="61"/>
      <c r="P25" s="70"/>
      <c r="R25" s="220">
        <v>15</v>
      </c>
      <c r="S25" s="61"/>
      <c r="T25" s="61"/>
      <c r="U25" s="61"/>
      <c r="V25" s="61"/>
      <c r="W25" s="61"/>
      <c r="X25" s="61"/>
      <c r="Y25" s="61"/>
      <c r="Z25" s="61"/>
      <c r="AA25" s="61"/>
      <c r="AB25" s="61"/>
      <c r="AC25" s="61"/>
      <c r="AD25" s="61"/>
      <c r="AE25" s="61"/>
      <c r="AF25" s="70"/>
      <c r="AJ25" s="220">
        <v>15</v>
      </c>
      <c r="AK25" s="227" t="e">
        <f t="shared" si="1"/>
        <v>#DIV/0!</v>
      </c>
      <c r="AL25" s="227" t="e">
        <f t="shared" si="1"/>
        <v>#DIV/0!</v>
      </c>
      <c r="AM25" s="227" t="e">
        <f t="shared" si="1"/>
        <v>#DIV/0!</v>
      </c>
      <c r="AN25" s="227" t="e">
        <f t="shared" si="1"/>
        <v>#DIV/0!</v>
      </c>
      <c r="AO25" s="227" t="e">
        <f t="shared" si="1"/>
        <v>#DIV/0!</v>
      </c>
      <c r="AP25" s="227" t="e">
        <f t="shared" si="1"/>
        <v>#DIV/0!</v>
      </c>
      <c r="AQ25" s="227" t="e">
        <f t="shared" si="1"/>
        <v>#DIV/0!</v>
      </c>
      <c r="AR25" s="227" t="e">
        <f t="shared" si="1"/>
        <v>#DIV/0!</v>
      </c>
      <c r="AS25" s="227" t="e">
        <f t="shared" si="1"/>
        <v>#DIV/0!</v>
      </c>
      <c r="AT25" s="227" t="e">
        <f t="shared" si="1"/>
        <v>#DIV/0!</v>
      </c>
      <c r="AU25" s="227" t="e">
        <f t="shared" si="1"/>
        <v>#DIV/0!</v>
      </c>
      <c r="AV25" s="227" t="e">
        <f t="shared" si="1"/>
        <v>#DIV/0!</v>
      </c>
      <c r="AW25" s="227" t="e">
        <f t="shared" si="1"/>
        <v>#DIV/0!</v>
      </c>
      <c r="AX25" s="228" t="e">
        <f t="shared" si="1"/>
        <v>#DIV/0!</v>
      </c>
    </row>
    <row r="26" spans="2:50">
      <c r="B26" s="220">
        <v>16</v>
      </c>
      <c r="C26" s="61"/>
      <c r="D26" s="61"/>
      <c r="E26" s="61"/>
      <c r="F26" s="61"/>
      <c r="G26" s="61"/>
      <c r="H26" s="61"/>
      <c r="I26" s="61"/>
      <c r="J26" s="61"/>
      <c r="K26" s="61"/>
      <c r="L26" s="61"/>
      <c r="M26" s="61"/>
      <c r="N26" s="61"/>
      <c r="O26" s="61"/>
      <c r="P26" s="70"/>
      <c r="R26" s="220">
        <v>16</v>
      </c>
      <c r="S26" s="61"/>
      <c r="T26" s="61"/>
      <c r="U26" s="61"/>
      <c r="V26" s="61"/>
      <c r="W26" s="61"/>
      <c r="X26" s="61"/>
      <c r="Y26" s="61"/>
      <c r="Z26" s="61"/>
      <c r="AA26" s="61"/>
      <c r="AB26" s="61"/>
      <c r="AC26" s="61"/>
      <c r="AD26" s="61"/>
      <c r="AE26" s="61"/>
      <c r="AF26" s="70"/>
      <c r="AJ26" s="220">
        <v>16</v>
      </c>
      <c r="AK26" s="227" t="e">
        <f t="shared" si="1"/>
        <v>#DIV/0!</v>
      </c>
      <c r="AL26" s="227" t="e">
        <f t="shared" si="1"/>
        <v>#DIV/0!</v>
      </c>
      <c r="AM26" s="227" t="e">
        <f t="shared" si="1"/>
        <v>#DIV/0!</v>
      </c>
      <c r="AN26" s="227" t="e">
        <f t="shared" si="1"/>
        <v>#DIV/0!</v>
      </c>
      <c r="AO26" s="227" t="e">
        <f t="shared" si="1"/>
        <v>#DIV/0!</v>
      </c>
      <c r="AP26" s="227" t="e">
        <f t="shared" si="1"/>
        <v>#DIV/0!</v>
      </c>
      <c r="AQ26" s="227" t="e">
        <f t="shared" si="1"/>
        <v>#DIV/0!</v>
      </c>
      <c r="AR26" s="227" t="e">
        <f t="shared" si="1"/>
        <v>#DIV/0!</v>
      </c>
      <c r="AS26" s="227" t="e">
        <f t="shared" si="1"/>
        <v>#DIV/0!</v>
      </c>
      <c r="AT26" s="227" t="e">
        <f t="shared" si="1"/>
        <v>#DIV/0!</v>
      </c>
      <c r="AU26" s="227" t="e">
        <f t="shared" si="1"/>
        <v>#DIV/0!</v>
      </c>
      <c r="AV26" s="227" t="e">
        <f t="shared" si="1"/>
        <v>#DIV/0!</v>
      </c>
      <c r="AW26" s="227" t="e">
        <f t="shared" si="1"/>
        <v>#DIV/0!</v>
      </c>
      <c r="AX26" s="228" t="e">
        <f t="shared" si="1"/>
        <v>#DIV/0!</v>
      </c>
    </row>
    <row r="27" spans="2:50">
      <c r="B27" s="220">
        <v>17</v>
      </c>
      <c r="C27" s="61"/>
      <c r="D27" s="61"/>
      <c r="E27" s="61"/>
      <c r="F27" s="61"/>
      <c r="G27" s="61"/>
      <c r="H27" s="61"/>
      <c r="I27" s="61"/>
      <c r="J27" s="61"/>
      <c r="K27" s="61"/>
      <c r="L27" s="61"/>
      <c r="M27" s="61"/>
      <c r="N27" s="61"/>
      <c r="O27" s="61"/>
      <c r="P27" s="70"/>
      <c r="R27" s="220">
        <v>17</v>
      </c>
      <c r="S27" s="61"/>
      <c r="T27" s="61"/>
      <c r="U27" s="61"/>
      <c r="V27" s="61"/>
      <c r="W27" s="61"/>
      <c r="X27" s="61"/>
      <c r="Y27" s="61"/>
      <c r="Z27" s="61"/>
      <c r="AA27" s="61"/>
      <c r="AB27" s="61"/>
      <c r="AC27" s="61"/>
      <c r="AD27" s="61"/>
      <c r="AE27" s="61"/>
      <c r="AF27" s="70"/>
      <c r="AJ27" s="220">
        <v>17</v>
      </c>
      <c r="AK27" s="227" t="e">
        <f t="shared" si="1"/>
        <v>#DIV/0!</v>
      </c>
      <c r="AL27" s="227" t="e">
        <f t="shared" si="1"/>
        <v>#DIV/0!</v>
      </c>
      <c r="AM27" s="227" t="e">
        <f t="shared" si="1"/>
        <v>#DIV/0!</v>
      </c>
      <c r="AN27" s="227" t="e">
        <f t="shared" si="1"/>
        <v>#DIV/0!</v>
      </c>
      <c r="AO27" s="227" t="e">
        <f t="shared" si="1"/>
        <v>#DIV/0!</v>
      </c>
      <c r="AP27" s="227" t="e">
        <f t="shared" si="1"/>
        <v>#DIV/0!</v>
      </c>
      <c r="AQ27" s="227" t="e">
        <f t="shared" si="1"/>
        <v>#DIV/0!</v>
      </c>
      <c r="AR27" s="227" t="e">
        <f t="shared" si="1"/>
        <v>#DIV/0!</v>
      </c>
      <c r="AS27" s="227" t="e">
        <f t="shared" si="1"/>
        <v>#DIV/0!</v>
      </c>
      <c r="AT27" s="227" t="e">
        <f t="shared" si="1"/>
        <v>#DIV/0!</v>
      </c>
      <c r="AU27" s="227" t="e">
        <f t="shared" si="1"/>
        <v>#DIV/0!</v>
      </c>
      <c r="AV27" s="227" t="e">
        <f t="shared" si="1"/>
        <v>#DIV/0!</v>
      </c>
      <c r="AW27" s="227" t="e">
        <f t="shared" si="1"/>
        <v>#DIV/0!</v>
      </c>
      <c r="AX27" s="228" t="e">
        <f t="shared" si="1"/>
        <v>#DIV/0!</v>
      </c>
    </row>
    <row r="28" spans="2:50">
      <c r="B28" s="220">
        <v>18</v>
      </c>
      <c r="C28" s="61"/>
      <c r="D28" s="61"/>
      <c r="E28" s="61"/>
      <c r="F28" s="61"/>
      <c r="G28" s="61"/>
      <c r="H28" s="61"/>
      <c r="I28" s="61"/>
      <c r="J28" s="61"/>
      <c r="K28" s="61"/>
      <c r="L28" s="61"/>
      <c r="M28" s="61"/>
      <c r="N28" s="61"/>
      <c r="O28" s="61"/>
      <c r="P28" s="70"/>
      <c r="R28" s="220">
        <v>18</v>
      </c>
      <c r="S28" s="61"/>
      <c r="T28" s="61"/>
      <c r="U28" s="61"/>
      <c r="V28" s="61"/>
      <c r="W28" s="61"/>
      <c r="X28" s="61"/>
      <c r="Y28" s="61"/>
      <c r="Z28" s="61"/>
      <c r="AA28" s="61"/>
      <c r="AB28" s="61"/>
      <c r="AC28" s="61"/>
      <c r="AD28" s="61"/>
      <c r="AE28" s="61"/>
      <c r="AF28" s="70"/>
      <c r="AJ28" s="220">
        <v>18</v>
      </c>
      <c r="AK28" s="227" t="e">
        <f t="shared" si="1"/>
        <v>#DIV/0!</v>
      </c>
      <c r="AL28" s="227" t="e">
        <f t="shared" si="1"/>
        <v>#DIV/0!</v>
      </c>
      <c r="AM28" s="227" t="e">
        <f t="shared" si="1"/>
        <v>#DIV/0!</v>
      </c>
      <c r="AN28" s="227" t="e">
        <f t="shared" si="1"/>
        <v>#DIV/0!</v>
      </c>
      <c r="AO28" s="227" t="e">
        <f t="shared" si="1"/>
        <v>#DIV/0!</v>
      </c>
      <c r="AP28" s="227" t="e">
        <f t="shared" si="1"/>
        <v>#DIV/0!</v>
      </c>
      <c r="AQ28" s="227" t="e">
        <f t="shared" si="1"/>
        <v>#DIV/0!</v>
      </c>
      <c r="AR28" s="227" t="e">
        <f t="shared" si="1"/>
        <v>#DIV/0!</v>
      </c>
      <c r="AS28" s="227" t="e">
        <f t="shared" si="1"/>
        <v>#DIV/0!</v>
      </c>
      <c r="AT28" s="227" t="e">
        <f t="shared" si="1"/>
        <v>#DIV/0!</v>
      </c>
      <c r="AU28" s="227" t="e">
        <f t="shared" si="1"/>
        <v>#DIV/0!</v>
      </c>
      <c r="AV28" s="227" t="e">
        <f t="shared" si="1"/>
        <v>#DIV/0!</v>
      </c>
      <c r="AW28" s="227" t="e">
        <f t="shared" si="1"/>
        <v>#DIV/0!</v>
      </c>
      <c r="AX28" s="228" t="e">
        <f t="shared" si="1"/>
        <v>#DIV/0!</v>
      </c>
    </row>
    <row r="29" spans="2:50">
      <c r="B29" s="220">
        <v>19</v>
      </c>
      <c r="C29" s="61"/>
      <c r="D29" s="61"/>
      <c r="E29" s="61"/>
      <c r="F29" s="61"/>
      <c r="G29" s="61"/>
      <c r="H29" s="61"/>
      <c r="I29" s="61"/>
      <c r="J29" s="61"/>
      <c r="K29" s="61"/>
      <c r="L29" s="61"/>
      <c r="M29" s="61"/>
      <c r="N29" s="61"/>
      <c r="O29" s="61"/>
      <c r="P29" s="70"/>
      <c r="R29" s="220">
        <v>19</v>
      </c>
      <c r="S29" s="61"/>
      <c r="T29" s="61"/>
      <c r="U29" s="61"/>
      <c r="V29" s="61"/>
      <c r="W29" s="61"/>
      <c r="X29" s="61"/>
      <c r="Y29" s="61"/>
      <c r="Z29" s="61"/>
      <c r="AA29" s="61"/>
      <c r="AB29" s="61"/>
      <c r="AC29" s="61"/>
      <c r="AD29" s="61"/>
      <c r="AE29" s="61"/>
      <c r="AF29" s="70"/>
      <c r="AJ29" s="220">
        <v>19</v>
      </c>
      <c r="AK29" s="227" t="e">
        <f t="shared" si="1"/>
        <v>#DIV/0!</v>
      </c>
      <c r="AL29" s="227" t="e">
        <f t="shared" si="1"/>
        <v>#DIV/0!</v>
      </c>
      <c r="AM29" s="227" t="e">
        <f t="shared" si="1"/>
        <v>#DIV/0!</v>
      </c>
      <c r="AN29" s="227" t="e">
        <f t="shared" si="1"/>
        <v>#DIV/0!</v>
      </c>
      <c r="AO29" s="227" t="e">
        <f t="shared" si="1"/>
        <v>#DIV/0!</v>
      </c>
      <c r="AP29" s="227" t="e">
        <f t="shared" si="1"/>
        <v>#DIV/0!</v>
      </c>
      <c r="AQ29" s="227" t="e">
        <f t="shared" si="1"/>
        <v>#DIV/0!</v>
      </c>
      <c r="AR29" s="227" t="e">
        <f t="shared" si="1"/>
        <v>#DIV/0!</v>
      </c>
      <c r="AS29" s="227" t="e">
        <f t="shared" si="1"/>
        <v>#DIV/0!</v>
      </c>
      <c r="AT29" s="227" t="e">
        <f t="shared" si="1"/>
        <v>#DIV/0!</v>
      </c>
      <c r="AU29" s="227" t="e">
        <f t="shared" si="1"/>
        <v>#DIV/0!</v>
      </c>
      <c r="AV29" s="227" t="e">
        <f t="shared" si="1"/>
        <v>#DIV/0!</v>
      </c>
      <c r="AW29" s="227" t="e">
        <f t="shared" si="1"/>
        <v>#DIV/0!</v>
      </c>
      <c r="AX29" s="228" t="e">
        <f t="shared" si="1"/>
        <v>#DIV/0!</v>
      </c>
    </row>
    <row r="30" spans="2:50">
      <c r="B30" s="220">
        <v>20</v>
      </c>
      <c r="C30" s="61"/>
      <c r="D30" s="61"/>
      <c r="E30" s="61"/>
      <c r="F30" s="61"/>
      <c r="G30" s="61"/>
      <c r="H30" s="61"/>
      <c r="I30" s="61"/>
      <c r="J30" s="61"/>
      <c r="K30" s="61"/>
      <c r="L30" s="61"/>
      <c r="M30" s="61"/>
      <c r="N30" s="61"/>
      <c r="O30" s="61"/>
      <c r="P30" s="70"/>
      <c r="R30" s="220">
        <v>20</v>
      </c>
      <c r="S30" s="61"/>
      <c r="T30" s="61"/>
      <c r="U30" s="61"/>
      <c r="V30" s="61"/>
      <c r="W30" s="61"/>
      <c r="X30" s="61"/>
      <c r="Y30" s="61"/>
      <c r="Z30" s="61"/>
      <c r="AA30" s="61"/>
      <c r="AB30" s="61"/>
      <c r="AC30" s="61"/>
      <c r="AD30" s="61"/>
      <c r="AE30" s="61"/>
      <c r="AF30" s="70"/>
      <c r="AJ30" s="220">
        <v>20</v>
      </c>
      <c r="AK30" s="227" t="e">
        <f t="shared" ref="AK30:AX42" si="2">EXP(-AK$9*$AJ30)</f>
        <v>#DIV/0!</v>
      </c>
      <c r="AL30" s="227" t="e">
        <f t="shared" si="2"/>
        <v>#DIV/0!</v>
      </c>
      <c r="AM30" s="227" t="e">
        <f t="shared" si="2"/>
        <v>#DIV/0!</v>
      </c>
      <c r="AN30" s="227" t="e">
        <f t="shared" si="2"/>
        <v>#DIV/0!</v>
      </c>
      <c r="AO30" s="227" t="e">
        <f t="shared" si="2"/>
        <v>#DIV/0!</v>
      </c>
      <c r="AP30" s="227" t="e">
        <f t="shared" si="2"/>
        <v>#DIV/0!</v>
      </c>
      <c r="AQ30" s="227" t="e">
        <f t="shared" si="2"/>
        <v>#DIV/0!</v>
      </c>
      <c r="AR30" s="227" t="e">
        <f t="shared" si="2"/>
        <v>#DIV/0!</v>
      </c>
      <c r="AS30" s="227" t="e">
        <f t="shared" si="2"/>
        <v>#DIV/0!</v>
      </c>
      <c r="AT30" s="227" t="e">
        <f t="shared" si="2"/>
        <v>#DIV/0!</v>
      </c>
      <c r="AU30" s="227" t="e">
        <f t="shared" si="2"/>
        <v>#DIV/0!</v>
      </c>
      <c r="AV30" s="227" t="e">
        <f t="shared" si="2"/>
        <v>#DIV/0!</v>
      </c>
      <c r="AW30" s="227" t="e">
        <f t="shared" si="2"/>
        <v>#DIV/0!</v>
      </c>
      <c r="AX30" s="228" t="e">
        <f t="shared" si="2"/>
        <v>#DIV/0!</v>
      </c>
    </row>
    <row r="31" spans="2:50">
      <c r="B31" s="220">
        <v>21</v>
      </c>
      <c r="C31" s="61"/>
      <c r="D31" s="61"/>
      <c r="E31" s="61"/>
      <c r="F31" s="61"/>
      <c r="G31" s="61"/>
      <c r="H31" s="61"/>
      <c r="I31" s="61"/>
      <c r="J31" s="61"/>
      <c r="K31" s="61"/>
      <c r="L31" s="61"/>
      <c r="M31" s="61"/>
      <c r="N31" s="61"/>
      <c r="O31" s="61"/>
      <c r="P31" s="70"/>
      <c r="R31" s="220">
        <v>21</v>
      </c>
      <c r="S31" s="61"/>
      <c r="T31" s="61"/>
      <c r="U31" s="61"/>
      <c r="V31" s="61"/>
      <c r="W31" s="61"/>
      <c r="X31" s="61"/>
      <c r="Y31" s="61"/>
      <c r="Z31" s="61"/>
      <c r="AA31" s="61"/>
      <c r="AB31" s="61"/>
      <c r="AC31" s="61"/>
      <c r="AD31" s="61"/>
      <c r="AE31" s="61"/>
      <c r="AF31" s="70"/>
      <c r="AJ31" s="220">
        <v>21</v>
      </c>
      <c r="AK31" s="227" t="e">
        <f t="shared" si="2"/>
        <v>#DIV/0!</v>
      </c>
      <c r="AL31" s="227" t="e">
        <f t="shared" si="2"/>
        <v>#DIV/0!</v>
      </c>
      <c r="AM31" s="227" t="e">
        <f t="shared" si="2"/>
        <v>#DIV/0!</v>
      </c>
      <c r="AN31" s="227" t="e">
        <f t="shared" si="2"/>
        <v>#DIV/0!</v>
      </c>
      <c r="AO31" s="227" t="e">
        <f t="shared" si="2"/>
        <v>#DIV/0!</v>
      </c>
      <c r="AP31" s="227" t="e">
        <f t="shared" si="2"/>
        <v>#DIV/0!</v>
      </c>
      <c r="AQ31" s="227" t="e">
        <f t="shared" si="2"/>
        <v>#DIV/0!</v>
      </c>
      <c r="AR31" s="227" t="e">
        <f t="shared" si="2"/>
        <v>#DIV/0!</v>
      </c>
      <c r="AS31" s="227" t="e">
        <f t="shared" si="2"/>
        <v>#DIV/0!</v>
      </c>
      <c r="AT31" s="227" t="e">
        <f t="shared" si="2"/>
        <v>#DIV/0!</v>
      </c>
      <c r="AU31" s="227" t="e">
        <f t="shared" si="2"/>
        <v>#DIV/0!</v>
      </c>
      <c r="AV31" s="227" t="e">
        <f t="shared" si="2"/>
        <v>#DIV/0!</v>
      </c>
      <c r="AW31" s="227" t="e">
        <f t="shared" si="2"/>
        <v>#DIV/0!</v>
      </c>
      <c r="AX31" s="228" t="e">
        <f t="shared" si="2"/>
        <v>#DIV/0!</v>
      </c>
    </row>
    <row r="32" spans="2:50">
      <c r="B32" s="220">
        <v>22</v>
      </c>
      <c r="C32" s="61"/>
      <c r="D32" s="61"/>
      <c r="E32" s="61"/>
      <c r="F32" s="61"/>
      <c r="G32" s="61"/>
      <c r="H32" s="61"/>
      <c r="I32" s="61"/>
      <c r="J32" s="61"/>
      <c r="K32" s="61"/>
      <c r="L32" s="61"/>
      <c r="M32" s="61"/>
      <c r="N32" s="61"/>
      <c r="O32" s="61"/>
      <c r="P32" s="70"/>
      <c r="R32" s="220">
        <v>22</v>
      </c>
      <c r="S32" s="61"/>
      <c r="T32" s="61"/>
      <c r="U32" s="61"/>
      <c r="V32" s="61"/>
      <c r="W32" s="61"/>
      <c r="X32" s="61"/>
      <c r="Y32" s="61"/>
      <c r="Z32" s="61"/>
      <c r="AA32" s="61"/>
      <c r="AB32" s="61"/>
      <c r="AC32" s="61"/>
      <c r="AD32" s="61"/>
      <c r="AE32" s="61"/>
      <c r="AF32" s="70"/>
      <c r="AJ32" s="220">
        <v>22</v>
      </c>
      <c r="AK32" s="227" t="e">
        <f t="shared" si="2"/>
        <v>#DIV/0!</v>
      </c>
      <c r="AL32" s="227" t="e">
        <f t="shared" si="2"/>
        <v>#DIV/0!</v>
      </c>
      <c r="AM32" s="227" t="e">
        <f t="shared" si="2"/>
        <v>#DIV/0!</v>
      </c>
      <c r="AN32" s="227" t="e">
        <f t="shared" si="2"/>
        <v>#DIV/0!</v>
      </c>
      <c r="AO32" s="227" t="e">
        <f t="shared" si="2"/>
        <v>#DIV/0!</v>
      </c>
      <c r="AP32" s="227" t="e">
        <f t="shared" si="2"/>
        <v>#DIV/0!</v>
      </c>
      <c r="AQ32" s="227" t="e">
        <f t="shared" si="2"/>
        <v>#DIV/0!</v>
      </c>
      <c r="AR32" s="227" t="e">
        <f t="shared" si="2"/>
        <v>#DIV/0!</v>
      </c>
      <c r="AS32" s="227" t="e">
        <f t="shared" si="2"/>
        <v>#DIV/0!</v>
      </c>
      <c r="AT32" s="227" t="e">
        <f t="shared" si="2"/>
        <v>#DIV/0!</v>
      </c>
      <c r="AU32" s="227" t="e">
        <f t="shared" si="2"/>
        <v>#DIV/0!</v>
      </c>
      <c r="AV32" s="227" t="e">
        <f t="shared" si="2"/>
        <v>#DIV/0!</v>
      </c>
      <c r="AW32" s="227" t="e">
        <f t="shared" si="2"/>
        <v>#DIV/0!</v>
      </c>
      <c r="AX32" s="228" t="e">
        <f t="shared" si="2"/>
        <v>#DIV/0!</v>
      </c>
    </row>
    <row r="33" spans="2:50">
      <c r="B33" s="220">
        <v>23</v>
      </c>
      <c r="C33" s="61"/>
      <c r="D33" s="61"/>
      <c r="E33" s="61"/>
      <c r="F33" s="61"/>
      <c r="G33" s="61"/>
      <c r="H33" s="61"/>
      <c r="I33" s="61"/>
      <c r="J33" s="61"/>
      <c r="K33" s="61"/>
      <c r="L33" s="61"/>
      <c r="M33" s="61"/>
      <c r="N33" s="61"/>
      <c r="O33" s="61"/>
      <c r="P33" s="70"/>
      <c r="R33" s="220">
        <v>23</v>
      </c>
      <c r="S33" s="61"/>
      <c r="T33" s="61"/>
      <c r="U33" s="61"/>
      <c r="V33" s="61"/>
      <c r="W33" s="61"/>
      <c r="X33" s="61"/>
      <c r="Y33" s="61"/>
      <c r="Z33" s="61"/>
      <c r="AA33" s="61"/>
      <c r="AB33" s="61"/>
      <c r="AC33" s="61"/>
      <c r="AD33" s="61"/>
      <c r="AE33" s="61"/>
      <c r="AF33" s="70"/>
      <c r="AJ33" s="220">
        <v>23</v>
      </c>
      <c r="AK33" s="227" t="e">
        <f t="shared" si="2"/>
        <v>#DIV/0!</v>
      </c>
      <c r="AL33" s="227" t="e">
        <f t="shared" si="2"/>
        <v>#DIV/0!</v>
      </c>
      <c r="AM33" s="227" t="e">
        <f t="shared" si="2"/>
        <v>#DIV/0!</v>
      </c>
      <c r="AN33" s="227" t="e">
        <f t="shared" si="2"/>
        <v>#DIV/0!</v>
      </c>
      <c r="AO33" s="227" t="e">
        <f t="shared" si="2"/>
        <v>#DIV/0!</v>
      </c>
      <c r="AP33" s="227" t="e">
        <f t="shared" si="2"/>
        <v>#DIV/0!</v>
      </c>
      <c r="AQ33" s="227" t="e">
        <f t="shared" si="2"/>
        <v>#DIV/0!</v>
      </c>
      <c r="AR33" s="227" t="e">
        <f t="shared" si="2"/>
        <v>#DIV/0!</v>
      </c>
      <c r="AS33" s="227" t="e">
        <f t="shared" si="2"/>
        <v>#DIV/0!</v>
      </c>
      <c r="AT33" s="227" t="e">
        <f t="shared" si="2"/>
        <v>#DIV/0!</v>
      </c>
      <c r="AU33" s="227" t="e">
        <f t="shared" si="2"/>
        <v>#DIV/0!</v>
      </c>
      <c r="AV33" s="227" t="e">
        <f t="shared" si="2"/>
        <v>#DIV/0!</v>
      </c>
      <c r="AW33" s="227" t="e">
        <f t="shared" si="2"/>
        <v>#DIV/0!</v>
      </c>
      <c r="AX33" s="228" t="e">
        <f t="shared" si="2"/>
        <v>#DIV/0!</v>
      </c>
    </row>
    <row r="34" spans="2:50">
      <c r="B34" s="224">
        <v>24</v>
      </c>
      <c r="C34" s="68"/>
      <c r="D34" s="68"/>
      <c r="E34" s="68"/>
      <c r="F34" s="68"/>
      <c r="G34" s="68"/>
      <c r="H34" s="68"/>
      <c r="I34" s="68"/>
      <c r="J34" s="68"/>
      <c r="K34" s="68"/>
      <c r="L34" s="68"/>
      <c r="M34" s="68"/>
      <c r="N34" s="68"/>
      <c r="O34" s="68"/>
      <c r="P34" s="69"/>
      <c r="R34" s="224">
        <v>24</v>
      </c>
      <c r="S34" s="68"/>
      <c r="T34" s="68"/>
      <c r="U34" s="68"/>
      <c r="V34" s="68"/>
      <c r="W34" s="68"/>
      <c r="X34" s="68"/>
      <c r="Y34" s="68"/>
      <c r="Z34" s="68"/>
      <c r="AA34" s="68"/>
      <c r="AB34" s="68"/>
      <c r="AC34" s="68"/>
      <c r="AD34" s="68"/>
      <c r="AE34" s="68"/>
      <c r="AF34" s="69"/>
      <c r="AJ34" s="224">
        <v>24</v>
      </c>
      <c r="AK34" s="225" t="e">
        <f t="shared" si="2"/>
        <v>#DIV/0!</v>
      </c>
      <c r="AL34" s="225" t="e">
        <f t="shared" si="2"/>
        <v>#DIV/0!</v>
      </c>
      <c r="AM34" s="225" t="e">
        <f t="shared" si="2"/>
        <v>#DIV/0!</v>
      </c>
      <c r="AN34" s="225" t="e">
        <f t="shared" si="2"/>
        <v>#DIV/0!</v>
      </c>
      <c r="AO34" s="225" t="e">
        <f t="shared" si="2"/>
        <v>#DIV/0!</v>
      </c>
      <c r="AP34" s="225" t="e">
        <f t="shared" si="2"/>
        <v>#DIV/0!</v>
      </c>
      <c r="AQ34" s="225" t="e">
        <f t="shared" si="2"/>
        <v>#DIV/0!</v>
      </c>
      <c r="AR34" s="225" t="e">
        <f t="shared" si="2"/>
        <v>#DIV/0!</v>
      </c>
      <c r="AS34" s="225" t="e">
        <f t="shared" si="2"/>
        <v>#DIV/0!</v>
      </c>
      <c r="AT34" s="225" t="e">
        <f t="shared" si="2"/>
        <v>#DIV/0!</v>
      </c>
      <c r="AU34" s="225" t="e">
        <f t="shared" si="2"/>
        <v>#DIV/0!</v>
      </c>
      <c r="AV34" s="225" t="e">
        <f t="shared" si="2"/>
        <v>#DIV/0!</v>
      </c>
      <c r="AW34" s="225" t="e">
        <f t="shared" si="2"/>
        <v>#DIV/0!</v>
      </c>
      <c r="AX34" s="226" t="e">
        <f t="shared" si="2"/>
        <v>#DIV/0!</v>
      </c>
    </row>
    <row r="35" spans="2:50" s="229" customFormat="1">
      <c r="B35" s="220">
        <v>25</v>
      </c>
      <c r="C35" s="61"/>
      <c r="D35" s="61"/>
      <c r="E35" s="61"/>
      <c r="F35" s="61"/>
      <c r="G35" s="61"/>
      <c r="H35" s="61"/>
      <c r="I35" s="61"/>
      <c r="J35" s="61"/>
      <c r="K35" s="61"/>
      <c r="L35" s="61"/>
      <c r="M35" s="61"/>
      <c r="N35" s="61"/>
      <c r="O35" s="61"/>
      <c r="P35" s="70"/>
      <c r="R35" s="220">
        <v>25</v>
      </c>
      <c r="S35" s="61"/>
      <c r="T35" s="61"/>
      <c r="U35" s="61"/>
      <c r="V35" s="61"/>
      <c r="W35" s="61"/>
      <c r="X35" s="61"/>
      <c r="Y35" s="61"/>
      <c r="Z35" s="61"/>
      <c r="AA35" s="61"/>
      <c r="AB35" s="61"/>
      <c r="AC35" s="61"/>
      <c r="AD35" s="61"/>
      <c r="AE35" s="61"/>
      <c r="AF35" s="70"/>
      <c r="AJ35" s="220">
        <v>25</v>
      </c>
      <c r="AK35" s="227" t="e">
        <f t="shared" si="2"/>
        <v>#DIV/0!</v>
      </c>
      <c r="AL35" s="227" t="e">
        <f t="shared" si="2"/>
        <v>#DIV/0!</v>
      </c>
      <c r="AM35" s="227" t="e">
        <f t="shared" si="2"/>
        <v>#DIV/0!</v>
      </c>
      <c r="AN35" s="227" t="e">
        <f t="shared" si="2"/>
        <v>#DIV/0!</v>
      </c>
      <c r="AO35" s="227" t="e">
        <f t="shared" si="2"/>
        <v>#DIV/0!</v>
      </c>
      <c r="AP35" s="227" t="e">
        <f t="shared" si="2"/>
        <v>#DIV/0!</v>
      </c>
      <c r="AQ35" s="227" t="e">
        <f t="shared" si="2"/>
        <v>#DIV/0!</v>
      </c>
      <c r="AR35" s="227" t="e">
        <f t="shared" si="2"/>
        <v>#DIV/0!</v>
      </c>
      <c r="AS35" s="227" t="e">
        <f t="shared" si="2"/>
        <v>#DIV/0!</v>
      </c>
      <c r="AT35" s="227" t="e">
        <f t="shared" si="2"/>
        <v>#DIV/0!</v>
      </c>
      <c r="AU35" s="227" t="e">
        <f t="shared" si="2"/>
        <v>#DIV/0!</v>
      </c>
      <c r="AV35" s="227" t="e">
        <f t="shared" si="2"/>
        <v>#DIV/0!</v>
      </c>
      <c r="AW35" s="227" t="e">
        <f t="shared" si="2"/>
        <v>#DIV/0!</v>
      </c>
      <c r="AX35" s="228" t="e">
        <f t="shared" si="2"/>
        <v>#DIV/0!</v>
      </c>
    </row>
    <row r="36" spans="2:50">
      <c r="B36" s="220">
        <v>26</v>
      </c>
      <c r="C36" s="61"/>
      <c r="D36" s="61"/>
      <c r="E36" s="61"/>
      <c r="F36" s="61"/>
      <c r="G36" s="61"/>
      <c r="H36" s="61"/>
      <c r="I36" s="61"/>
      <c r="J36" s="61"/>
      <c r="K36" s="61"/>
      <c r="L36" s="61"/>
      <c r="M36" s="61"/>
      <c r="N36" s="61"/>
      <c r="O36" s="61"/>
      <c r="P36" s="70"/>
      <c r="R36" s="220">
        <v>26</v>
      </c>
      <c r="S36" s="61"/>
      <c r="T36" s="61"/>
      <c r="U36" s="61"/>
      <c r="V36" s="61"/>
      <c r="W36" s="61"/>
      <c r="X36" s="61"/>
      <c r="Y36" s="61"/>
      <c r="Z36" s="61"/>
      <c r="AA36" s="61"/>
      <c r="AB36" s="61"/>
      <c r="AC36" s="61"/>
      <c r="AD36" s="61"/>
      <c r="AE36" s="61"/>
      <c r="AF36" s="70"/>
      <c r="AJ36" s="220">
        <v>26</v>
      </c>
      <c r="AK36" s="227" t="e">
        <f t="shared" si="2"/>
        <v>#DIV/0!</v>
      </c>
      <c r="AL36" s="227" t="e">
        <f t="shared" si="2"/>
        <v>#DIV/0!</v>
      </c>
      <c r="AM36" s="227" t="e">
        <f t="shared" si="2"/>
        <v>#DIV/0!</v>
      </c>
      <c r="AN36" s="227" t="e">
        <f t="shared" si="2"/>
        <v>#DIV/0!</v>
      </c>
      <c r="AO36" s="227" t="e">
        <f t="shared" si="2"/>
        <v>#DIV/0!</v>
      </c>
      <c r="AP36" s="227" t="e">
        <f t="shared" si="2"/>
        <v>#DIV/0!</v>
      </c>
      <c r="AQ36" s="227" t="e">
        <f t="shared" si="2"/>
        <v>#DIV/0!</v>
      </c>
      <c r="AR36" s="227" t="e">
        <f t="shared" si="2"/>
        <v>#DIV/0!</v>
      </c>
      <c r="AS36" s="227" t="e">
        <f t="shared" si="2"/>
        <v>#DIV/0!</v>
      </c>
      <c r="AT36" s="227" t="e">
        <f t="shared" si="2"/>
        <v>#DIV/0!</v>
      </c>
      <c r="AU36" s="227" t="e">
        <f t="shared" si="2"/>
        <v>#DIV/0!</v>
      </c>
      <c r="AV36" s="227" t="e">
        <f t="shared" si="2"/>
        <v>#DIV/0!</v>
      </c>
      <c r="AW36" s="227" t="e">
        <f t="shared" si="2"/>
        <v>#DIV/0!</v>
      </c>
      <c r="AX36" s="228" t="e">
        <f t="shared" si="2"/>
        <v>#DIV/0!</v>
      </c>
    </row>
    <row r="37" spans="2:50">
      <c r="B37" s="220">
        <v>27</v>
      </c>
      <c r="C37" s="61"/>
      <c r="D37" s="61"/>
      <c r="E37" s="61"/>
      <c r="F37" s="61"/>
      <c r="G37" s="61"/>
      <c r="H37" s="61"/>
      <c r="I37" s="61"/>
      <c r="J37" s="61"/>
      <c r="K37" s="61"/>
      <c r="L37" s="61"/>
      <c r="M37" s="61"/>
      <c r="N37" s="61"/>
      <c r="O37" s="61"/>
      <c r="P37" s="70"/>
      <c r="R37" s="220">
        <v>27</v>
      </c>
      <c r="S37" s="61"/>
      <c r="T37" s="61"/>
      <c r="U37" s="61"/>
      <c r="V37" s="61"/>
      <c r="W37" s="61"/>
      <c r="X37" s="61"/>
      <c r="Y37" s="61"/>
      <c r="Z37" s="61"/>
      <c r="AA37" s="61"/>
      <c r="AB37" s="61"/>
      <c r="AC37" s="61"/>
      <c r="AD37" s="61"/>
      <c r="AE37" s="61"/>
      <c r="AF37" s="70"/>
      <c r="AJ37" s="220">
        <v>27</v>
      </c>
      <c r="AK37" s="227" t="e">
        <f t="shared" si="2"/>
        <v>#DIV/0!</v>
      </c>
      <c r="AL37" s="227" t="e">
        <f t="shared" si="2"/>
        <v>#DIV/0!</v>
      </c>
      <c r="AM37" s="227" t="e">
        <f t="shared" si="2"/>
        <v>#DIV/0!</v>
      </c>
      <c r="AN37" s="227" t="e">
        <f t="shared" si="2"/>
        <v>#DIV/0!</v>
      </c>
      <c r="AO37" s="227" t="e">
        <f t="shared" si="2"/>
        <v>#DIV/0!</v>
      </c>
      <c r="AP37" s="227" t="e">
        <f t="shared" si="2"/>
        <v>#DIV/0!</v>
      </c>
      <c r="AQ37" s="227" t="e">
        <f t="shared" si="2"/>
        <v>#DIV/0!</v>
      </c>
      <c r="AR37" s="227" t="e">
        <f t="shared" si="2"/>
        <v>#DIV/0!</v>
      </c>
      <c r="AS37" s="227" t="e">
        <f t="shared" si="2"/>
        <v>#DIV/0!</v>
      </c>
      <c r="AT37" s="227" t="e">
        <f t="shared" si="2"/>
        <v>#DIV/0!</v>
      </c>
      <c r="AU37" s="227" t="e">
        <f t="shared" si="2"/>
        <v>#DIV/0!</v>
      </c>
      <c r="AV37" s="227" t="e">
        <f t="shared" si="2"/>
        <v>#DIV/0!</v>
      </c>
      <c r="AW37" s="227" t="e">
        <f t="shared" si="2"/>
        <v>#DIV/0!</v>
      </c>
      <c r="AX37" s="228" t="e">
        <f t="shared" si="2"/>
        <v>#DIV/0!</v>
      </c>
    </row>
    <row r="38" spans="2:50">
      <c r="B38" s="220">
        <v>28</v>
      </c>
      <c r="C38" s="61"/>
      <c r="D38" s="61"/>
      <c r="E38" s="61"/>
      <c r="F38" s="61"/>
      <c r="G38" s="61"/>
      <c r="H38" s="61"/>
      <c r="I38" s="61"/>
      <c r="J38" s="61"/>
      <c r="K38" s="61"/>
      <c r="L38" s="61"/>
      <c r="M38" s="61"/>
      <c r="N38" s="61"/>
      <c r="O38" s="61"/>
      <c r="P38" s="70"/>
      <c r="R38" s="220">
        <v>28</v>
      </c>
      <c r="S38" s="61"/>
      <c r="T38" s="61"/>
      <c r="U38" s="61"/>
      <c r="V38" s="61"/>
      <c r="W38" s="61"/>
      <c r="X38" s="61"/>
      <c r="Y38" s="61"/>
      <c r="Z38" s="61"/>
      <c r="AA38" s="61"/>
      <c r="AB38" s="61"/>
      <c r="AC38" s="61"/>
      <c r="AD38" s="61"/>
      <c r="AE38" s="61"/>
      <c r="AF38" s="70"/>
      <c r="AJ38" s="220">
        <v>28</v>
      </c>
      <c r="AK38" s="227" t="e">
        <f t="shared" si="2"/>
        <v>#DIV/0!</v>
      </c>
      <c r="AL38" s="227" t="e">
        <f t="shared" si="2"/>
        <v>#DIV/0!</v>
      </c>
      <c r="AM38" s="227" t="e">
        <f t="shared" si="2"/>
        <v>#DIV/0!</v>
      </c>
      <c r="AN38" s="227" t="e">
        <f t="shared" si="2"/>
        <v>#DIV/0!</v>
      </c>
      <c r="AO38" s="227" t="e">
        <f t="shared" si="2"/>
        <v>#DIV/0!</v>
      </c>
      <c r="AP38" s="227" t="e">
        <f t="shared" si="2"/>
        <v>#DIV/0!</v>
      </c>
      <c r="AQ38" s="227" t="e">
        <f t="shared" si="2"/>
        <v>#DIV/0!</v>
      </c>
      <c r="AR38" s="227" t="e">
        <f t="shared" si="2"/>
        <v>#DIV/0!</v>
      </c>
      <c r="AS38" s="227" t="e">
        <f t="shared" si="2"/>
        <v>#DIV/0!</v>
      </c>
      <c r="AT38" s="227" t="e">
        <f t="shared" si="2"/>
        <v>#DIV/0!</v>
      </c>
      <c r="AU38" s="227" t="e">
        <f t="shared" si="2"/>
        <v>#DIV/0!</v>
      </c>
      <c r="AV38" s="227" t="e">
        <f t="shared" si="2"/>
        <v>#DIV/0!</v>
      </c>
      <c r="AW38" s="227" t="e">
        <f t="shared" si="2"/>
        <v>#DIV/0!</v>
      </c>
      <c r="AX38" s="228" t="e">
        <f t="shared" si="2"/>
        <v>#DIV/0!</v>
      </c>
    </row>
    <row r="39" spans="2:50">
      <c r="B39" s="220">
        <v>29</v>
      </c>
      <c r="C39" s="61"/>
      <c r="D39" s="61"/>
      <c r="E39" s="61"/>
      <c r="F39" s="61"/>
      <c r="G39" s="61"/>
      <c r="H39" s="61"/>
      <c r="I39" s="61"/>
      <c r="J39" s="61"/>
      <c r="K39" s="61"/>
      <c r="L39" s="61"/>
      <c r="M39" s="61"/>
      <c r="N39" s="61"/>
      <c r="O39" s="61"/>
      <c r="P39" s="70"/>
      <c r="R39" s="220">
        <v>29</v>
      </c>
      <c r="S39" s="61"/>
      <c r="T39" s="61"/>
      <c r="U39" s="61"/>
      <c r="V39" s="61"/>
      <c r="W39" s="61"/>
      <c r="X39" s="61"/>
      <c r="Y39" s="61"/>
      <c r="Z39" s="61"/>
      <c r="AA39" s="61"/>
      <c r="AB39" s="61"/>
      <c r="AC39" s="61"/>
      <c r="AD39" s="61"/>
      <c r="AE39" s="61"/>
      <c r="AF39" s="70"/>
      <c r="AJ39" s="220">
        <v>29</v>
      </c>
      <c r="AK39" s="227" t="e">
        <f t="shared" si="2"/>
        <v>#DIV/0!</v>
      </c>
      <c r="AL39" s="227" t="e">
        <f t="shared" si="2"/>
        <v>#DIV/0!</v>
      </c>
      <c r="AM39" s="227" t="e">
        <f t="shared" si="2"/>
        <v>#DIV/0!</v>
      </c>
      <c r="AN39" s="227" t="e">
        <f t="shared" si="2"/>
        <v>#DIV/0!</v>
      </c>
      <c r="AO39" s="227" t="e">
        <f t="shared" si="2"/>
        <v>#DIV/0!</v>
      </c>
      <c r="AP39" s="227" t="e">
        <f t="shared" si="2"/>
        <v>#DIV/0!</v>
      </c>
      <c r="AQ39" s="227" t="e">
        <f t="shared" si="2"/>
        <v>#DIV/0!</v>
      </c>
      <c r="AR39" s="227" t="e">
        <f t="shared" si="2"/>
        <v>#DIV/0!</v>
      </c>
      <c r="AS39" s="227" t="e">
        <f t="shared" si="2"/>
        <v>#DIV/0!</v>
      </c>
      <c r="AT39" s="227" t="e">
        <f t="shared" si="2"/>
        <v>#DIV/0!</v>
      </c>
      <c r="AU39" s="227" t="e">
        <f t="shared" si="2"/>
        <v>#DIV/0!</v>
      </c>
      <c r="AV39" s="227" t="e">
        <f t="shared" si="2"/>
        <v>#DIV/0!</v>
      </c>
      <c r="AW39" s="227" t="e">
        <f t="shared" si="2"/>
        <v>#DIV/0!</v>
      </c>
      <c r="AX39" s="228" t="e">
        <f t="shared" si="2"/>
        <v>#DIV/0!</v>
      </c>
    </row>
    <row r="40" spans="2:50">
      <c r="B40" s="220">
        <v>30</v>
      </c>
      <c r="C40" s="61"/>
      <c r="D40" s="61"/>
      <c r="E40" s="61"/>
      <c r="F40" s="61"/>
      <c r="G40" s="61"/>
      <c r="H40" s="61"/>
      <c r="I40" s="61"/>
      <c r="J40" s="61"/>
      <c r="K40" s="61"/>
      <c r="L40" s="61"/>
      <c r="M40" s="61"/>
      <c r="N40" s="61"/>
      <c r="O40" s="61"/>
      <c r="P40" s="70"/>
      <c r="R40" s="220">
        <v>30</v>
      </c>
      <c r="S40" s="61"/>
      <c r="T40" s="61"/>
      <c r="U40" s="61"/>
      <c r="V40" s="61"/>
      <c r="W40" s="61"/>
      <c r="X40" s="61"/>
      <c r="Y40" s="61"/>
      <c r="Z40" s="61"/>
      <c r="AA40" s="61"/>
      <c r="AB40" s="61"/>
      <c r="AC40" s="61"/>
      <c r="AD40" s="61"/>
      <c r="AE40" s="61"/>
      <c r="AF40" s="70"/>
      <c r="AJ40" s="220">
        <v>30</v>
      </c>
      <c r="AK40" s="227" t="e">
        <f t="shared" si="2"/>
        <v>#DIV/0!</v>
      </c>
      <c r="AL40" s="227" t="e">
        <f t="shared" si="2"/>
        <v>#DIV/0!</v>
      </c>
      <c r="AM40" s="227" t="e">
        <f t="shared" si="2"/>
        <v>#DIV/0!</v>
      </c>
      <c r="AN40" s="227" t="e">
        <f t="shared" si="2"/>
        <v>#DIV/0!</v>
      </c>
      <c r="AO40" s="227" t="e">
        <f t="shared" si="2"/>
        <v>#DIV/0!</v>
      </c>
      <c r="AP40" s="227" t="e">
        <f t="shared" si="2"/>
        <v>#DIV/0!</v>
      </c>
      <c r="AQ40" s="227" t="e">
        <f t="shared" si="2"/>
        <v>#DIV/0!</v>
      </c>
      <c r="AR40" s="227" t="e">
        <f t="shared" si="2"/>
        <v>#DIV/0!</v>
      </c>
      <c r="AS40" s="227" t="e">
        <f t="shared" si="2"/>
        <v>#DIV/0!</v>
      </c>
      <c r="AT40" s="227" t="e">
        <f t="shared" si="2"/>
        <v>#DIV/0!</v>
      </c>
      <c r="AU40" s="227" t="e">
        <f t="shared" si="2"/>
        <v>#DIV/0!</v>
      </c>
      <c r="AV40" s="227" t="e">
        <f t="shared" si="2"/>
        <v>#DIV/0!</v>
      </c>
      <c r="AW40" s="227" t="e">
        <f t="shared" si="2"/>
        <v>#DIV/0!</v>
      </c>
      <c r="AX40" s="228" t="e">
        <f t="shared" si="2"/>
        <v>#DIV/0!</v>
      </c>
    </row>
    <row r="41" spans="2:50">
      <c r="B41" s="220">
        <v>31</v>
      </c>
      <c r="C41" s="61"/>
      <c r="D41" s="61"/>
      <c r="E41" s="61"/>
      <c r="F41" s="61"/>
      <c r="G41" s="61"/>
      <c r="H41" s="61"/>
      <c r="I41" s="61"/>
      <c r="J41" s="61"/>
      <c r="K41" s="61"/>
      <c r="L41" s="61"/>
      <c r="M41" s="61"/>
      <c r="N41" s="61"/>
      <c r="O41" s="61"/>
      <c r="P41" s="70"/>
      <c r="R41" s="220">
        <v>31</v>
      </c>
      <c r="S41" s="61"/>
      <c r="T41" s="61"/>
      <c r="U41" s="61"/>
      <c r="V41" s="61"/>
      <c r="W41" s="61"/>
      <c r="X41" s="61"/>
      <c r="Y41" s="61"/>
      <c r="Z41" s="61"/>
      <c r="AA41" s="61"/>
      <c r="AB41" s="61"/>
      <c r="AC41" s="61"/>
      <c r="AD41" s="61"/>
      <c r="AE41" s="61"/>
      <c r="AF41" s="70"/>
      <c r="AJ41" s="220">
        <v>31</v>
      </c>
      <c r="AK41" s="227" t="e">
        <f t="shared" si="2"/>
        <v>#DIV/0!</v>
      </c>
      <c r="AL41" s="227" t="e">
        <f t="shared" si="2"/>
        <v>#DIV/0!</v>
      </c>
      <c r="AM41" s="227" t="e">
        <f t="shared" si="2"/>
        <v>#DIV/0!</v>
      </c>
      <c r="AN41" s="227" t="e">
        <f t="shared" si="2"/>
        <v>#DIV/0!</v>
      </c>
      <c r="AO41" s="227" t="e">
        <f t="shared" si="2"/>
        <v>#DIV/0!</v>
      </c>
      <c r="AP41" s="227" t="e">
        <f t="shared" si="2"/>
        <v>#DIV/0!</v>
      </c>
      <c r="AQ41" s="227" t="e">
        <f t="shared" si="2"/>
        <v>#DIV/0!</v>
      </c>
      <c r="AR41" s="227" t="e">
        <f t="shared" si="2"/>
        <v>#DIV/0!</v>
      </c>
      <c r="AS41" s="227" t="e">
        <f t="shared" si="2"/>
        <v>#DIV/0!</v>
      </c>
      <c r="AT41" s="227" t="e">
        <f t="shared" si="2"/>
        <v>#DIV/0!</v>
      </c>
      <c r="AU41" s="227" t="e">
        <f t="shared" si="2"/>
        <v>#DIV/0!</v>
      </c>
      <c r="AV41" s="227" t="e">
        <f t="shared" si="2"/>
        <v>#DIV/0!</v>
      </c>
      <c r="AW41" s="227" t="e">
        <f t="shared" si="2"/>
        <v>#DIV/0!</v>
      </c>
      <c r="AX41" s="228" t="e">
        <f t="shared" si="2"/>
        <v>#DIV/0!</v>
      </c>
    </row>
    <row r="42" spans="2:50">
      <c r="B42" s="220">
        <v>32</v>
      </c>
      <c r="C42" s="61"/>
      <c r="D42" s="61"/>
      <c r="E42" s="61"/>
      <c r="F42" s="61"/>
      <c r="G42" s="61"/>
      <c r="H42" s="61"/>
      <c r="I42" s="61"/>
      <c r="J42" s="61"/>
      <c r="K42" s="61"/>
      <c r="L42" s="61"/>
      <c r="M42" s="61"/>
      <c r="N42" s="61"/>
      <c r="O42" s="61"/>
      <c r="P42" s="70"/>
      <c r="R42" s="220">
        <v>32</v>
      </c>
      <c r="S42" s="61"/>
      <c r="T42" s="61"/>
      <c r="U42" s="61"/>
      <c r="V42" s="61"/>
      <c r="W42" s="61"/>
      <c r="X42" s="61"/>
      <c r="Y42" s="61"/>
      <c r="Z42" s="61"/>
      <c r="AA42" s="61"/>
      <c r="AB42" s="61"/>
      <c r="AC42" s="61"/>
      <c r="AD42" s="61"/>
      <c r="AE42" s="61"/>
      <c r="AF42" s="70"/>
      <c r="AJ42" s="220">
        <v>32</v>
      </c>
      <c r="AK42" s="227" t="e">
        <f t="shared" si="2"/>
        <v>#DIV/0!</v>
      </c>
      <c r="AL42" s="227" t="e">
        <f t="shared" si="2"/>
        <v>#DIV/0!</v>
      </c>
      <c r="AM42" s="227" t="e">
        <f t="shared" si="2"/>
        <v>#DIV/0!</v>
      </c>
      <c r="AN42" s="227" t="e">
        <f t="shared" si="2"/>
        <v>#DIV/0!</v>
      </c>
      <c r="AO42" s="227" t="e">
        <f t="shared" si="2"/>
        <v>#DIV/0!</v>
      </c>
      <c r="AP42" s="227" t="e">
        <f t="shared" si="2"/>
        <v>#DIV/0!</v>
      </c>
      <c r="AQ42" s="227" t="e">
        <f t="shared" si="2"/>
        <v>#DIV/0!</v>
      </c>
      <c r="AR42" s="227" t="e">
        <f t="shared" si="2"/>
        <v>#DIV/0!</v>
      </c>
      <c r="AS42" s="227" t="e">
        <f t="shared" si="2"/>
        <v>#DIV/0!</v>
      </c>
      <c r="AT42" s="227" t="e">
        <f t="shared" si="2"/>
        <v>#DIV/0!</v>
      </c>
      <c r="AU42" s="227" t="e">
        <f t="shared" si="2"/>
        <v>#DIV/0!</v>
      </c>
      <c r="AV42" s="227" t="e">
        <f t="shared" si="2"/>
        <v>#DIV/0!</v>
      </c>
      <c r="AW42" s="227" t="e">
        <f t="shared" si="2"/>
        <v>#DIV/0!</v>
      </c>
      <c r="AX42" s="228" t="e">
        <f t="shared" si="2"/>
        <v>#DIV/0!</v>
      </c>
    </row>
    <row r="43" spans="2:50">
      <c r="B43" s="220">
        <v>33</v>
      </c>
      <c r="C43" s="61"/>
      <c r="D43" s="61"/>
      <c r="E43" s="61"/>
      <c r="F43" s="61"/>
      <c r="G43" s="61"/>
      <c r="H43" s="61"/>
      <c r="I43" s="61"/>
      <c r="J43" s="61"/>
      <c r="K43" s="61"/>
      <c r="L43" s="61"/>
      <c r="M43" s="61"/>
      <c r="N43" s="61"/>
      <c r="O43" s="61"/>
      <c r="P43" s="70"/>
      <c r="R43" s="220">
        <v>33</v>
      </c>
      <c r="S43" s="61"/>
      <c r="T43" s="61"/>
      <c r="U43" s="61"/>
      <c r="V43" s="61"/>
      <c r="W43" s="61"/>
      <c r="X43" s="61"/>
      <c r="Y43" s="61"/>
      <c r="Z43" s="61"/>
      <c r="AA43" s="61"/>
      <c r="AB43" s="61"/>
      <c r="AC43" s="61"/>
      <c r="AD43" s="61"/>
      <c r="AE43" s="61"/>
      <c r="AF43" s="70"/>
      <c r="AJ43" s="220">
        <v>33</v>
      </c>
      <c r="AK43" s="227" t="e">
        <f t="shared" ref="AK43:AX58" si="3">EXP(-AK$9*$AJ43)</f>
        <v>#DIV/0!</v>
      </c>
      <c r="AL43" s="227" t="e">
        <f t="shared" si="3"/>
        <v>#DIV/0!</v>
      </c>
      <c r="AM43" s="227" t="e">
        <f t="shared" si="3"/>
        <v>#DIV/0!</v>
      </c>
      <c r="AN43" s="227" t="e">
        <f t="shared" si="3"/>
        <v>#DIV/0!</v>
      </c>
      <c r="AO43" s="227" t="e">
        <f t="shared" si="3"/>
        <v>#DIV/0!</v>
      </c>
      <c r="AP43" s="227" t="e">
        <f t="shared" si="3"/>
        <v>#DIV/0!</v>
      </c>
      <c r="AQ43" s="227" t="e">
        <f t="shared" si="3"/>
        <v>#DIV/0!</v>
      </c>
      <c r="AR43" s="227" t="e">
        <f t="shared" si="3"/>
        <v>#DIV/0!</v>
      </c>
      <c r="AS43" s="227" t="e">
        <f t="shared" si="3"/>
        <v>#DIV/0!</v>
      </c>
      <c r="AT43" s="227" t="e">
        <f t="shared" si="3"/>
        <v>#DIV/0!</v>
      </c>
      <c r="AU43" s="227" t="e">
        <f t="shared" si="3"/>
        <v>#DIV/0!</v>
      </c>
      <c r="AV43" s="227" t="e">
        <f t="shared" si="3"/>
        <v>#DIV/0!</v>
      </c>
      <c r="AW43" s="227" t="e">
        <f t="shared" si="3"/>
        <v>#DIV/0!</v>
      </c>
      <c r="AX43" s="228" t="e">
        <f t="shared" si="3"/>
        <v>#DIV/0!</v>
      </c>
    </row>
    <row r="44" spans="2:50">
      <c r="B44" s="220">
        <v>34</v>
      </c>
      <c r="C44" s="61"/>
      <c r="D44" s="61"/>
      <c r="E44" s="61"/>
      <c r="F44" s="61"/>
      <c r="G44" s="61"/>
      <c r="H44" s="61"/>
      <c r="I44" s="61"/>
      <c r="J44" s="61"/>
      <c r="K44" s="61"/>
      <c r="L44" s="61"/>
      <c r="M44" s="61"/>
      <c r="N44" s="61"/>
      <c r="O44" s="61"/>
      <c r="P44" s="70"/>
      <c r="R44" s="220">
        <v>34</v>
      </c>
      <c r="S44" s="61"/>
      <c r="T44" s="61"/>
      <c r="U44" s="61"/>
      <c r="V44" s="61"/>
      <c r="W44" s="61"/>
      <c r="X44" s="61"/>
      <c r="Y44" s="61"/>
      <c r="Z44" s="61"/>
      <c r="AA44" s="61"/>
      <c r="AB44" s="61"/>
      <c r="AC44" s="61"/>
      <c r="AD44" s="61"/>
      <c r="AE44" s="61"/>
      <c r="AF44" s="70"/>
      <c r="AJ44" s="220">
        <v>34</v>
      </c>
      <c r="AK44" s="227" t="e">
        <f t="shared" si="3"/>
        <v>#DIV/0!</v>
      </c>
      <c r="AL44" s="227" t="e">
        <f t="shared" si="3"/>
        <v>#DIV/0!</v>
      </c>
      <c r="AM44" s="227" t="e">
        <f t="shared" si="3"/>
        <v>#DIV/0!</v>
      </c>
      <c r="AN44" s="227" t="e">
        <f t="shared" si="3"/>
        <v>#DIV/0!</v>
      </c>
      <c r="AO44" s="227" t="e">
        <f t="shared" si="3"/>
        <v>#DIV/0!</v>
      </c>
      <c r="AP44" s="227" t="e">
        <f t="shared" si="3"/>
        <v>#DIV/0!</v>
      </c>
      <c r="AQ44" s="227" t="e">
        <f t="shared" si="3"/>
        <v>#DIV/0!</v>
      </c>
      <c r="AR44" s="227" t="e">
        <f t="shared" si="3"/>
        <v>#DIV/0!</v>
      </c>
      <c r="AS44" s="227" t="e">
        <f t="shared" si="3"/>
        <v>#DIV/0!</v>
      </c>
      <c r="AT44" s="227" t="e">
        <f t="shared" si="3"/>
        <v>#DIV/0!</v>
      </c>
      <c r="AU44" s="227" t="e">
        <f t="shared" si="3"/>
        <v>#DIV/0!</v>
      </c>
      <c r="AV44" s="227" t="e">
        <f t="shared" si="3"/>
        <v>#DIV/0!</v>
      </c>
      <c r="AW44" s="227" t="e">
        <f t="shared" si="3"/>
        <v>#DIV/0!</v>
      </c>
      <c r="AX44" s="228" t="e">
        <f t="shared" si="3"/>
        <v>#DIV/0!</v>
      </c>
    </row>
    <row r="45" spans="2:50">
      <c r="B45" s="220">
        <v>35</v>
      </c>
      <c r="C45" s="61"/>
      <c r="D45" s="61"/>
      <c r="E45" s="61"/>
      <c r="F45" s="61"/>
      <c r="G45" s="61"/>
      <c r="H45" s="61"/>
      <c r="I45" s="61"/>
      <c r="J45" s="61"/>
      <c r="K45" s="61"/>
      <c r="L45" s="61"/>
      <c r="M45" s="61"/>
      <c r="N45" s="61"/>
      <c r="O45" s="61"/>
      <c r="P45" s="70"/>
      <c r="R45" s="220">
        <v>35</v>
      </c>
      <c r="S45" s="61"/>
      <c r="T45" s="61"/>
      <c r="U45" s="61"/>
      <c r="V45" s="61"/>
      <c r="W45" s="61"/>
      <c r="X45" s="61"/>
      <c r="Y45" s="61"/>
      <c r="Z45" s="61"/>
      <c r="AA45" s="61"/>
      <c r="AB45" s="61"/>
      <c r="AC45" s="61"/>
      <c r="AD45" s="61"/>
      <c r="AE45" s="61"/>
      <c r="AF45" s="70"/>
      <c r="AJ45" s="220">
        <v>35</v>
      </c>
      <c r="AK45" s="227" t="e">
        <f t="shared" si="3"/>
        <v>#DIV/0!</v>
      </c>
      <c r="AL45" s="227" t="e">
        <f t="shared" si="3"/>
        <v>#DIV/0!</v>
      </c>
      <c r="AM45" s="227" t="e">
        <f t="shared" si="3"/>
        <v>#DIV/0!</v>
      </c>
      <c r="AN45" s="227" t="e">
        <f t="shared" si="3"/>
        <v>#DIV/0!</v>
      </c>
      <c r="AO45" s="227" t="e">
        <f t="shared" si="3"/>
        <v>#DIV/0!</v>
      </c>
      <c r="AP45" s="227" t="e">
        <f t="shared" si="3"/>
        <v>#DIV/0!</v>
      </c>
      <c r="AQ45" s="227" t="e">
        <f t="shared" si="3"/>
        <v>#DIV/0!</v>
      </c>
      <c r="AR45" s="227" t="e">
        <f t="shared" si="3"/>
        <v>#DIV/0!</v>
      </c>
      <c r="AS45" s="227" t="e">
        <f t="shared" si="3"/>
        <v>#DIV/0!</v>
      </c>
      <c r="AT45" s="227" t="e">
        <f t="shared" si="3"/>
        <v>#DIV/0!</v>
      </c>
      <c r="AU45" s="227" t="e">
        <f t="shared" si="3"/>
        <v>#DIV/0!</v>
      </c>
      <c r="AV45" s="227" t="e">
        <f t="shared" si="3"/>
        <v>#DIV/0!</v>
      </c>
      <c r="AW45" s="227" t="e">
        <f t="shared" si="3"/>
        <v>#DIV/0!</v>
      </c>
      <c r="AX45" s="228" t="e">
        <f t="shared" si="3"/>
        <v>#DIV/0!</v>
      </c>
    </row>
    <row r="46" spans="2:50">
      <c r="B46" s="224">
        <v>36</v>
      </c>
      <c r="C46" s="68"/>
      <c r="D46" s="68"/>
      <c r="E46" s="68"/>
      <c r="F46" s="68"/>
      <c r="G46" s="68"/>
      <c r="H46" s="68"/>
      <c r="I46" s="68"/>
      <c r="J46" s="68"/>
      <c r="K46" s="68"/>
      <c r="L46" s="68"/>
      <c r="M46" s="68"/>
      <c r="N46" s="68"/>
      <c r="O46" s="68"/>
      <c r="P46" s="69"/>
      <c r="R46" s="224">
        <v>36</v>
      </c>
      <c r="S46" s="68"/>
      <c r="T46" s="68"/>
      <c r="U46" s="68"/>
      <c r="V46" s="68"/>
      <c r="W46" s="68"/>
      <c r="X46" s="68"/>
      <c r="Y46" s="68"/>
      <c r="Z46" s="68"/>
      <c r="AA46" s="68"/>
      <c r="AB46" s="68"/>
      <c r="AC46" s="68"/>
      <c r="AD46" s="68"/>
      <c r="AE46" s="68"/>
      <c r="AF46" s="69"/>
      <c r="AJ46" s="224">
        <v>36</v>
      </c>
      <c r="AK46" s="225" t="e">
        <f t="shared" si="3"/>
        <v>#DIV/0!</v>
      </c>
      <c r="AL46" s="225" t="e">
        <f t="shared" si="3"/>
        <v>#DIV/0!</v>
      </c>
      <c r="AM46" s="225" t="e">
        <f t="shared" si="3"/>
        <v>#DIV/0!</v>
      </c>
      <c r="AN46" s="225" t="e">
        <f t="shared" si="3"/>
        <v>#DIV/0!</v>
      </c>
      <c r="AO46" s="225" t="e">
        <f t="shared" si="3"/>
        <v>#DIV/0!</v>
      </c>
      <c r="AP46" s="225" t="e">
        <f t="shared" si="3"/>
        <v>#DIV/0!</v>
      </c>
      <c r="AQ46" s="225" t="e">
        <f t="shared" si="3"/>
        <v>#DIV/0!</v>
      </c>
      <c r="AR46" s="225" t="e">
        <f t="shared" si="3"/>
        <v>#DIV/0!</v>
      </c>
      <c r="AS46" s="225" t="e">
        <f t="shared" si="3"/>
        <v>#DIV/0!</v>
      </c>
      <c r="AT46" s="225" t="e">
        <f t="shared" si="3"/>
        <v>#DIV/0!</v>
      </c>
      <c r="AU46" s="225" t="e">
        <f t="shared" si="3"/>
        <v>#DIV/0!</v>
      </c>
      <c r="AV46" s="225" t="e">
        <f t="shared" si="3"/>
        <v>#DIV/0!</v>
      </c>
      <c r="AW46" s="225" t="e">
        <f t="shared" si="3"/>
        <v>#DIV/0!</v>
      </c>
      <c r="AX46" s="226" t="e">
        <f t="shared" si="3"/>
        <v>#DIV/0!</v>
      </c>
    </row>
    <row r="47" spans="2:50" s="229" customFormat="1">
      <c r="B47" s="220">
        <v>37</v>
      </c>
      <c r="C47" s="61"/>
      <c r="D47" s="61"/>
      <c r="E47" s="61"/>
      <c r="F47" s="61"/>
      <c r="G47" s="61"/>
      <c r="H47" s="61"/>
      <c r="I47" s="61"/>
      <c r="J47" s="61"/>
      <c r="K47" s="61"/>
      <c r="L47" s="61"/>
      <c r="M47" s="61"/>
      <c r="N47" s="61"/>
      <c r="O47" s="61"/>
      <c r="P47" s="70"/>
      <c r="R47" s="220">
        <v>37</v>
      </c>
      <c r="S47" s="61"/>
      <c r="T47" s="61"/>
      <c r="U47" s="61"/>
      <c r="V47" s="61"/>
      <c r="W47" s="61"/>
      <c r="X47" s="61"/>
      <c r="Y47" s="61"/>
      <c r="Z47" s="61"/>
      <c r="AA47" s="61"/>
      <c r="AB47" s="61"/>
      <c r="AC47" s="61"/>
      <c r="AD47" s="61"/>
      <c r="AE47" s="61"/>
      <c r="AF47" s="70"/>
      <c r="AJ47" s="220">
        <v>37</v>
      </c>
      <c r="AK47" s="227" t="e">
        <f t="shared" si="3"/>
        <v>#DIV/0!</v>
      </c>
      <c r="AL47" s="227" t="e">
        <f t="shared" si="3"/>
        <v>#DIV/0!</v>
      </c>
      <c r="AM47" s="227" t="e">
        <f t="shared" si="3"/>
        <v>#DIV/0!</v>
      </c>
      <c r="AN47" s="227" t="e">
        <f t="shared" si="3"/>
        <v>#DIV/0!</v>
      </c>
      <c r="AO47" s="227" t="e">
        <f t="shared" si="3"/>
        <v>#DIV/0!</v>
      </c>
      <c r="AP47" s="227" t="e">
        <f t="shared" si="3"/>
        <v>#DIV/0!</v>
      </c>
      <c r="AQ47" s="227" t="e">
        <f t="shared" si="3"/>
        <v>#DIV/0!</v>
      </c>
      <c r="AR47" s="227" t="e">
        <f t="shared" si="3"/>
        <v>#DIV/0!</v>
      </c>
      <c r="AS47" s="227" t="e">
        <f t="shared" si="3"/>
        <v>#DIV/0!</v>
      </c>
      <c r="AT47" s="227" t="e">
        <f t="shared" si="3"/>
        <v>#DIV/0!</v>
      </c>
      <c r="AU47" s="227" t="e">
        <f t="shared" si="3"/>
        <v>#DIV/0!</v>
      </c>
      <c r="AV47" s="227" t="e">
        <f t="shared" si="3"/>
        <v>#DIV/0!</v>
      </c>
      <c r="AW47" s="227" t="e">
        <f t="shared" si="3"/>
        <v>#DIV/0!</v>
      </c>
      <c r="AX47" s="228" t="e">
        <f t="shared" si="3"/>
        <v>#DIV/0!</v>
      </c>
    </row>
    <row r="48" spans="2:50">
      <c r="B48" s="220">
        <v>38</v>
      </c>
      <c r="C48" s="61"/>
      <c r="D48" s="61"/>
      <c r="E48" s="61"/>
      <c r="F48" s="61"/>
      <c r="G48" s="61"/>
      <c r="H48" s="61"/>
      <c r="I48" s="61"/>
      <c r="J48" s="61"/>
      <c r="K48" s="61"/>
      <c r="L48" s="61"/>
      <c r="M48" s="61"/>
      <c r="N48" s="61"/>
      <c r="O48" s="61"/>
      <c r="P48" s="70"/>
      <c r="R48" s="220">
        <v>38</v>
      </c>
      <c r="S48" s="61"/>
      <c r="T48" s="61"/>
      <c r="U48" s="61"/>
      <c r="V48" s="61"/>
      <c r="W48" s="61"/>
      <c r="X48" s="61"/>
      <c r="Y48" s="61"/>
      <c r="Z48" s="61"/>
      <c r="AA48" s="61"/>
      <c r="AB48" s="61"/>
      <c r="AC48" s="61"/>
      <c r="AD48" s="61"/>
      <c r="AE48" s="61"/>
      <c r="AF48" s="70"/>
      <c r="AJ48" s="220">
        <v>38</v>
      </c>
      <c r="AK48" s="227" t="e">
        <f t="shared" si="3"/>
        <v>#DIV/0!</v>
      </c>
      <c r="AL48" s="227" t="e">
        <f t="shared" si="3"/>
        <v>#DIV/0!</v>
      </c>
      <c r="AM48" s="227" t="e">
        <f t="shared" si="3"/>
        <v>#DIV/0!</v>
      </c>
      <c r="AN48" s="227" t="e">
        <f t="shared" si="3"/>
        <v>#DIV/0!</v>
      </c>
      <c r="AO48" s="227" t="e">
        <f t="shared" si="3"/>
        <v>#DIV/0!</v>
      </c>
      <c r="AP48" s="227" t="e">
        <f t="shared" si="3"/>
        <v>#DIV/0!</v>
      </c>
      <c r="AQ48" s="227" t="e">
        <f t="shared" si="3"/>
        <v>#DIV/0!</v>
      </c>
      <c r="AR48" s="227" t="e">
        <f t="shared" si="3"/>
        <v>#DIV/0!</v>
      </c>
      <c r="AS48" s="227" t="e">
        <f t="shared" si="3"/>
        <v>#DIV/0!</v>
      </c>
      <c r="AT48" s="227" t="e">
        <f t="shared" si="3"/>
        <v>#DIV/0!</v>
      </c>
      <c r="AU48" s="227" t="e">
        <f t="shared" si="3"/>
        <v>#DIV/0!</v>
      </c>
      <c r="AV48" s="227" t="e">
        <f t="shared" si="3"/>
        <v>#DIV/0!</v>
      </c>
      <c r="AW48" s="227" t="e">
        <f t="shared" si="3"/>
        <v>#DIV/0!</v>
      </c>
      <c r="AX48" s="228" t="e">
        <f t="shared" si="3"/>
        <v>#DIV/0!</v>
      </c>
    </row>
    <row r="49" spans="2:50">
      <c r="B49" s="220">
        <v>39</v>
      </c>
      <c r="C49" s="61"/>
      <c r="D49" s="61"/>
      <c r="E49" s="61"/>
      <c r="F49" s="61"/>
      <c r="G49" s="61"/>
      <c r="H49" s="61"/>
      <c r="I49" s="61"/>
      <c r="J49" s="61"/>
      <c r="K49" s="61"/>
      <c r="L49" s="61"/>
      <c r="M49" s="61"/>
      <c r="N49" s="61"/>
      <c r="O49" s="61"/>
      <c r="P49" s="70"/>
      <c r="R49" s="220">
        <v>39</v>
      </c>
      <c r="S49" s="61"/>
      <c r="T49" s="61"/>
      <c r="U49" s="61"/>
      <c r="V49" s="61"/>
      <c r="W49" s="61"/>
      <c r="X49" s="61"/>
      <c r="Y49" s="61"/>
      <c r="Z49" s="61"/>
      <c r="AA49" s="61"/>
      <c r="AB49" s="61"/>
      <c r="AC49" s="61"/>
      <c r="AD49" s="61"/>
      <c r="AE49" s="61"/>
      <c r="AF49" s="70"/>
      <c r="AJ49" s="220">
        <v>39</v>
      </c>
      <c r="AK49" s="227" t="e">
        <f t="shared" si="3"/>
        <v>#DIV/0!</v>
      </c>
      <c r="AL49" s="227" t="e">
        <f t="shared" si="3"/>
        <v>#DIV/0!</v>
      </c>
      <c r="AM49" s="227" t="e">
        <f t="shared" si="3"/>
        <v>#DIV/0!</v>
      </c>
      <c r="AN49" s="227" t="e">
        <f t="shared" si="3"/>
        <v>#DIV/0!</v>
      </c>
      <c r="AO49" s="227" t="e">
        <f t="shared" si="3"/>
        <v>#DIV/0!</v>
      </c>
      <c r="AP49" s="227" t="e">
        <f t="shared" si="3"/>
        <v>#DIV/0!</v>
      </c>
      <c r="AQ49" s="227" t="e">
        <f t="shared" si="3"/>
        <v>#DIV/0!</v>
      </c>
      <c r="AR49" s="227" t="e">
        <f t="shared" si="3"/>
        <v>#DIV/0!</v>
      </c>
      <c r="AS49" s="227" t="e">
        <f t="shared" si="3"/>
        <v>#DIV/0!</v>
      </c>
      <c r="AT49" s="227" t="e">
        <f t="shared" si="3"/>
        <v>#DIV/0!</v>
      </c>
      <c r="AU49" s="227" t="e">
        <f t="shared" si="3"/>
        <v>#DIV/0!</v>
      </c>
      <c r="AV49" s="227" t="e">
        <f t="shared" si="3"/>
        <v>#DIV/0!</v>
      </c>
      <c r="AW49" s="227" t="e">
        <f t="shared" si="3"/>
        <v>#DIV/0!</v>
      </c>
      <c r="AX49" s="228" t="e">
        <f t="shared" si="3"/>
        <v>#DIV/0!</v>
      </c>
    </row>
    <row r="50" spans="2:50">
      <c r="B50" s="220">
        <v>40</v>
      </c>
      <c r="C50" s="61"/>
      <c r="D50" s="61"/>
      <c r="E50" s="61"/>
      <c r="F50" s="61"/>
      <c r="G50" s="61"/>
      <c r="H50" s="61"/>
      <c r="I50" s="61"/>
      <c r="J50" s="61"/>
      <c r="K50" s="61"/>
      <c r="L50" s="61"/>
      <c r="M50" s="61"/>
      <c r="N50" s="61"/>
      <c r="O50" s="61"/>
      <c r="P50" s="70"/>
      <c r="R50" s="220">
        <v>40</v>
      </c>
      <c r="S50" s="61"/>
      <c r="T50" s="61"/>
      <c r="U50" s="61"/>
      <c r="V50" s="61"/>
      <c r="W50" s="61"/>
      <c r="X50" s="61"/>
      <c r="Y50" s="61"/>
      <c r="Z50" s="61"/>
      <c r="AA50" s="61"/>
      <c r="AB50" s="61"/>
      <c r="AC50" s="61"/>
      <c r="AD50" s="61"/>
      <c r="AE50" s="61"/>
      <c r="AF50" s="70"/>
      <c r="AJ50" s="220">
        <v>40</v>
      </c>
      <c r="AK50" s="227" t="e">
        <f t="shared" si="3"/>
        <v>#DIV/0!</v>
      </c>
      <c r="AL50" s="227" t="e">
        <f t="shared" si="3"/>
        <v>#DIV/0!</v>
      </c>
      <c r="AM50" s="227" t="e">
        <f t="shared" si="3"/>
        <v>#DIV/0!</v>
      </c>
      <c r="AN50" s="227" t="e">
        <f t="shared" si="3"/>
        <v>#DIV/0!</v>
      </c>
      <c r="AO50" s="227" t="e">
        <f t="shared" si="3"/>
        <v>#DIV/0!</v>
      </c>
      <c r="AP50" s="227" t="e">
        <f t="shared" si="3"/>
        <v>#DIV/0!</v>
      </c>
      <c r="AQ50" s="227" t="e">
        <f t="shared" si="3"/>
        <v>#DIV/0!</v>
      </c>
      <c r="AR50" s="227" t="e">
        <f t="shared" si="3"/>
        <v>#DIV/0!</v>
      </c>
      <c r="AS50" s="227" t="e">
        <f t="shared" si="3"/>
        <v>#DIV/0!</v>
      </c>
      <c r="AT50" s="227" t="e">
        <f t="shared" si="3"/>
        <v>#DIV/0!</v>
      </c>
      <c r="AU50" s="227" t="e">
        <f t="shared" si="3"/>
        <v>#DIV/0!</v>
      </c>
      <c r="AV50" s="227" t="e">
        <f t="shared" si="3"/>
        <v>#DIV/0!</v>
      </c>
      <c r="AW50" s="227" t="e">
        <f t="shared" si="3"/>
        <v>#DIV/0!</v>
      </c>
      <c r="AX50" s="228" t="e">
        <f t="shared" si="3"/>
        <v>#DIV/0!</v>
      </c>
    </row>
    <row r="51" spans="2:50">
      <c r="B51" s="220">
        <v>41</v>
      </c>
      <c r="C51" s="61"/>
      <c r="D51" s="61"/>
      <c r="E51" s="61"/>
      <c r="F51" s="61"/>
      <c r="G51" s="61"/>
      <c r="H51" s="61"/>
      <c r="I51" s="61"/>
      <c r="J51" s="61"/>
      <c r="K51" s="61"/>
      <c r="L51" s="61"/>
      <c r="M51" s="61"/>
      <c r="N51" s="61"/>
      <c r="O51" s="61"/>
      <c r="P51" s="70"/>
      <c r="R51" s="220">
        <v>41</v>
      </c>
      <c r="S51" s="61"/>
      <c r="T51" s="61"/>
      <c r="U51" s="61"/>
      <c r="V51" s="61"/>
      <c r="W51" s="61"/>
      <c r="X51" s="61"/>
      <c r="Y51" s="61"/>
      <c r="Z51" s="61"/>
      <c r="AA51" s="61"/>
      <c r="AB51" s="61"/>
      <c r="AC51" s="61"/>
      <c r="AD51" s="61"/>
      <c r="AE51" s="61"/>
      <c r="AF51" s="70"/>
      <c r="AJ51" s="220">
        <v>41</v>
      </c>
      <c r="AK51" s="227" t="e">
        <f t="shared" si="3"/>
        <v>#DIV/0!</v>
      </c>
      <c r="AL51" s="227" t="e">
        <f t="shared" si="3"/>
        <v>#DIV/0!</v>
      </c>
      <c r="AM51" s="227" t="e">
        <f t="shared" si="3"/>
        <v>#DIV/0!</v>
      </c>
      <c r="AN51" s="227" t="e">
        <f t="shared" si="3"/>
        <v>#DIV/0!</v>
      </c>
      <c r="AO51" s="227" t="e">
        <f t="shared" si="3"/>
        <v>#DIV/0!</v>
      </c>
      <c r="AP51" s="227" t="e">
        <f t="shared" si="3"/>
        <v>#DIV/0!</v>
      </c>
      <c r="AQ51" s="227" t="e">
        <f t="shared" si="3"/>
        <v>#DIV/0!</v>
      </c>
      <c r="AR51" s="227" t="e">
        <f t="shared" si="3"/>
        <v>#DIV/0!</v>
      </c>
      <c r="AS51" s="227" t="e">
        <f t="shared" si="3"/>
        <v>#DIV/0!</v>
      </c>
      <c r="AT51" s="227" t="e">
        <f t="shared" si="3"/>
        <v>#DIV/0!</v>
      </c>
      <c r="AU51" s="227" t="e">
        <f t="shared" si="3"/>
        <v>#DIV/0!</v>
      </c>
      <c r="AV51" s="227" t="e">
        <f t="shared" si="3"/>
        <v>#DIV/0!</v>
      </c>
      <c r="AW51" s="227" t="e">
        <f t="shared" si="3"/>
        <v>#DIV/0!</v>
      </c>
      <c r="AX51" s="228" t="e">
        <f t="shared" si="3"/>
        <v>#DIV/0!</v>
      </c>
    </row>
    <row r="52" spans="2:50">
      <c r="B52" s="220">
        <v>42</v>
      </c>
      <c r="C52" s="61"/>
      <c r="D52" s="61"/>
      <c r="E52" s="61"/>
      <c r="F52" s="61"/>
      <c r="G52" s="61"/>
      <c r="H52" s="61"/>
      <c r="I52" s="61"/>
      <c r="J52" s="61"/>
      <c r="K52" s="61"/>
      <c r="L52" s="61"/>
      <c r="M52" s="61"/>
      <c r="N52" s="61"/>
      <c r="O52" s="61"/>
      <c r="P52" s="70"/>
      <c r="R52" s="220">
        <v>42</v>
      </c>
      <c r="S52" s="61"/>
      <c r="T52" s="61"/>
      <c r="U52" s="61"/>
      <c r="V52" s="61"/>
      <c r="W52" s="61"/>
      <c r="X52" s="61"/>
      <c r="Y52" s="61"/>
      <c r="Z52" s="61"/>
      <c r="AA52" s="61"/>
      <c r="AB52" s="61"/>
      <c r="AC52" s="61"/>
      <c r="AD52" s="61"/>
      <c r="AE52" s="61"/>
      <c r="AF52" s="70"/>
      <c r="AJ52" s="220">
        <v>42</v>
      </c>
      <c r="AK52" s="227" t="e">
        <f t="shared" si="3"/>
        <v>#DIV/0!</v>
      </c>
      <c r="AL52" s="227" t="e">
        <f t="shared" si="3"/>
        <v>#DIV/0!</v>
      </c>
      <c r="AM52" s="227" t="e">
        <f t="shared" si="3"/>
        <v>#DIV/0!</v>
      </c>
      <c r="AN52" s="227" t="e">
        <f t="shared" si="3"/>
        <v>#DIV/0!</v>
      </c>
      <c r="AO52" s="227" t="e">
        <f t="shared" si="3"/>
        <v>#DIV/0!</v>
      </c>
      <c r="AP52" s="227" t="e">
        <f t="shared" si="3"/>
        <v>#DIV/0!</v>
      </c>
      <c r="AQ52" s="227" t="e">
        <f t="shared" si="3"/>
        <v>#DIV/0!</v>
      </c>
      <c r="AR52" s="227" t="e">
        <f t="shared" si="3"/>
        <v>#DIV/0!</v>
      </c>
      <c r="AS52" s="227" t="e">
        <f t="shared" si="3"/>
        <v>#DIV/0!</v>
      </c>
      <c r="AT52" s="227" t="e">
        <f t="shared" si="3"/>
        <v>#DIV/0!</v>
      </c>
      <c r="AU52" s="227" t="e">
        <f t="shared" si="3"/>
        <v>#DIV/0!</v>
      </c>
      <c r="AV52" s="227" t="e">
        <f t="shared" si="3"/>
        <v>#DIV/0!</v>
      </c>
      <c r="AW52" s="227" t="e">
        <f t="shared" si="3"/>
        <v>#DIV/0!</v>
      </c>
      <c r="AX52" s="228" t="e">
        <f t="shared" si="3"/>
        <v>#DIV/0!</v>
      </c>
    </row>
    <row r="53" spans="2:50">
      <c r="B53" s="220">
        <v>43</v>
      </c>
      <c r="C53" s="61"/>
      <c r="D53" s="61"/>
      <c r="E53" s="61"/>
      <c r="F53" s="61"/>
      <c r="G53" s="61"/>
      <c r="H53" s="61"/>
      <c r="I53" s="61"/>
      <c r="J53" s="61"/>
      <c r="K53" s="61"/>
      <c r="L53" s="61"/>
      <c r="M53" s="61"/>
      <c r="N53" s="61"/>
      <c r="O53" s="61"/>
      <c r="P53" s="70"/>
      <c r="R53" s="220">
        <v>43</v>
      </c>
      <c r="S53" s="61"/>
      <c r="T53" s="61"/>
      <c r="U53" s="61"/>
      <c r="V53" s="61"/>
      <c r="W53" s="61"/>
      <c r="X53" s="61"/>
      <c r="Y53" s="61"/>
      <c r="Z53" s="61"/>
      <c r="AA53" s="61"/>
      <c r="AB53" s="61"/>
      <c r="AC53" s="61"/>
      <c r="AD53" s="61"/>
      <c r="AE53" s="61"/>
      <c r="AF53" s="70"/>
      <c r="AJ53" s="220">
        <v>43</v>
      </c>
      <c r="AK53" s="227" t="e">
        <f t="shared" si="3"/>
        <v>#DIV/0!</v>
      </c>
      <c r="AL53" s="227" t="e">
        <f t="shared" si="3"/>
        <v>#DIV/0!</v>
      </c>
      <c r="AM53" s="227" t="e">
        <f t="shared" si="3"/>
        <v>#DIV/0!</v>
      </c>
      <c r="AN53" s="227" t="e">
        <f t="shared" si="3"/>
        <v>#DIV/0!</v>
      </c>
      <c r="AO53" s="227" t="e">
        <f t="shared" si="3"/>
        <v>#DIV/0!</v>
      </c>
      <c r="AP53" s="227" t="e">
        <f t="shared" si="3"/>
        <v>#DIV/0!</v>
      </c>
      <c r="AQ53" s="227" t="e">
        <f t="shared" si="3"/>
        <v>#DIV/0!</v>
      </c>
      <c r="AR53" s="227" t="e">
        <f t="shared" si="3"/>
        <v>#DIV/0!</v>
      </c>
      <c r="AS53" s="227" t="e">
        <f t="shared" si="3"/>
        <v>#DIV/0!</v>
      </c>
      <c r="AT53" s="227" t="e">
        <f t="shared" si="3"/>
        <v>#DIV/0!</v>
      </c>
      <c r="AU53" s="227" t="e">
        <f t="shared" si="3"/>
        <v>#DIV/0!</v>
      </c>
      <c r="AV53" s="227" t="e">
        <f t="shared" si="3"/>
        <v>#DIV/0!</v>
      </c>
      <c r="AW53" s="227" t="e">
        <f t="shared" si="3"/>
        <v>#DIV/0!</v>
      </c>
      <c r="AX53" s="228" t="e">
        <f t="shared" si="3"/>
        <v>#DIV/0!</v>
      </c>
    </row>
    <row r="54" spans="2:50">
      <c r="B54" s="220">
        <v>44</v>
      </c>
      <c r="C54" s="61"/>
      <c r="D54" s="61"/>
      <c r="E54" s="61"/>
      <c r="F54" s="61"/>
      <c r="G54" s="61"/>
      <c r="H54" s="61"/>
      <c r="I54" s="61"/>
      <c r="J54" s="61"/>
      <c r="K54" s="61"/>
      <c r="L54" s="61"/>
      <c r="M54" s="61"/>
      <c r="N54" s="61"/>
      <c r="O54" s="61"/>
      <c r="P54" s="70"/>
      <c r="R54" s="220">
        <v>44</v>
      </c>
      <c r="S54" s="61"/>
      <c r="T54" s="61"/>
      <c r="U54" s="61"/>
      <c r="V54" s="61"/>
      <c r="W54" s="61"/>
      <c r="X54" s="61"/>
      <c r="Y54" s="61"/>
      <c r="Z54" s="61"/>
      <c r="AA54" s="61"/>
      <c r="AB54" s="61"/>
      <c r="AC54" s="61"/>
      <c r="AD54" s="61"/>
      <c r="AE54" s="61"/>
      <c r="AF54" s="70"/>
      <c r="AJ54" s="220">
        <v>44</v>
      </c>
      <c r="AK54" s="227" t="e">
        <f t="shared" si="3"/>
        <v>#DIV/0!</v>
      </c>
      <c r="AL54" s="227" t="e">
        <f t="shared" si="3"/>
        <v>#DIV/0!</v>
      </c>
      <c r="AM54" s="227" t="e">
        <f t="shared" si="3"/>
        <v>#DIV/0!</v>
      </c>
      <c r="AN54" s="227" t="e">
        <f t="shared" si="3"/>
        <v>#DIV/0!</v>
      </c>
      <c r="AO54" s="227" t="e">
        <f t="shared" si="3"/>
        <v>#DIV/0!</v>
      </c>
      <c r="AP54" s="227" t="e">
        <f t="shared" si="3"/>
        <v>#DIV/0!</v>
      </c>
      <c r="AQ54" s="227" t="e">
        <f t="shared" si="3"/>
        <v>#DIV/0!</v>
      </c>
      <c r="AR54" s="227" t="e">
        <f t="shared" si="3"/>
        <v>#DIV/0!</v>
      </c>
      <c r="AS54" s="227" t="e">
        <f t="shared" si="3"/>
        <v>#DIV/0!</v>
      </c>
      <c r="AT54" s="227" t="e">
        <f t="shared" si="3"/>
        <v>#DIV/0!</v>
      </c>
      <c r="AU54" s="227" t="e">
        <f t="shared" si="3"/>
        <v>#DIV/0!</v>
      </c>
      <c r="AV54" s="227" t="e">
        <f t="shared" si="3"/>
        <v>#DIV/0!</v>
      </c>
      <c r="AW54" s="227" t="e">
        <f t="shared" si="3"/>
        <v>#DIV/0!</v>
      </c>
      <c r="AX54" s="228" t="e">
        <f t="shared" si="3"/>
        <v>#DIV/0!</v>
      </c>
    </row>
    <row r="55" spans="2:50">
      <c r="B55" s="220">
        <v>45</v>
      </c>
      <c r="C55" s="61"/>
      <c r="D55" s="61"/>
      <c r="E55" s="61"/>
      <c r="F55" s="61"/>
      <c r="G55" s="61"/>
      <c r="H55" s="61"/>
      <c r="I55" s="61"/>
      <c r="J55" s="61"/>
      <c r="K55" s="61"/>
      <c r="L55" s="61"/>
      <c r="M55" s="61"/>
      <c r="N55" s="61"/>
      <c r="O55" s="61"/>
      <c r="P55" s="70"/>
      <c r="R55" s="220">
        <v>45</v>
      </c>
      <c r="S55" s="61"/>
      <c r="T55" s="61"/>
      <c r="U55" s="61"/>
      <c r="V55" s="61"/>
      <c r="W55" s="61"/>
      <c r="X55" s="61"/>
      <c r="Y55" s="61"/>
      <c r="Z55" s="61"/>
      <c r="AA55" s="61"/>
      <c r="AB55" s="61"/>
      <c r="AC55" s="61"/>
      <c r="AD55" s="61"/>
      <c r="AE55" s="61"/>
      <c r="AF55" s="70"/>
      <c r="AJ55" s="220">
        <v>45</v>
      </c>
      <c r="AK55" s="227" t="e">
        <f t="shared" si="3"/>
        <v>#DIV/0!</v>
      </c>
      <c r="AL55" s="227" t="e">
        <f t="shared" si="3"/>
        <v>#DIV/0!</v>
      </c>
      <c r="AM55" s="227" t="e">
        <f t="shared" si="3"/>
        <v>#DIV/0!</v>
      </c>
      <c r="AN55" s="227" t="e">
        <f t="shared" si="3"/>
        <v>#DIV/0!</v>
      </c>
      <c r="AO55" s="227" t="e">
        <f t="shared" si="3"/>
        <v>#DIV/0!</v>
      </c>
      <c r="AP55" s="227" t="e">
        <f t="shared" si="3"/>
        <v>#DIV/0!</v>
      </c>
      <c r="AQ55" s="227" t="e">
        <f t="shared" si="3"/>
        <v>#DIV/0!</v>
      </c>
      <c r="AR55" s="227" t="e">
        <f t="shared" si="3"/>
        <v>#DIV/0!</v>
      </c>
      <c r="AS55" s="227" t="e">
        <f t="shared" si="3"/>
        <v>#DIV/0!</v>
      </c>
      <c r="AT55" s="227" t="e">
        <f t="shared" si="3"/>
        <v>#DIV/0!</v>
      </c>
      <c r="AU55" s="227" t="e">
        <f t="shared" si="3"/>
        <v>#DIV/0!</v>
      </c>
      <c r="AV55" s="227" t="e">
        <f t="shared" si="3"/>
        <v>#DIV/0!</v>
      </c>
      <c r="AW55" s="227" t="e">
        <f t="shared" si="3"/>
        <v>#DIV/0!</v>
      </c>
      <c r="AX55" s="228" t="e">
        <f t="shared" si="3"/>
        <v>#DIV/0!</v>
      </c>
    </row>
    <row r="56" spans="2:50">
      <c r="B56" s="220">
        <v>46</v>
      </c>
      <c r="C56" s="61"/>
      <c r="D56" s="61"/>
      <c r="E56" s="61"/>
      <c r="F56" s="61"/>
      <c r="G56" s="61"/>
      <c r="H56" s="61"/>
      <c r="I56" s="61"/>
      <c r="J56" s="61"/>
      <c r="K56" s="61"/>
      <c r="L56" s="61"/>
      <c r="M56" s="61"/>
      <c r="N56" s="61"/>
      <c r="O56" s="61"/>
      <c r="P56" s="70"/>
      <c r="R56" s="220">
        <v>46</v>
      </c>
      <c r="S56" s="61"/>
      <c r="T56" s="61"/>
      <c r="U56" s="61"/>
      <c r="V56" s="61"/>
      <c r="W56" s="61"/>
      <c r="X56" s="61"/>
      <c r="Y56" s="61"/>
      <c r="Z56" s="61"/>
      <c r="AA56" s="61"/>
      <c r="AB56" s="61"/>
      <c r="AC56" s="61"/>
      <c r="AD56" s="61"/>
      <c r="AE56" s="61"/>
      <c r="AF56" s="70"/>
      <c r="AJ56" s="220">
        <v>46</v>
      </c>
      <c r="AK56" s="227" t="e">
        <f t="shared" si="3"/>
        <v>#DIV/0!</v>
      </c>
      <c r="AL56" s="227" t="e">
        <f t="shared" si="3"/>
        <v>#DIV/0!</v>
      </c>
      <c r="AM56" s="227" t="e">
        <f t="shared" si="3"/>
        <v>#DIV/0!</v>
      </c>
      <c r="AN56" s="227" t="e">
        <f t="shared" si="3"/>
        <v>#DIV/0!</v>
      </c>
      <c r="AO56" s="227" t="e">
        <f t="shared" si="3"/>
        <v>#DIV/0!</v>
      </c>
      <c r="AP56" s="227" t="e">
        <f t="shared" si="3"/>
        <v>#DIV/0!</v>
      </c>
      <c r="AQ56" s="227" t="e">
        <f t="shared" si="3"/>
        <v>#DIV/0!</v>
      </c>
      <c r="AR56" s="227" t="e">
        <f t="shared" si="3"/>
        <v>#DIV/0!</v>
      </c>
      <c r="AS56" s="227" t="e">
        <f t="shared" si="3"/>
        <v>#DIV/0!</v>
      </c>
      <c r="AT56" s="227" t="e">
        <f t="shared" si="3"/>
        <v>#DIV/0!</v>
      </c>
      <c r="AU56" s="227" t="e">
        <f t="shared" si="3"/>
        <v>#DIV/0!</v>
      </c>
      <c r="AV56" s="227" t="e">
        <f t="shared" si="3"/>
        <v>#DIV/0!</v>
      </c>
      <c r="AW56" s="227" t="e">
        <f t="shared" si="3"/>
        <v>#DIV/0!</v>
      </c>
      <c r="AX56" s="228" t="e">
        <f t="shared" si="3"/>
        <v>#DIV/0!</v>
      </c>
    </row>
    <row r="57" spans="2:50">
      <c r="B57" s="220">
        <v>47</v>
      </c>
      <c r="C57" s="61"/>
      <c r="D57" s="61"/>
      <c r="E57" s="61"/>
      <c r="F57" s="61"/>
      <c r="G57" s="61"/>
      <c r="H57" s="61"/>
      <c r="I57" s="61"/>
      <c r="J57" s="61"/>
      <c r="K57" s="61"/>
      <c r="L57" s="61"/>
      <c r="M57" s="61"/>
      <c r="N57" s="61"/>
      <c r="O57" s="61"/>
      <c r="P57" s="70"/>
      <c r="R57" s="220">
        <v>47</v>
      </c>
      <c r="S57" s="61"/>
      <c r="T57" s="61"/>
      <c r="U57" s="61"/>
      <c r="V57" s="61"/>
      <c r="W57" s="61"/>
      <c r="X57" s="61"/>
      <c r="Y57" s="61"/>
      <c r="Z57" s="61"/>
      <c r="AA57" s="61"/>
      <c r="AB57" s="61"/>
      <c r="AC57" s="61"/>
      <c r="AD57" s="61"/>
      <c r="AE57" s="61"/>
      <c r="AF57" s="70"/>
      <c r="AJ57" s="220">
        <v>47</v>
      </c>
      <c r="AK57" s="227" t="e">
        <f t="shared" si="3"/>
        <v>#DIV/0!</v>
      </c>
      <c r="AL57" s="227" t="e">
        <f t="shared" si="3"/>
        <v>#DIV/0!</v>
      </c>
      <c r="AM57" s="227" t="e">
        <f t="shared" si="3"/>
        <v>#DIV/0!</v>
      </c>
      <c r="AN57" s="227" t="e">
        <f t="shared" si="3"/>
        <v>#DIV/0!</v>
      </c>
      <c r="AO57" s="227" t="e">
        <f t="shared" si="3"/>
        <v>#DIV/0!</v>
      </c>
      <c r="AP57" s="227" t="e">
        <f t="shared" si="3"/>
        <v>#DIV/0!</v>
      </c>
      <c r="AQ57" s="227" t="e">
        <f t="shared" si="3"/>
        <v>#DIV/0!</v>
      </c>
      <c r="AR57" s="227" t="e">
        <f t="shared" si="3"/>
        <v>#DIV/0!</v>
      </c>
      <c r="AS57" s="227" t="e">
        <f t="shared" si="3"/>
        <v>#DIV/0!</v>
      </c>
      <c r="AT57" s="227" t="e">
        <f t="shared" si="3"/>
        <v>#DIV/0!</v>
      </c>
      <c r="AU57" s="227" t="e">
        <f t="shared" si="3"/>
        <v>#DIV/0!</v>
      </c>
      <c r="AV57" s="227" t="e">
        <f t="shared" si="3"/>
        <v>#DIV/0!</v>
      </c>
      <c r="AW57" s="227" t="e">
        <f t="shared" si="3"/>
        <v>#DIV/0!</v>
      </c>
      <c r="AX57" s="228" t="e">
        <f t="shared" si="3"/>
        <v>#DIV/0!</v>
      </c>
    </row>
    <row r="58" spans="2:50">
      <c r="B58" s="224">
        <v>48</v>
      </c>
      <c r="C58" s="68"/>
      <c r="D58" s="68"/>
      <c r="E58" s="68"/>
      <c r="F58" s="68"/>
      <c r="G58" s="68"/>
      <c r="H58" s="68"/>
      <c r="I58" s="68"/>
      <c r="J58" s="68"/>
      <c r="K58" s="68"/>
      <c r="L58" s="68"/>
      <c r="M58" s="68"/>
      <c r="N58" s="68"/>
      <c r="O58" s="68"/>
      <c r="P58" s="69"/>
      <c r="R58" s="224">
        <v>48</v>
      </c>
      <c r="S58" s="68"/>
      <c r="T58" s="68"/>
      <c r="U58" s="68"/>
      <c r="V58" s="68"/>
      <c r="W58" s="68"/>
      <c r="X58" s="68"/>
      <c r="Y58" s="68"/>
      <c r="Z58" s="68"/>
      <c r="AA58" s="68"/>
      <c r="AB58" s="68"/>
      <c r="AC58" s="68"/>
      <c r="AD58" s="68"/>
      <c r="AE58" s="68"/>
      <c r="AF58" s="69"/>
      <c r="AJ58" s="224">
        <v>48</v>
      </c>
      <c r="AK58" s="225" t="e">
        <f t="shared" si="3"/>
        <v>#DIV/0!</v>
      </c>
      <c r="AL58" s="225" t="e">
        <f t="shared" si="3"/>
        <v>#DIV/0!</v>
      </c>
      <c r="AM58" s="225" t="e">
        <f t="shared" si="3"/>
        <v>#DIV/0!</v>
      </c>
      <c r="AN58" s="225" t="e">
        <f t="shared" si="3"/>
        <v>#DIV/0!</v>
      </c>
      <c r="AO58" s="225" t="e">
        <f t="shared" si="3"/>
        <v>#DIV/0!</v>
      </c>
      <c r="AP58" s="225" t="e">
        <f t="shared" si="3"/>
        <v>#DIV/0!</v>
      </c>
      <c r="AQ58" s="225" t="e">
        <f t="shared" si="3"/>
        <v>#DIV/0!</v>
      </c>
      <c r="AR58" s="225" t="e">
        <f t="shared" si="3"/>
        <v>#DIV/0!</v>
      </c>
      <c r="AS58" s="225" t="e">
        <f t="shared" si="3"/>
        <v>#DIV/0!</v>
      </c>
      <c r="AT58" s="225" t="e">
        <f t="shared" si="3"/>
        <v>#DIV/0!</v>
      </c>
      <c r="AU58" s="225" t="e">
        <f t="shared" si="3"/>
        <v>#DIV/0!</v>
      </c>
      <c r="AV58" s="225" t="e">
        <f t="shared" si="3"/>
        <v>#DIV/0!</v>
      </c>
      <c r="AW58" s="225" t="e">
        <f t="shared" si="3"/>
        <v>#DIV/0!</v>
      </c>
      <c r="AX58" s="226" t="e">
        <f t="shared" si="3"/>
        <v>#DIV/0!</v>
      </c>
    </row>
    <row r="59" spans="2:50" s="229" customFormat="1"/>
    <row r="71" spans="2:36" s="229" customFormat="1"/>
    <row r="72" spans="2:36" ht="15.6">
      <c r="B72" s="219" t="s">
        <v>268</v>
      </c>
      <c r="R72" s="219" t="s">
        <v>269</v>
      </c>
      <c r="AJ72" s="219" t="s">
        <v>272</v>
      </c>
    </row>
    <row r="73" spans="2:36" hidden="1"/>
    <row r="74" spans="2:36" hidden="1"/>
    <row r="75" spans="2:36" hidden="1"/>
    <row r="76" spans="2:36" hidden="1"/>
    <row r="77" spans="2:36" hidden="1"/>
    <row r="78" spans="2:36" hidden="1"/>
    <row r="79" spans="2:36" hidden="1"/>
    <row r="80" spans="2:36" hidden="1"/>
    <row r="81" hidden="1"/>
    <row r="82" hidden="1"/>
    <row r="83" hidden="1"/>
    <row r="84" hidden="1"/>
    <row r="85" hidden="1"/>
    <row r="86" hidden="1"/>
    <row r="87" hidden="1"/>
    <row r="88" hidden="1"/>
    <row r="89" hidden="1"/>
    <row r="90" hidden="1"/>
    <row r="91" hidden="1"/>
    <row r="92" hidden="1"/>
    <row r="93" hidden="1"/>
    <row r="94" hidden="1"/>
    <row r="95" hidden="1"/>
    <row r="96" hidden="1"/>
    <row r="97" spans="2:50" hidden="1"/>
    <row r="98" spans="2:50" hidden="1"/>
    <row r="99" spans="2:50" hidden="1"/>
    <row r="100" spans="2:50" hidden="1"/>
    <row r="101" spans="2:50" hidden="1"/>
    <row r="102" spans="2:50" hidden="1"/>
    <row r="103" spans="2:50" hidden="1"/>
    <row r="104" spans="2:50" hidden="1"/>
    <row r="105" spans="2:50" hidden="1"/>
    <row r="106" spans="2:50" hidden="1"/>
    <row r="107" spans="2:50">
      <c r="B107" s="499" t="s">
        <v>270</v>
      </c>
      <c r="C107" s="500"/>
      <c r="D107" s="500"/>
      <c r="E107" s="500"/>
      <c r="F107" s="500"/>
      <c r="G107" s="500"/>
      <c r="H107" s="500"/>
      <c r="I107" s="500"/>
      <c r="J107" s="500"/>
      <c r="K107" s="500"/>
      <c r="L107" s="500"/>
      <c r="M107" s="500"/>
      <c r="N107" s="500"/>
      <c r="O107" s="500"/>
      <c r="P107" s="501"/>
      <c r="R107" s="499" t="s">
        <v>271</v>
      </c>
      <c r="S107" s="500"/>
      <c r="T107" s="500"/>
      <c r="U107" s="500"/>
      <c r="V107" s="500"/>
      <c r="W107" s="500"/>
      <c r="X107" s="500"/>
      <c r="Y107" s="500"/>
      <c r="Z107" s="500"/>
      <c r="AA107" s="500"/>
      <c r="AB107" s="500"/>
      <c r="AC107" s="500"/>
      <c r="AD107" s="500"/>
      <c r="AE107" s="500"/>
      <c r="AF107" s="501"/>
      <c r="AJ107" s="499" t="s">
        <v>10</v>
      </c>
      <c r="AK107" s="500"/>
      <c r="AL107" s="500"/>
      <c r="AM107" s="500"/>
      <c r="AN107" s="500"/>
      <c r="AO107" s="500"/>
      <c r="AP107" s="500"/>
      <c r="AQ107" s="500"/>
      <c r="AR107" s="500"/>
      <c r="AS107" s="500"/>
      <c r="AT107" s="500"/>
      <c r="AU107" s="500"/>
      <c r="AV107" s="500"/>
      <c r="AW107" s="500"/>
      <c r="AX107" s="501"/>
    </row>
    <row r="108" spans="2:50">
      <c r="B108" s="498"/>
      <c r="C108" s="498" t="str">
        <f>IF(intervencao1=0,"Do not fill",intervencao1)</f>
        <v>Rosuvastatin 5mg</v>
      </c>
      <c r="D108" s="498" t="str">
        <f>IF(intervencao2=0,"Do not fill",intervencao2)</f>
        <v>Rosuvastatin 10mg</v>
      </c>
      <c r="E108" s="498" t="str">
        <f>IF(intervencao3=0,"Do not fill",intervencao3)</f>
        <v>Rosuvastatin 20mg</v>
      </c>
      <c r="F108" s="498" t="str">
        <f>IF(intervencao4=0,"Do not fill",intervencao4)</f>
        <v>Rosuvastatin 40mg</v>
      </c>
      <c r="G108" s="498" t="str">
        <f>IF(comparador1=0,"Do not fill",comparador1)</f>
        <v>Atorvastatin 10mg</v>
      </c>
      <c r="H108" s="498" t="str">
        <f>IF(comparador2=0,"Do not fill",comparador2)</f>
        <v>Atorvastatin 20mg</v>
      </c>
      <c r="I108" s="498" t="str">
        <f>IF(comparador3=0,"Do not fill",comparador3)</f>
        <v>Atorvastatin 40mg</v>
      </c>
      <c r="J108" s="498" t="str">
        <f>IF(comparador4=0,"Do not fill",comparador4)</f>
        <v>Atorvastatin 80mg</v>
      </c>
      <c r="K108" s="498" t="str">
        <f>IF(comparador5=0,"Do not fill",comparador5)</f>
        <v>Pravastatin</v>
      </c>
      <c r="L108" s="498" t="str">
        <f>IF(comparador6=0,"Do not fill",comparador6)</f>
        <v>Simvastatin 5mg</v>
      </c>
      <c r="M108" s="498" t="str">
        <f>IF(comparador7=0,"Do not fill",comparador7)</f>
        <v>Simvastatin 10mg</v>
      </c>
      <c r="N108" s="498" t="str">
        <f>IF(comparador8=0,"Do not fill",comparador8)</f>
        <v>Simvastatin 20mg</v>
      </c>
      <c r="O108" s="498" t="str">
        <f>IF(comparador9=0,"Do not fill",comparador9)</f>
        <v>Simvastatin 40mg</v>
      </c>
      <c r="P108" s="498" t="str">
        <f>IF(comparador10=0,"Do not fill",comparador10)</f>
        <v>Do not fill</v>
      </c>
      <c r="R108" s="498"/>
      <c r="S108" s="498" t="str">
        <f>IF(intervencao1=0,"Do not fill",intervencao1)</f>
        <v>Rosuvastatin 5mg</v>
      </c>
      <c r="T108" s="498" t="str">
        <f>IF(intervencao2=0,"Do not fill",intervencao2)</f>
        <v>Rosuvastatin 10mg</v>
      </c>
      <c r="U108" s="498" t="str">
        <f>IF(intervencao3=0,"Do not fill",intervencao3)</f>
        <v>Rosuvastatin 20mg</v>
      </c>
      <c r="V108" s="498" t="str">
        <f>IF(intervencao4=0,"Do not fill",intervencao4)</f>
        <v>Rosuvastatin 40mg</v>
      </c>
      <c r="W108" s="498" t="str">
        <f>IF(comparador1=0,"Do not fill",comparador1)</f>
        <v>Atorvastatin 10mg</v>
      </c>
      <c r="X108" s="498" t="str">
        <f>IF(comparador2=0,"Do not fill",comparador2)</f>
        <v>Atorvastatin 20mg</v>
      </c>
      <c r="Y108" s="498" t="str">
        <f>IF(comparador3=0,"Do not fill",comparador3)</f>
        <v>Atorvastatin 40mg</v>
      </c>
      <c r="Z108" s="498" t="str">
        <f>IF(comparador4=0,"Do not fill",comparador4)</f>
        <v>Atorvastatin 80mg</v>
      </c>
      <c r="AA108" s="498" t="str">
        <f>IF(comparador5=0,"Do not fill",comparador5)</f>
        <v>Pravastatin</v>
      </c>
      <c r="AB108" s="498" t="str">
        <f>IF(comparador6=0,"Do not fill",comparador6)</f>
        <v>Simvastatin 5mg</v>
      </c>
      <c r="AC108" s="498" t="str">
        <f>IF(comparador7=0,"Do not fill",comparador7)</f>
        <v>Simvastatin 10mg</v>
      </c>
      <c r="AD108" s="498" t="str">
        <f>IF(comparador8=0,"Do not fill",comparador8)</f>
        <v>Simvastatin 20mg</v>
      </c>
      <c r="AE108" s="498" t="str">
        <f>IF(comparador9=0,"Do not fill",comparador9)</f>
        <v>Simvastatin 40mg</v>
      </c>
      <c r="AF108" s="498" t="str">
        <f>IF(comparador10=0,"Do not fill",comparador10)</f>
        <v>Do not fill</v>
      </c>
      <c r="AJ108" s="220"/>
      <c r="AK108" s="221" t="str">
        <f>IF(intervencao1=0,"Do not fill",intervencao1)</f>
        <v>Rosuvastatin 5mg</v>
      </c>
      <c r="AL108" s="221" t="str">
        <f>IF(intervencao2=0,"Do not fill",intervencao2)</f>
        <v>Rosuvastatin 10mg</v>
      </c>
      <c r="AM108" s="221" t="str">
        <f>IF(intervencao3=0,"Do not fill",intervencao3)</f>
        <v>Rosuvastatin 20mg</v>
      </c>
      <c r="AN108" s="221" t="str">
        <f>IF(intervencao4=0,"Do not fill",intervencao4)</f>
        <v>Rosuvastatin 40mg</v>
      </c>
      <c r="AO108" s="221" t="str">
        <f>IF(comparador1=0,"Do not fill",comparador1)</f>
        <v>Atorvastatin 10mg</v>
      </c>
      <c r="AP108" s="221" t="str">
        <f>IF(comparador2=0,"Do not fill",comparador2)</f>
        <v>Atorvastatin 20mg</v>
      </c>
      <c r="AQ108" s="221" t="str">
        <f>IF(comparador3=0,"Do not fill",comparador3)</f>
        <v>Atorvastatin 40mg</v>
      </c>
      <c r="AR108" s="221" t="str">
        <f>IF(comparador4=0,"Do not fill",comparador4)</f>
        <v>Atorvastatin 80mg</v>
      </c>
      <c r="AS108" s="221" t="str">
        <f>IF(comparador5=0,"Do not fill",comparador5)</f>
        <v>Pravastatin</v>
      </c>
      <c r="AT108" s="221" t="str">
        <f>IF(comparador6=0,"Do not fill",comparador6)</f>
        <v>Simvastatin 5mg</v>
      </c>
      <c r="AU108" s="221" t="str">
        <f>IF(comparador7=0,"Do not fill",comparador7)</f>
        <v>Simvastatin 10mg</v>
      </c>
      <c r="AV108" s="221" t="str">
        <f>IF(comparador8=0,"Do not fill",comparador8)</f>
        <v>Simvastatin 20mg</v>
      </c>
      <c r="AW108" s="221" t="str">
        <f>IF(comparador9=0,"Do not fill",comparador9)</f>
        <v>Simvastatin 40mg</v>
      </c>
      <c r="AX108" s="222" t="str">
        <f>IF(comparador10=0,"Do not fill",comparador10)</f>
        <v>Do not fill</v>
      </c>
    </row>
    <row r="109" spans="2:50">
      <c r="B109" s="468"/>
      <c r="C109" s="468"/>
      <c r="D109" s="468"/>
      <c r="E109" s="468"/>
      <c r="F109" s="468"/>
      <c r="G109" s="468"/>
      <c r="H109" s="468"/>
      <c r="I109" s="468"/>
      <c r="J109" s="468"/>
      <c r="K109" s="468"/>
      <c r="L109" s="468"/>
      <c r="M109" s="468"/>
      <c r="N109" s="468"/>
      <c r="O109" s="468"/>
      <c r="P109" s="468"/>
      <c r="R109" s="468"/>
      <c r="S109" s="468"/>
      <c r="T109" s="468"/>
      <c r="U109" s="468"/>
      <c r="V109" s="468"/>
      <c r="W109" s="468"/>
      <c r="X109" s="468"/>
      <c r="Y109" s="468"/>
      <c r="Z109" s="468"/>
      <c r="AA109" s="468"/>
      <c r="AB109" s="468"/>
      <c r="AC109" s="468"/>
      <c r="AD109" s="468"/>
      <c r="AE109" s="468"/>
      <c r="AF109" s="468"/>
      <c r="AJ109" s="220" t="s">
        <v>9</v>
      </c>
      <c r="AK109" s="223" t="e">
        <f>LN(2)/'Time on treatment'!$D$113</f>
        <v>#DIV/0!</v>
      </c>
      <c r="AL109" s="223" t="e">
        <f>LN(2)/'Time on treatment'!$D$114</f>
        <v>#DIV/0!</v>
      </c>
      <c r="AM109" s="223" t="e">
        <f>LN(2)/'Time on treatment'!$D$115</f>
        <v>#DIV/0!</v>
      </c>
      <c r="AN109" s="223" t="e">
        <f>LN(2)/'Time on treatment'!$D$116</f>
        <v>#DIV/0!</v>
      </c>
      <c r="AO109" s="223" t="e">
        <f>LN(2)/'Time on treatment'!$D$118</f>
        <v>#DIV/0!</v>
      </c>
      <c r="AP109" s="223" t="e">
        <f>LN(2)/'Time on treatment'!$D$119</f>
        <v>#DIV/0!</v>
      </c>
      <c r="AQ109" s="223" t="e">
        <f>LN(2)/'Time on treatment'!$D$120</f>
        <v>#DIV/0!</v>
      </c>
      <c r="AR109" s="223" t="e">
        <f>LN(2)/'Time on treatment'!$D$121</f>
        <v>#DIV/0!</v>
      </c>
      <c r="AS109" s="223" t="e">
        <f>LN(2)/'Time on treatment'!$D$122</f>
        <v>#DIV/0!</v>
      </c>
      <c r="AT109" s="223" t="e">
        <f>LN(2)/'Time on treatment'!$D$123</f>
        <v>#DIV/0!</v>
      </c>
      <c r="AU109" s="223" t="e">
        <f>LN(2)/'Time on treatment'!$D$124</f>
        <v>#DIV/0!</v>
      </c>
      <c r="AV109" s="223" t="e">
        <f>LN(2)/'Time on treatment'!$D$125</f>
        <v>#DIV/0!</v>
      </c>
      <c r="AW109" s="223" t="e">
        <f>LN(2)/'Time on treatment'!$D$126</f>
        <v>#DIV/0!</v>
      </c>
      <c r="AX109" s="223" t="e">
        <f>LN(2)/'Time on treatment'!$D$127</f>
        <v>#DIV/0!</v>
      </c>
    </row>
    <row r="110" spans="2:50">
      <c r="B110" s="224">
        <v>0</v>
      </c>
      <c r="C110" s="68"/>
      <c r="D110" s="68"/>
      <c r="E110" s="68"/>
      <c r="F110" s="68"/>
      <c r="G110" s="68"/>
      <c r="H110" s="68"/>
      <c r="I110" s="68"/>
      <c r="J110" s="68"/>
      <c r="K110" s="68"/>
      <c r="L110" s="68"/>
      <c r="M110" s="68"/>
      <c r="N110" s="68"/>
      <c r="O110" s="68"/>
      <c r="P110" s="68"/>
      <c r="R110" s="224">
        <v>0</v>
      </c>
      <c r="S110" s="68"/>
      <c r="T110" s="68"/>
      <c r="U110" s="68"/>
      <c r="V110" s="68"/>
      <c r="W110" s="68"/>
      <c r="X110" s="68"/>
      <c r="Y110" s="68"/>
      <c r="Z110" s="68"/>
      <c r="AA110" s="68"/>
      <c r="AB110" s="68"/>
      <c r="AC110" s="68"/>
      <c r="AD110" s="68"/>
      <c r="AE110" s="68"/>
      <c r="AF110" s="68"/>
      <c r="AJ110" s="224">
        <v>0</v>
      </c>
      <c r="AK110" s="225" t="e">
        <f t="shared" ref="AK110:AX110" si="4">EXP(-AK$109*$AJ110)</f>
        <v>#DIV/0!</v>
      </c>
      <c r="AL110" s="225" t="e">
        <f t="shared" si="4"/>
        <v>#DIV/0!</v>
      </c>
      <c r="AM110" s="225" t="e">
        <f t="shared" si="4"/>
        <v>#DIV/0!</v>
      </c>
      <c r="AN110" s="225" t="e">
        <f t="shared" si="4"/>
        <v>#DIV/0!</v>
      </c>
      <c r="AO110" s="225" t="e">
        <f t="shared" si="4"/>
        <v>#DIV/0!</v>
      </c>
      <c r="AP110" s="225" t="e">
        <f t="shared" si="4"/>
        <v>#DIV/0!</v>
      </c>
      <c r="AQ110" s="225" t="e">
        <f t="shared" si="4"/>
        <v>#DIV/0!</v>
      </c>
      <c r="AR110" s="225" t="e">
        <f t="shared" si="4"/>
        <v>#DIV/0!</v>
      </c>
      <c r="AS110" s="225" t="e">
        <f t="shared" si="4"/>
        <v>#DIV/0!</v>
      </c>
      <c r="AT110" s="225" t="e">
        <f t="shared" si="4"/>
        <v>#DIV/0!</v>
      </c>
      <c r="AU110" s="225" t="e">
        <f t="shared" si="4"/>
        <v>#DIV/0!</v>
      </c>
      <c r="AV110" s="225" t="e">
        <f t="shared" si="4"/>
        <v>#DIV/0!</v>
      </c>
      <c r="AW110" s="225" t="e">
        <f t="shared" si="4"/>
        <v>#DIV/0!</v>
      </c>
      <c r="AX110" s="226" t="e">
        <f t="shared" si="4"/>
        <v>#DIV/0!</v>
      </c>
    </row>
    <row r="111" spans="2:50">
      <c r="B111" s="220">
        <v>1</v>
      </c>
      <c r="C111" s="61"/>
      <c r="D111" s="61"/>
      <c r="E111" s="61"/>
      <c r="F111" s="61"/>
      <c r="G111" s="61"/>
      <c r="H111" s="61"/>
      <c r="I111" s="61"/>
      <c r="J111" s="61"/>
      <c r="K111" s="61"/>
      <c r="L111" s="61"/>
      <c r="M111" s="61"/>
      <c r="N111" s="61"/>
      <c r="O111" s="61"/>
      <c r="P111" s="61"/>
      <c r="R111" s="220">
        <v>1</v>
      </c>
      <c r="S111" s="61"/>
      <c r="T111" s="61"/>
      <c r="U111" s="61"/>
      <c r="V111" s="61"/>
      <c r="W111" s="61"/>
      <c r="X111" s="61"/>
      <c r="Y111" s="61"/>
      <c r="Z111" s="61"/>
      <c r="AA111" s="61"/>
      <c r="AB111" s="61"/>
      <c r="AC111" s="61"/>
      <c r="AD111" s="61"/>
      <c r="AE111" s="61"/>
      <c r="AF111" s="61"/>
      <c r="AJ111" s="220">
        <v>1</v>
      </c>
      <c r="AK111" s="225" t="e">
        <f t="shared" ref="AK111:AX158" si="5">EXP(-AK$109*$AJ111)</f>
        <v>#DIV/0!</v>
      </c>
      <c r="AL111" s="225" t="e">
        <f t="shared" si="5"/>
        <v>#DIV/0!</v>
      </c>
      <c r="AM111" s="225" t="e">
        <f t="shared" si="5"/>
        <v>#DIV/0!</v>
      </c>
      <c r="AN111" s="225" t="e">
        <f t="shared" si="5"/>
        <v>#DIV/0!</v>
      </c>
      <c r="AO111" s="225" t="e">
        <f t="shared" si="5"/>
        <v>#DIV/0!</v>
      </c>
      <c r="AP111" s="225" t="e">
        <f t="shared" si="5"/>
        <v>#DIV/0!</v>
      </c>
      <c r="AQ111" s="225" t="e">
        <f t="shared" si="5"/>
        <v>#DIV/0!</v>
      </c>
      <c r="AR111" s="225" t="e">
        <f t="shared" si="5"/>
        <v>#DIV/0!</v>
      </c>
      <c r="AS111" s="225" t="e">
        <f t="shared" si="5"/>
        <v>#DIV/0!</v>
      </c>
      <c r="AT111" s="225" t="e">
        <f t="shared" si="5"/>
        <v>#DIV/0!</v>
      </c>
      <c r="AU111" s="225" t="e">
        <f t="shared" si="5"/>
        <v>#DIV/0!</v>
      </c>
      <c r="AV111" s="225" t="e">
        <f t="shared" si="5"/>
        <v>#DIV/0!</v>
      </c>
      <c r="AW111" s="225" t="e">
        <f t="shared" si="5"/>
        <v>#DIV/0!</v>
      </c>
      <c r="AX111" s="226" t="e">
        <f t="shared" si="5"/>
        <v>#DIV/0!</v>
      </c>
    </row>
    <row r="112" spans="2:50">
      <c r="B112" s="220">
        <v>2</v>
      </c>
      <c r="C112" s="61"/>
      <c r="D112" s="61"/>
      <c r="E112" s="61"/>
      <c r="F112" s="61"/>
      <c r="G112" s="61"/>
      <c r="H112" s="61"/>
      <c r="I112" s="61"/>
      <c r="J112" s="61"/>
      <c r="K112" s="61"/>
      <c r="L112" s="61"/>
      <c r="M112" s="61"/>
      <c r="N112" s="61"/>
      <c r="O112" s="61"/>
      <c r="P112" s="61"/>
      <c r="R112" s="220">
        <v>2</v>
      </c>
      <c r="S112" s="68"/>
      <c r="T112" s="68"/>
      <c r="U112" s="68"/>
      <c r="V112" s="68"/>
      <c r="W112" s="68"/>
      <c r="X112" s="68"/>
      <c r="Y112" s="68"/>
      <c r="Z112" s="68"/>
      <c r="AA112" s="68"/>
      <c r="AB112" s="68"/>
      <c r="AC112" s="68"/>
      <c r="AD112" s="68"/>
      <c r="AE112" s="68"/>
      <c r="AF112" s="68"/>
      <c r="AJ112" s="220">
        <v>2</v>
      </c>
      <c r="AK112" s="225" t="e">
        <f t="shared" si="5"/>
        <v>#DIV/0!</v>
      </c>
      <c r="AL112" s="225" t="e">
        <f t="shared" si="5"/>
        <v>#DIV/0!</v>
      </c>
      <c r="AM112" s="225" t="e">
        <f t="shared" si="5"/>
        <v>#DIV/0!</v>
      </c>
      <c r="AN112" s="225" t="e">
        <f t="shared" si="5"/>
        <v>#DIV/0!</v>
      </c>
      <c r="AO112" s="225" t="e">
        <f t="shared" si="5"/>
        <v>#DIV/0!</v>
      </c>
      <c r="AP112" s="225" t="e">
        <f t="shared" si="5"/>
        <v>#DIV/0!</v>
      </c>
      <c r="AQ112" s="225" t="e">
        <f t="shared" si="5"/>
        <v>#DIV/0!</v>
      </c>
      <c r="AR112" s="225" t="e">
        <f t="shared" si="5"/>
        <v>#DIV/0!</v>
      </c>
      <c r="AS112" s="225" t="e">
        <f t="shared" si="5"/>
        <v>#DIV/0!</v>
      </c>
      <c r="AT112" s="225" t="e">
        <f t="shared" si="5"/>
        <v>#DIV/0!</v>
      </c>
      <c r="AU112" s="225" t="e">
        <f t="shared" si="5"/>
        <v>#DIV/0!</v>
      </c>
      <c r="AV112" s="225" t="e">
        <f t="shared" si="5"/>
        <v>#DIV/0!</v>
      </c>
      <c r="AW112" s="225" t="e">
        <f t="shared" si="5"/>
        <v>#DIV/0!</v>
      </c>
      <c r="AX112" s="226" t="e">
        <f t="shared" si="5"/>
        <v>#DIV/0!</v>
      </c>
    </row>
    <row r="113" spans="2:50">
      <c r="B113" s="220">
        <v>3</v>
      </c>
      <c r="C113" s="61"/>
      <c r="D113" s="61"/>
      <c r="E113" s="61"/>
      <c r="F113" s="61"/>
      <c r="G113" s="61"/>
      <c r="H113" s="61"/>
      <c r="I113" s="61"/>
      <c r="J113" s="61"/>
      <c r="K113" s="61"/>
      <c r="L113" s="61"/>
      <c r="M113" s="61"/>
      <c r="N113" s="61"/>
      <c r="O113" s="61"/>
      <c r="P113" s="61"/>
      <c r="R113" s="220">
        <v>3</v>
      </c>
      <c r="S113" s="61"/>
      <c r="T113" s="61"/>
      <c r="U113" s="61"/>
      <c r="V113" s="61"/>
      <c r="W113" s="61"/>
      <c r="X113" s="61"/>
      <c r="Y113" s="61"/>
      <c r="Z113" s="61"/>
      <c r="AA113" s="61"/>
      <c r="AB113" s="61"/>
      <c r="AC113" s="61"/>
      <c r="AD113" s="61"/>
      <c r="AE113" s="61"/>
      <c r="AF113" s="61"/>
      <c r="AJ113" s="220">
        <v>3</v>
      </c>
      <c r="AK113" s="225" t="e">
        <f t="shared" si="5"/>
        <v>#DIV/0!</v>
      </c>
      <c r="AL113" s="225" t="e">
        <f t="shared" si="5"/>
        <v>#DIV/0!</v>
      </c>
      <c r="AM113" s="225" t="e">
        <f t="shared" si="5"/>
        <v>#DIV/0!</v>
      </c>
      <c r="AN113" s="225" t="e">
        <f t="shared" si="5"/>
        <v>#DIV/0!</v>
      </c>
      <c r="AO113" s="225" t="e">
        <f t="shared" si="5"/>
        <v>#DIV/0!</v>
      </c>
      <c r="AP113" s="225" t="e">
        <f t="shared" si="5"/>
        <v>#DIV/0!</v>
      </c>
      <c r="AQ113" s="225" t="e">
        <f t="shared" si="5"/>
        <v>#DIV/0!</v>
      </c>
      <c r="AR113" s="225" t="e">
        <f t="shared" si="5"/>
        <v>#DIV/0!</v>
      </c>
      <c r="AS113" s="225" t="e">
        <f t="shared" si="5"/>
        <v>#DIV/0!</v>
      </c>
      <c r="AT113" s="225" t="e">
        <f t="shared" si="5"/>
        <v>#DIV/0!</v>
      </c>
      <c r="AU113" s="225" t="e">
        <f t="shared" si="5"/>
        <v>#DIV/0!</v>
      </c>
      <c r="AV113" s="225" t="e">
        <f t="shared" si="5"/>
        <v>#DIV/0!</v>
      </c>
      <c r="AW113" s="225" t="e">
        <f t="shared" si="5"/>
        <v>#DIV/0!</v>
      </c>
      <c r="AX113" s="226" t="e">
        <f t="shared" si="5"/>
        <v>#DIV/0!</v>
      </c>
    </row>
    <row r="114" spans="2:50">
      <c r="B114" s="220">
        <v>4</v>
      </c>
      <c r="C114" s="68"/>
      <c r="D114" s="68"/>
      <c r="E114" s="68"/>
      <c r="F114" s="68"/>
      <c r="G114" s="68"/>
      <c r="H114" s="68"/>
      <c r="I114" s="68"/>
      <c r="J114" s="68"/>
      <c r="K114" s="68"/>
      <c r="L114" s="68"/>
      <c r="M114" s="68"/>
      <c r="N114" s="68"/>
      <c r="O114" s="68"/>
      <c r="P114" s="68"/>
      <c r="R114" s="220">
        <v>4</v>
      </c>
      <c r="S114" s="68"/>
      <c r="T114" s="68"/>
      <c r="U114" s="68"/>
      <c r="V114" s="68"/>
      <c r="W114" s="68"/>
      <c r="X114" s="68"/>
      <c r="Y114" s="68"/>
      <c r="Z114" s="68"/>
      <c r="AA114" s="68"/>
      <c r="AB114" s="68"/>
      <c r="AC114" s="68"/>
      <c r="AD114" s="68"/>
      <c r="AE114" s="68"/>
      <c r="AF114" s="68"/>
      <c r="AJ114" s="220">
        <v>4</v>
      </c>
      <c r="AK114" s="225" t="e">
        <f t="shared" si="5"/>
        <v>#DIV/0!</v>
      </c>
      <c r="AL114" s="225" t="e">
        <f t="shared" si="5"/>
        <v>#DIV/0!</v>
      </c>
      <c r="AM114" s="225" t="e">
        <f t="shared" si="5"/>
        <v>#DIV/0!</v>
      </c>
      <c r="AN114" s="225" t="e">
        <f t="shared" si="5"/>
        <v>#DIV/0!</v>
      </c>
      <c r="AO114" s="225" t="e">
        <f t="shared" si="5"/>
        <v>#DIV/0!</v>
      </c>
      <c r="AP114" s="225" t="e">
        <f t="shared" si="5"/>
        <v>#DIV/0!</v>
      </c>
      <c r="AQ114" s="225" t="e">
        <f t="shared" si="5"/>
        <v>#DIV/0!</v>
      </c>
      <c r="AR114" s="225" t="e">
        <f t="shared" si="5"/>
        <v>#DIV/0!</v>
      </c>
      <c r="AS114" s="225" t="e">
        <f t="shared" si="5"/>
        <v>#DIV/0!</v>
      </c>
      <c r="AT114" s="225" t="e">
        <f t="shared" si="5"/>
        <v>#DIV/0!</v>
      </c>
      <c r="AU114" s="225" t="e">
        <f t="shared" si="5"/>
        <v>#DIV/0!</v>
      </c>
      <c r="AV114" s="225" t="e">
        <f t="shared" si="5"/>
        <v>#DIV/0!</v>
      </c>
      <c r="AW114" s="225" t="e">
        <f t="shared" si="5"/>
        <v>#DIV/0!</v>
      </c>
      <c r="AX114" s="226" t="e">
        <f t="shared" si="5"/>
        <v>#DIV/0!</v>
      </c>
    </row>
    <row r="115" spans="2:50">
      <c r="B115" s="220">
        <v>5</v>
      </c>
      <c r="C115" s="61"/>
      <c r="D115" s="61"/>
      <c r="E115" s="61"/>
      <c r="F115" s="61"/>
      <c r="G115" s="61"/>
      <c r="H115" s="61"/>
      <c r="I115" s="61"/>
      <c r="J115" s="61"/>
      <c r="K115" s="61"/>
      <c r="L115" s="61"/>
      <c r="M115" s="61"/>
      <c r="N115" s="61"/>
      <c r="O115" s="61"/>
      <c r="P115" s="61"/>
      <c r="R115" s="220">
        <v>5</v>
      </c>
      <c r="S115" s="61"/>
      <c r="T115" s="61"/>
      <c r="U115" s="61"/>
      <c r="V115" s="61"/>
      <c r="W115" s="61"/>
      <c r="X115" s="61"/>
      <c r="Y115" s="61"/>
      <c r="Z115" s="61"/>
      <c r="AA115" s="61"/>
      <c r="AB115" s="61"/>
      <c r="AC115" s="61"/>
      <c r="AD115" s="61"/>
      <c r="AE115" s="61"/>
      <c r="AF115" s="61"/>
      <c r="AJ115" s="220">
        <v>5</v>
      </c>
      <c r="AK115" s="225" t="e">
        <f t="shared" si="5"/>
        <v>#DIV/0!</v>
      </c>
      <c r="AL115" s="225" t="e">
        <f t="shared" si="5"/>
        <v>#DIV/0!</v>
      </c>
      <c r="AM115" s="225" t="e">
        <f t="shared" si="5"/>
        <v>#DIV/0!</v>
      </c>
      <c r="AN115" s="225" t="e">
        <f t="shared" si="5"/>
        <v>#DIV/0!</v>
      </c>
      <c r="AO115" s="225" t="e">
        <f t="shared" si="5"/>
        <v>#DIV/0!</v>
      </c>
      <c r="AP115" s="225" t="e">
        <f t="shared" si="5"/>
        <v>#DIV/0!</v>
      </c>
      <c r="AQ115" s="225" t="e">
        <f t="shared" si="5"/>
        <v>#DIV/0!</v>
      </c>
      <c r="AR115" s="225" t="e">
        <f t="shared" si="5"/>
        <v>#DIV/0!</v>
      </c>
      <c r="AS115" s="225" t="e">
        <f t="shared" si="5"/>
        <v>#DIV/0!</v>
      </c>
      <c r="AT115" s="225" t="e">
        <f t="shared" si="5"/>
        <v>#DIV/0!</v>
      </c>
      <c r="AU115" s="225" t="e">
        <f t="shared" si="5"/>
        <v>#DIV/0!</v>
      </c>
      <c r="AV115" s="225" t="e">
        <f t="shared" si="5"/>
        <v>#DIV/0!</v>
      </c>
      <c r="AW115" s="225" t="e">
        <f t="shared" si="5"/>
        <v>#DIV/0!</v>
      </c>
      <c r="AX115" s="226" t="e">
        <f t="shared" si="5"/>
        <v>#DIV/0!</v>
      </c>
    </row>
    <row r="116" spans="2:50">
      <c r="B116" s="220">
        <v>6</v>
      </c>
      <c r="C116" s="61"/>
      <c r="D116" s="61"/>
      <c r="E116" s="61"/>
      <c r="F116" s="61"/>
      <c r="G116" s="61"/>
      <c r="H116" s="61"/>
      <c r="I116" s="61"/>
      <c r="J116" s="61"/>
      <c r="K116" s="61"/>
      <c r="L116" s="61"/>
      <c r="M116" s="61"/>
      <c r="N116" s="61"/>
      <c r="O116" s="61"/>
      <c r="P116" s="61"/>
      <c r="R116" s="220">
        <v>6</v>
      </c>
      <c r="S116" s="68"/>
      <c r="T116" s="68"/>
      <c r="U116" s="68"/>
      <c r="V116" s="68"/>
      <c r="W116" s="68"/>
      <c r="X116" s="68"/>
      <c r="Y116" s="68"/>
      <c r="Z116" s="68"/>
      <c r="AA116" s="68"/>
      <c r="AB116" s="68"/>
      <c r="AC116" s="68"/>
      <c r="AD116" s="68"/>
      <c r="AE116" s="68"/>
      <c r="AF116" s="68"/>
      <c r="AJ116" s="220">
        <v>6</v>
      </c>
      <c r="AK116" s="225" t="e">
        <f t="shared" si="5"/>
        <v>#DIV/0!</v>
      </c>
      <c r="AL116" s="225" t="e">
        <f t="shared" si="5"/>
        <v>#DIV/0!</v>
      </c>
      <c r="AM116" s="225" t="e">
        <f t="shared" si="5"/>
        <v>#DIV/0!</v>
      </c>
      <c r="AN116" s="225" t="e">
        <f t="shared" si="5"/>
        <v>#DIV/0!</v>
      </c>
      <c r="AO116" s="225" t="e">
        <f t="shared" si="5"/>
        <v>#DIV/0!</v>
      </c>
      <c r="AP116" s="225" t="e">
        <f t="shared" si="5"/>
        <v>#DIV/0!</v>
      </c>
      <c r="AQ116" s="225" t="e">
        <f t="shared" si="5"/>
        <v>#DIV/0!</v>
      </c>
      <c r="AR116" s="225" t="e">
        <f t="shared" si="5"/>
        <v>#DIV/0!</v>
      </c>
      <c r="AS116" s="225" t="e">
        <f t="shared" si="5"/>
        <v>#DIV/0!</v>
      </c>
      <c r="AT116" s="225" t="e">
        <f t="shared" si="5"/>
        <v>#DIV/0!</v>
      </c>
      <c r="AU116" s="225" t="e">
        <f t="shared" si="5"/>
        <v>#DIV/0!</v>
      </c>
      <c r="AV116" s="225" t="e">
        <f t="shared" si="5"/>
        <v>#DIV/0!</v>
      </c>
      <c r="AW116" s="225" t="e">
        <f t="shared" si="5"/>
        <v>#DIV/0!</v>
      </c>
      <c r="AX116" s="226" t="e">
        <f t="shared" si="5"/>
        <v>#DIV/0!</v>
      </c>
    </row>
    <row r="117" spans="2:50">
      <c r="B117" s="220">
        <v>7</v>
      </c>
      <c r="C117" s="61"/>
      <c r="D117" s="61"/>
      <c r="E117" s="61"/>
      <c r="F117" s="61"/>
      <c r="G117" s="61"/>
      <c r="H117" s="61"/>
      <c r="I117" s="61"/>
      <c r="J117" s="61"/>
      <c r="K117" s="61"/>
      <c r="L117" s="61"/>
      <c r="M117" s="61"/>
      <c r="N117" s="61"/>
      <c r="O117" s="61"/>
      <c r="P117" s="61"/>
      <c r="R117" s="220">
        <v>7</v>
      </c>
      <c r="S117" s="61"/>
      <c r="T117" s="61"/>
      <c r="U117" s="61"/>
      <c r="V117" s="61"/>
      <c r="W117" s="61"/>
      <c r="X117" s="61"/>
      <c r="Y117" s="61"/>
      <c r="Z117" s="61"/>
      <c r="AA117" s="61"/>
      <c r="AB117" s="61"/>
      <c r="AC117" s="61"/>
      <c r="AD117" s="61"/>
      <c r="AE117" s="61"/>
      <c r="AF117" s="61"/>
      <c r="AJ117" s="220">
        <v>7</v>
      </c>
      <c r="AK117" s="225" t="e">
        <f t="shared" si="5"/>
        <v>#DIV/0!</v>
      </c>
      <c r="AL117" s="225" t="e">
        <f t="shared" si="5"/>
        <v>#DIV/0!</v>
      </c>
      <c r="AM117" s="225" t="e">
        <f t="shared" si="5"/>
        <v>#DIV/0!</v>
      </c>
      <c r="AN117" s="225" t="e">
        <f t="shared" si="5"/>
        <v>#DIV/0!</v>
      </c>
      <c r="AO117" s="225" t="e">
        <f t="shared" si="5"/>
        <v>#DIV/0!</v>
      </c>
      <c r="AP117" s="225" t="e">
        <f t="shared" si="5"/>
        <v>#DIV/0!</v>
      </c>
      <c r="AQ117" s="225" t="e">
        <f t="shared" si="5"/>
        <v>#DIV/0!</v>
      </c>
      <c r="AR117" s="225" t="e">
        <f t="shared" si="5"/>
        <v>#DIV/0!</v>
      </c>
      <c r="AS117" s="225" t="e">
        <f t="shared" si="5"/>
        <v>#DIV/0!</v>
      </c>
      <c r="AT117" s="225" t="e">
        <f t="shared" si="5"/>
        <v>#DIV/0!</v>
      </c>
      <c r="AU117" s="225" t="e">
        <f t="shared" si="5"/>
        <v>#DIV/0!</v>
      </c>
      <c r="AV117" s="225" t="e">
        <f t="shared" si="5"/>
        <v>#DIV/0!</v>
      </c>
      <c r="AW117" s="225" t="e">
        <f t="shared" si="5"/>
        <v>#DIV/0!</v>
      </c>
      <c r="AX117" s="226" t="e">
        <f t="shared" si="5"/>
        <v>#DIV/0!</v>
      </c>
    </row>
    <row r="118" spans="2:50">
      <c r="B118" s="220">
        <v>8</v>
      </c>
      <c r="C118" s="68"/>
      <c r="D118" s="68"/>
      <c r="E118" s="68"/>
      <c r="F118" s="68"/>
      <c r="G118" s="68"/>
      <c r="H118" s="68"/>
      <c r="I118" s="68"/>
      <c r="J118" s="68"/>
      <c r="K118" s="68"/>
      <c r="L118" s="68"/>
      <c r="M118" s="68"/>
      <c r="N118" s="68"/>
      <c r="O118" s="68"/>
      <c r="P118" s="68"/>
      <c r="R118" s="220">
        <v>8</v>
      </c>
      <c r="S118" s="68"/>
      <c r="T118" s="68"/>
      <c r="U118" s="68"/>
      <c r="V118" s="68"/>
      <c r="W118" s="68"/>
      <c r="X118" s="68"/>
      <c r="Y118" s="68"/>
      <c r="Z118" s="68"/>
      <c r="AA118" s="68"/>
      <c r="AB118" s="68"/>
      <c r="AC118" s="68"/>
      <c r="AD118" s="68"/>
      <c r="AE118" s="68"/>
      <c r="AF118" s="68"/>
      <c r="AJ118" s="220">
        <v>8</v>
      </c>
      <c r="AK118" s="225" t="e">
        <f t="shared" si="5"/>
        <v>#DIV/0!</v>
      </c>
      <c r="AL118" s="225" t="e">
        <f t="shared" si="5"/>
        <v>#DIV/0!</v>
      </c>
      <c r="AM118" s="225" t="e">
        <f t="shared" si="5"/>
        <v>#DIV/0!</v>
      </c>
      <c r="AN118" s="225" t="e">
        <f t="shared" si="5"/>
        <v>#DIV/0!</v>
      </c>
      <c r="AO118" s="225" t="e">
        <f t="shared" si="5"/>
        <v>#DIV/0!</v>
      </c>
      <c r="AP118" s="225" t="e">
        <f t="shared" si="5"/>
        <v>#DIV/0!</v>
      </c>
      <c r="AQ118" s="225" t="e">
        <f t="shared" si="5"/>
        <v>#DIV/0!</v>
      </c>
      <c r="AR118" s="225" t="e">
        <f t="shared" si="5"/>
        <v>#DIV/0!</v>
      </c>
      <c r="AS118" s="225" t="e">
        <f t="shared" si="5"/>
        <v>#DIV/0!</v>
      </c>
      <c r="AT118" s="225" t="e">
        <f t="shared" si="5"/>
        <v>#DIV/0!</v>
      </c>
      <c r="AU118" s="225" t="e">
        <f t="shared" si="5"/>
        <v>#DIV/0!</v>
      </c>
      <c r="AV118" s="225" t="e">
        <f t="shared" si="5"/>
        <v>#DIV/0!</v>
      </c>
      <c r="AW118" s="225" t="e">
        <f t="shared" si="5"/>
        <v>#DIV/0!</v>
      </c>
      <c r="AX118" s="226" t="e">
        <f t="shared" si="5"/>
        <v>#DIV/0!</v>
      </c>
    </row>
    <row r="119" spans="2:50">
      <c r="B119" s="220">
        <v>9</v>
      </c>
      <c r="C119" s="61"/>
      <c r="D119" s="61"/>
      <c r="E119" s="61"/>
      <c r="F119" s="61"/>
      <c r="G119" s="61"/>
      <c r="H119" s="61"/>
      <c r="I119" s="61"/>
      <c r="J119" s="61"/>
      <c r="K119" s="61"/>
      <c r="L119" s="61"/>
      <c r="M119" s="61"/>
      <c r="N119" s="61"/>
      <c r="O119" s="61"/>
      <c r="P119" s="61"/>
      <c r="R119" s="220">
        <v>9</v>
      </c>
      <c r="S119" s="61"/>
      <c r="T119" s="61"/>
      <c r="U119" s="61"/>
      <c r="V119" s="61"/>
      <c r="W119" s="61"/>
      <c r="X119" s="61"/>
      <c r="Y119" s="61"/>
      <c r="Z119" s="61"/>
      <c r="AA119" s="61"/>
      <c r="AB119" s="61"/>
      <c r="AC119" s="61"/>
      <c r="AD119" s="61"/>
      <c r="AE119" s="61"/>
      <c r="AF119" s="61"/>
      <c r="AJ119" s="220">
        <v>9</v>
      </c>
      <c r="AK119" s="225" t="e">
        <f t="shared" si="5"/>
        <v>#DIV/0!</v>
      </c>
      <c r="AL119" s="225" t="e">
        <f t="shared" si="5"/>
        <v>#DIV/0!</v>
      </c>
      <c r="AM119" s="225" t="e">
        <f t="shared" si="5"/>
        <v>#DIV/0!</v>
      </c>
      <c r="AN119" s="225" t="e">
        <f t="shared" si="5"/>
        <v>#DIV/0!</v>
      </c>
      <c r="AO119" s="225" t="e">
        <f t="shared" si="5"/>
        <v>#DIV/0!</v>
      </c>
      <c r="AP119" s="225" t="e">
        <f t="shared" si="5"/>
        <v>#DIV/0!</v>
      </c>
      <c r="AQ119" s="225" t="e">
        <f t="shared" si="5"/>
        <v>#DIV/0!</v>
      </c>
      <c r="AR119" s="225" t="e">
        <f t="shared" si="5"/>
        <v>#DIV/0!</v>
      </c>
      <c r="AS119" s="225" t="e">
        <f t="shared" si="5"/>
        <v>#DIV/0!</v>
      </c>
      <c r="AT119" s="225" t="e">
        <f t="shared" si="5"/>
        <v>#DIV/0!</v>
      </c>
      <c r="AU119" s="225" t="e">
        <f t="shared" si="5"/>
        <v>#DIV/0!</v>
      </c>
      <c r="AV119" s="225" t="e">
        <f t="shared" si="5"/>
        <v>#DIV/0!</v>
      </c>
      <c r="AW119" s="225" t="e">
        <f t="shared" si="5"/>
        <v>#DIV/0!</v>
      </c>
      <c r="AX119" s="226" t="e">
        <f t="shared" si="5"/>
        <v>#DIV/0!</v>
      </c>
    </row>
    <row r="120" spans="2:50">
      <c r="B120" s="220">
        <v>10</v>
      </c>
      <c r="C120" s="61"/>
      <c r="D120" s="61"/>
      <c r="E120" s="61"/>
      <c r="F120" s="61"/>
      <c r="G120" s="61"/>
      <c r="H120" s="61"/>
      <c r="I120" s="61"/>
      <c r="J120" s="61"/>
      <c r="K120" s="61"/>
      <c r="L120" s="61"/>
      <c r="M120" s="61"/>
      <c r="N120" s="61"/>
      <c r="O120" s="61"/>
      <c r="P120" s="61"/>
      <c r="R120" s="220">
        <v>10</v>
      </c>
      <c r="S120" s="68"/>
      <c r="T120" s="68"/>
      <c r="U120" s="68"/>
      <c r="V120" s="68"/>
      <c r="W120" s="68"/>
      <c r="X120" s="68"/>
      <c r="Y120" s="68"/>
      <c r="Z120" s="68"/>
      <c r="AA120" s="68"/>
      <c r="AB120" s="68"/>
      <c r="AC120" s="68"/>
      <c r="AD120" s="68"/>
      <c r="AE120" s="68"/>
      <c r="AF120" s="68"/>
      <c r="AJ120" s="220">
        <v>10</v>
      </c>
      <c r="AK120" s="225" t="e">
        <f t="shared" si="5"/>
        <v>#DIV/0!</v>
      </c>
      <c r="AL120" s="225" t="e">
        <f t="shared" si="5"/>
        <v>#DIV/0!</v>
      </c>
      <c r="AM120" s="225" t="e">
        <f t="shared" si="5"/>
        <v>#DIV/0!</v>
      </c>
      <c r="AN120" s="225" t="e">
        <f t="shared" si="5"/>
        <v>#DIV/0!</v>
      </c>
      <c r="AO120" s="225" t="e">
        <f t="shared" si="5"/>
        <v>#DIV/0!</v>
      </c>
      <c r="AP120" s="225" t="e">
        <f t="shared" si="5"/>
        <v>#DIV/0!</v>
      </c>
      <c r="AQ120" s="225" t="e">
        <f t="shared" si="5"/>
        <v>#DIV/0!</v>
      </c>
      <c r="AR120" s="225" t="e">
        <f t="shared" si="5"/>
        <v>#DIV/0!</v>
      </c>
      <c r="AS120" s="225" t="e">
        <f t="shared" si="5"/>
        <v>#DIV/0!</v>
      </c>
      <c r="AT120" s="225" t="e">
        <f t="shared" si="5"/>
        <v>#DIV/0!</v>
      </c>
      <c r="AU120" s="225" t="e">
        <f t="shared" si="5"/>
        <v>#DIV/0!</v>
      </c>
      <c r="AV120" s="225" t="e">
        <f t="shared" si="5"/>
        <v>#DIV/0!</v>
      </c>
      <c r="AW120" s="225" t="e">
        <f t="shared" si="5"/>
        <v>#DIV/0!</v>
      </c>
      <c r="AX120" s="226" t="e">
        <f t="shared" si="5"/>
        <v>#DIV/0!</v>
      </c>
    </row>
    <row r="121" spans="2:50">
      <c r="B121" s="224">
        <v>11</v>
      </c>
      <c r="C121" s="61"/>
      <c r="D121" s="61"/>
      <c r="E121" s="61"/>
      <c r="F121" s="61"/>
      <c r="G121" s="61"/>
      <c r="H121" s="61"/>
      <c r="I121" s="61"/>
      <c r="J121" s="61"/>
      <c r="K121" s="61"/>
      <c r="L121" s="61"/>
      <c r="M121" s="61"/>
      <c r="N121" s="61"/>
      <c r="O121" s="61"/>
      <c r="P121" s="61"/>
      <c r="R121" s="224">
        <v>11</v>
      </c>
      <c r="S121" s="61"/>
      <c r="T121" s="61"/>
      <c r="U121" s="61"/>
      <c r="V121" s="61"/>
      <c r="W121" s="61"/>
      <c r="X121" s="61"/>
      <c r="Y121" s="61"/>
      <c r="Z121" s="61"/>
      <c r="AA121" s="61"/>
      <c r="AB121" s="61"/>
      <c r="AC121" s="61"/>
      <c r="AD121" s="61"/>
      <c r="AE121" s="61"/>
      <c r="AF121" s="61"/>
      <c r="AJ121" s="224">
        <v>11</v>
      </c>
      <c r="AK121" s="225" t="e">
        <f t="shared" si="5"/>
        <v>#DIV/0!</v>
      </c>
      <c r="AL121" s="225" t="e">
        <f t="shared" si="5"/>
        <v>#DIV/0!</v>
      </c>
      <c r="AM121" s="225" t="e">
        <f t="shared" si="5"/>
        <v>#DIV/0!</v>
      </c>
      <c r="AN121" s="225" t="e">
        <f t="shared" si="5"/>
        <v>#DIV/0!</v>
      </c>
      <c r="AO121" s="225" t="e">
        <f t="shared" si="5"/>
        <v>#DIV/0!</v>
      </c>
      <c r="AP121" s="225" t="e">
        <f t="shared" si="5"/>
        <v>#DIV/0!</v>
      </c>
      <c r="AQ121" s="225" t="e">
        <f t="shared" si="5"/>
        <v>#DIV/0!</v>
      </c>
      <c r="AR121" s="225" t="e">
        <f t="shared" si="5"/>
        <v>#DIV/0!</v>
      </c>
      <c r="AS121" s="225" t="e">
        <f t="shared" si="5"/>
        <v>#DIV/0!</v>
      </c>
      <c r="AT121" s="225" t="e">
        <f t="shared" si="5"/>
        <v>#DIV/0!</v>
      </c>
      <c r="AU121" s="225" t="e">
        <f t="shared" si="5"/>
        <v>#DIV/0!</v>
      </c>
      <c r="AV121" s="225" t="e">
        <f t="shared" si="5"/>
        <v>#DIV/0!</v>
      </c>
      <c r="AW121" s="225" t="e">
        <f t="shared" si="5"/>
        <v>#DIV/0!</v>
      </c>
      <c r="AX121" s="226" t="e">
        <f t="shared" si="5"/>
        <v>#DIV/0!</v>
      </c>
    </row>
    <row r="122" spans="2:50">
      <c r="B122" s="224">
        <v>12</v>
      </c>
      <c r="C122" s="68"/>
      <c r="D122" s="68"/>
      <c r="E122" s="68"/>
      <c r="F122" s="68"/>
      <c r="G122" s="68"/>
      <c r="H122" s="68"/>
      <c r="I122" s="68"/>
      <c r="J122" s="68"/>
      <c r="K122" s="68"/>
      <c r="L122" s="68"/>
      <c r="M122" s="68"/>
      <c r="N122" s="68"/>
      <c r="O122" s="68"/>
      <c r="P122" s="68"/>
      <c r="Q122" s="229"/>
      <c r="R122" s="224">
        <v>12</v>
      </c>
      <c r="S122" s="68"/>
      <c r="T122" s="68"/>
      <c r="U122" s="68"/>
      <c r="V122" s="68"/>
      <c r="W122" s="68"/>
      <c r="X122" s="68"/>
      <c r="Y122" s="68"/>
      <c r="Z122" s="68"/>
      <c r="AA122" s="68"/>
      <c r="AB122" s="68"/>
      <c r="AC122" s="68"/>
      <c r="AD122" s="68"/>
      <c r="AE122" s="68"/>
      <c r="AF122" s="68"/>
      <c r="AG122" s="229"/>
      <c r="AH122" s="229"/>
      <c r="AI122" s="229"/>
      <c r="AJ122" s="224">
        <v>12</v>
      </c>
      <c r="AK122" s="225" t="e">
        <f t="shared" si="5"/>
        <v>#DIV/0!</v>
      </c>
      <c r="AL122" s="225" t="e">
        <f t="shared" si="5"/>
        <v>#DIV/0!</v>
      </c>
      <c r="AM122" s="225" t="e">
        <f t="shared" si="5"/>
        <v>#DIV/0!</v>
      </c>
      <c r="AN122" s="225" t="e">
        <f t="shared" si="5"/>
        <v>#DIV/0!</v>
      </c>
      <c r="AO122" s="225" t="e">
        <f t="shared" si="5"/>
        <v>#DIV/0!</v>
      </c>
      <c r="AP122" s="225" t="e">
        <f t="shared" ref="AP122:AX150" si="6">EXP(-AP$109*$AJ122)</f>
        <v>#DIV/0!</v>
      </c>
      <c r="AQ122" s="225" t="e">
        <f t="shared" si="6"/>
        <v>#DIV/0!</v>
      </c>
      <c r="AR122" s="225" t="e">
        <f t="shared" si="6"/>
        <v>#DIV/0!</v>
      </c>
      <c r="AS122" s="225" t="e">
        <f t="shared" si="6"/>
        <v>#DIV/0!</v>
      </c>
      <c r="AT122" s="225" t="e">
        <f t="shared" si="6"/>
        <v>#DIV/0!</v>
      </c>
      <c r="AU122" s="225" t="e">
        <f t="shared" si="6"/>
        <v>#DIV/0!</v>
      </c>
      <c r="AV122" s="225" t="e">
        <f t="shared" si="6"/>
        <v>#DIV/0!</v>
      </c>
      <c r="AW122" s="225" t="e">
        <f t="shared" si="6"/>
        <v>#DIV/0!</v>
      </c>
      <c r="AX122" s="226" t="e">
        <f t="shared" si="6"/>
        <v>#DIV/0!</v>
      </c>
    </row>
    <row r="123" spans="2:50">
      <c r="B123" s="220">
        <v>13</v>
      </c>
      <c r="C123" s="61"/>
      <c r="D123" s="61"/>
      <c r="E123" s="61"/>
      <c r="F123" s="61"/>
      <c r="G123" s="61"/>
      <c r="H123" s="61"/>
      <c r="I123" s="61"/>
      <c r="J123" s="61"/>
      <c r="K123" s="61"/>
      <c r="L123" s="61"/>
      <c r="M123" s="61"/>
      <c r="N123" s="61"/>
      <c r="O123" s="61"/>
      <c r="P123" s="61"/>
      <c r="R123" s="220">
        <v>13</v>
      </c>
      <c r="S123" s="61"/>
      <c r="T123" s="61"/>
      <c r="U123" s="61"/>
      <c r="V123" s="61"/>
      <c r="W123" s="61"/>
      <c r="X123" s="61"/>
      <c r="Y123" s="61"/>
      <c r="Z123" s="61"/>
      <c r="AA123" s="61"/>
      <c r="AB123" s="61"/>
      <c r="AC123" s="61"/>
      <c r="AD123" s="61"/>
      <c r="AE123" s="61"/>
      <c r="AF123" s="61"/>
      <c r="AJ123" s="220">
        <v>13</v>
      </c>
      <c r="AK123" s="225" t="e">
        <f t="shared" si="5"/>
        <v>#DIV/0!</v>
      </c>
      <c r="AL123" s="225" t="e">
        <f t="shared" si="5"/>
        <v>#DIV/0!</v>
      </c>
      <c r="AM123" s="225" t="e">
        <f t="shared" ref="AM123:AR158" si="7">EXP(-AM$109*$AJ123)</f>
        <v>#DIV/0!</v>
      </c>
      <c r="AN123" s="225" t="e">
        <f t="shared" si="7"/>
        <v>#DIV/0!</v>
      </c>
      <c r="AO123" s="225" t="e">
        <f t="shared" si="7"/>
        <v>#DIV/0!</v>
      </c>
      <c r="AP123" s="225" t="e">
        <f t="shared" si="6"/>
        <v>#DIV/0!</v>
      </c>
      <c r="AQ123" s="225" t="e">
        <f t="shared" si="6"/>
        <v>#DIV/0!</v>
      </c>
      <c r="AR123" s="225" t="e">
        <f t="shared" si="6"/>
        <v>#DIV/0!</v>
      </c>
      <c r="AS123" s="225" t="e">
        <f t="shared" si="6"/>
        <v>#DIV/0!</v>
      </c>
      <c r="AT123" s="225" t="e">
        <f t="shared" si="6"/>
        <v>#DIV/0!</v>
      </c>
      <c r="AU123" s="225" t="e">
        <f t="shared" si="6"/>
        <v>#DIV/0!</v>
      </c>
      <c r="AV123" s="225" t="e">
        <f t="shared" si="6"/>
        <v>#DIV/0!</v>
      </c>
      <c r="AW123" s="225" t="e">
        <f t="shared" si="6"/>
        <v>#DIV/0!</v>
      </c>
      <c r="AX123" s="226" t="e">
        <f t="shared" si="6"/>
        <v>#DIV/0!</v>
      </c>
    </row>
    <row r="124" spans="2:50">
      <c r="B124" s="220">
        <v>14</v>
      </c>
      <c r="C124" s="61"/>
      <c r="D124" s="61"/>
      <c r="E124" s="61"/>
      <c r="F124" s="61"/>
      <c r="G124" s="61"/>
      <c r="H124" s="61"/>
      <c r="I124" s="61"/>
      <c r="J124" s="61"/>
      <c r="K124" s="61"/>
      <c r="L124" s="61"/>
      <c r="M124" s="61"/>
      <c r="N124" s="61"/>
      <c r="O124" s="61"/>
      <c r="P124" s="61"/>
      <c r="R124" s="220">
        <v>14</v>
      </c>
      <c r="S124" s="68"/>
      <c r="T124" s="68"/>
      <c r="U124" s="68"/>
      <c r="V124" s="68"/>
      <c r="W124" s="68"/>
      <c r="X124" s="68"/>
      <c r="Y124" s="68"/>
      <c r="Z124" s="68"/>
      <c r="AA124" s="68"/>
      <c r="AB124" s="68"/>
      <c r="AC124" s="68"/>
      <c r="AD124" s="68"/>
      <c r="AE124" s="68"/>
      <c r="AF124" s="68"/>
      <c r="AJ124" s="220">
        <v>14</v>
      </c>
      <c r="AK124" s="225" t="e">
        <f t="shared" si="5"/>
        <v>#DIV/0!</v>
      </c>
      <c r="AL124" s="225" t="e">
        <f t="shared" si="5"/>
        <v>#DIV/0!</v>
      </c>
      <c r="AM124" s="225" t="e">
        <f t="shared" si="7"/>
        <v>#DIV/0!</v>
      </c>
      <c r="AN124" s="225" t="e">
        <f t="shared" si="7"/>
        <v>#DIV/0!</v>
      </c>
      <c r="AO124" s="225" t="e">
        <f t="shared" si="7"/>
        <v>#DIV/0!</v>
      </c>
      <c r="AP124" s="225" t="e">
        <f t="shared" si="6"/>
        <v>#DIV/0!</v>
      </c>
      <c r="AQ124" s="225" t="e">
        <f t="shared" si="6"/>
        <v>#DIV/0!</v>
      </c>
      <c r="AR124" s="225" t="e">
        <f t="shared" si="6"/>
        <v>#DIV/0!</v>
      </c>
      <c r="AS124" s="225" t="e">
        <f t="shared" si="6"/>
        <v>#DIV/0!</v>
      </c>
      <c r="AT124" s="225" t="e">
        <f t="shared" si="6"/>
        <v>#DIV/0!</v>
      </c>
      <c r="AU124" s="225" t="e">
        <f t="shared" si="6"/>
        <v>#DIV/0!</v>
      </c>
      <c r="AV124" s="225" t="e">
        <f t="shared" si="6"/>
        <v>#DIV/0!</v>
      </c>
      <c r="AW124" s="225" t="e">
        <f t="shared" si="6"/>
        <v>#DIV/0!</v>
      </c>
      <c r="AX124" s="226" t="e">
        <f t="shared" si="6"/>
        <v>#DIV/0!</v>
      </c>
    </row>
    <row r="125" spans="2:50">
      <c r="B125" s="220">
        <v>15</v>
      </c>
      <c r="C125" s="61"/>
      <c r="D125" s="61"/>
      <c r="E125" s="61"/>
      <c r="F125" s="61"/>
      <c r="G125" s="61"/>
      <c r="H125" s="61"/>
      <c r="I125" s="61"/>
      <c r="J125" s="61"/>
      <c r="K125" s="61"/>
      <c r="L125" s="61"/>
      <c r="M125" s="61"/>
      <c r="N125" s="61"/>
      <c r="O125" s="61"/>
      <c r="P125" s="61"/>
      <c r="R125" s="220">
        <v>15</v>
      </c>
      <c r="S125" s="61"/>
      <c r="T125" s="61"/>
      <c r="U125" s="61"/>
      <c r="V125" s="61"/>
      <c r="W125" s="61"/>
      <c r="X125" s="61"/>
      <c r="Y125" s="61"/>
      <c r="Z125" s="61"/>
      <c r="AA125" s="61"/>
      <c r="AB125" s="61"/>
      <c r="AC125" s="61"/>
      <c r="AD125" s="61"/>
      <c r="AE125" s="61"/>
      <c r="AF125" s="61"/>
      <c r="AJ125" s="220">
        <v>15</v>
      </c>
      <c r="AK125" s="225" t="e">
        <f t="shared" si="5"/>
        <v>#DIV/0!</v>
      </c>
      <c r="AL125" s="225" t="e">
        <f t="shared" si="5"/>
        <v>#DIV/0!</v>
      </c>
      <c r="AM125" s="225" t="e">
        <f t="shared" si="7"/>
        <v>#DIV/0!</v>
      </c>
      <c r="AN125" s="225" t="e">
        <f t="shared" si="7"/>
        <v>#DIV/0!</v>
      </c>
      <c r="AO125" s="225" t="e">
        <f t="shared" si="7"/>
        <v>#DIV/0!</v>
      </c>
      <c r="AP125" s="225" t="e">
        <f t="shared" si="6"/>
        <v>#DIV/0!</v>
      </c>
      <c r="AQ125" s="225" t="e">
        <f t="shared" si="6"/>
        <v>#DIV/0!</v>
      </c>
      <c r="AR125" s="225" t="e">
        <f t="shared" si="6"/>
        <v>#DIV/0!</v>
      </c>
      <c r="AS125" s="225" t="e">
        <f t="shared" si="6"/>
        <v>#DIV/0!</v>
      </c>
      <c r="AT125" s="225" t="e">
        <f t="shared" si="6"/>
        <v>#DIV/0!</v>
      </c>
      <c r="AU125" s="225" t="e">
        <f t="shared" si="6"/>
        <v>#DIV/0!</v>
      </c>
      <c r="AV125" s="225" t="e">
        <f t="shared" si="6"/>
        <v>#DIV/0!</v>
      </c>
      <c r="AW125" s="225" t="e">
        <f t="shared" si="6"/>
        <v>#DIV/0!</v>
      </c>
      <c r="AX125" s="226" t="e">
        <f t="shared" si="6"/>
        <v>#DIV/0!</v>
      </c>
    </row>
    <row r="126" spans="2:50">
      <c r="B126" s="220">
        <v>16</v>
      </c>
      <c r="C126" s="68"/>
      <c r="D126" s="68"/>
      <c r="E126" s="68"/>
      <c r="F126" s="68"/>
      <c r="G126" s="68"/>
      <c r="H126" s="68"/>
      <c r="I126" s="68"/>
      <c r="J126" s="68"/>
      <c r="K126" s="68"/>
      <c r="L126" s="68"/>
      <c r="M126" s="68"/>
      <c r="N126" s="68"/>
      <c r="O126" s="68"/>
      <c r="P126" s="68"/>
      <c r="R126" s="220">
        <v>16</v>
      </c>
      <c r="S126" s="68"/>
      <c r="T126" s="68"/>
      <c r="U126" s="68"/>
      <c r="V126" s="68"/>
      <c r="W126" s="68"/>
      <c r="X126" s="68"/>
      <c r="Y126" s="68"/>
      <c r="Z126" s="68"/>
      <c r="AA126" s="68"/>
      <c r="AB126" s="68"/>
      <c r="AC126" s="68"/>
      <c r="AD126" s="68"/>
      <c r="AE126" s="68"/>
      <c r="AF126" s="68"/>
      <c r="AJ126" s="220">
        <v>16</v>
      </c>
      <c r="AK126" s="225" t="e">
        <f t="shared" si="5"/>
        <v>#DIV/0!</v>
      </c>
      <c r="AL126" s="225" t="e">
        <f t="shared" si="5"/>
        <v>#DIV/0!</v>
      </c>
      <c r="AM126" s="225" t="e">
        <f t="shared" si="7"/>
        <v>#DIV/0!</v>
      </c>
      <c r="AN126" s="225" t="e">
        <f t="shared" si="7"/>
        <v>#DIV/0!</v>
      </c>
      <c r="AO126" s="225" t="e">
        <f t="shared" si="7"/>
        <v>#DIV/0!</v>
      </c>
      <c r="AP126" s="225" t="e">
        <f t="shared" si="6"/>
        <v>#DIV/0!</v>
      </c>
      <c r="AQ126" s="225" t="e">
        <f t="shared" si="6"/>
        <v>#DIV/0!</v>
      </c>
      <c r="AR126" s="225" t="e">
        <f t="shared" si="6"/>
        <v>#DIV/0!</v>
      </c>
      <c r="AS126" s="225" t="e">
        <f t="shared" si="6"/>
        <v>#DIV/0!</v>
      </c>
      <c r="AT126" s="225" t="e">
        <f t="shared" si="6"/>
        <v>#DIV/0!</v>
      </c>
      <c r="AU126" s="225" t="e">
        <f t="shared" si="6"/>
        <v>#DIV/0!</v>
      </c>
      <c r="AV126" s="225" t="e">
        <f t="shared" si="6"/>
        <v>#DIV/0!</v>
      </c>
      <c r="AW126" s="225" t="e">
        <f t="shared" si="6"/>
        <v>#DIV/0!</v>
      </c>
      <c r="AX126" s="226" t="e">
        <f t="shared" si="6"/>
        <v>#DIV/0!</v>
      </c>
    </row>
    <row r="127" spans="2:50">
      <c r="B127" s="220">
        <v>17</v>
      </c>
      <c r="C127" s="61"/>
      <c r="D127" s="61"/>
      <c r="E127" s="61"/>
      <c r="F127" s="61"/>
      <c r="G127" s="61"/>
      <c r="H127" s="61"/>
      <c r="I127" s="61"/>
      <c r="J127" s="61"/>
      <c r="K127" s="61"/>
      <c r="L127" s="61"/>
      <c r="M127" s="61"/>
      <c r="N127" s="61"/>
      <c r="O127" s="61"/>
      <c r="P127" s="61"/>
      <c r="R127" s="220">
        <v>17</v>
      </c>
      <c r="S127" s="61"/>
      <c r="T127" s="61"/>
      <c r="U127" s="61"/>
      <c r="V127" s="61"/>
      <c r="W127" s="61"/>
      <c r="X127" s="61"/>
      <c r="Y127" s="61"/>
      <c r="Z127" s="61"/>
      <c r="AA127" s="61"/>
      <c r="AB127" s="61"/>
      <c r="AC127" s="61"/>
      <c r="AD127" s="61"/>
      <c r="AE127" s="61"/>
      <c r="AF127" s="61"/>
      <c r="AJ127" s="220">
        <v>17</v>
      </c>
      <c r="AK127" s="225" t="e">
        <f t="shared" si="5"/>
        <v>#DIV/0!</v>
      </c>
      <c r="AL127" s="225" t="e">
        <f t="shared" si="5"/>
        <v>#DIV/0!</v>
      </c>
      <c r="AM127" s="225" t="e">
        <f t="shared" si="7"/>
        <v>#DIV/0!</v>
      </c>
      <c r="AN127" s="225" t="e">
        <f t="shared" si="7"/>
        <v>#DIV/0!</v>
      </c>
      <c r="AO127" s="225" t="e">
        <f t="shared" si="7"/>
        <v>#DIV/0!</v>
      </c>
      <c r="AP127" s="225" t="e">
        <f t="shared" si="6"/>
        <v>#DIV/0!</v>
      </c>
      <c r="AQ127" s="225" t="e">
        <f t="shared" si="6"/>
        <v>#DIV/0!</v>
      </c>
      <c r="AR127" s="225" t="e">
        <f t="shared" si="6"/>
        <v>#DIV/0!</v>
      </c>
      <c r="AS127" s="225" t="e">
        <f t="shared" si="6"/>
        <v>#DIV/0!</v>
      </c>
      <c r="AT127" s="225" t="e">
        <f t="shared" si="6"/>
        <v>#DIV/0!</v>
      </c>
      <c r="AU127" s="225" t="e">
        <f t="shared" si="6"/>
        <v>#DIV/0!</v>
      </c>
      <c r="AV127" s="225" t="e">
        <f t="shared" si="6"/>
        <v>#DIV/0!</v>
      </c>
      <c r="AW127" s="225" t="e">
        <f t="shared" si="6"/>
        <v>#DIV/0!</v>
      </c>
      <c r="AX127" s="226" t="e">
        <f t="shared" si="6"/>
        <v>#DIV/0!</v>
      </c>
    </row>
    <row r="128" spans="2:50">
      <c r="B128" s="220">
        <v>18</v>
      </c>
      <c r="C128" s="61"/>
      <c r="D128" s="61"/>
      <c r="E128" s="61"/>
      <c r="F128" s="61"/>
      <c r="G128" s="61"/>
      <c r="H128" s="61"/>
      <c r="I128" s="61"/>
      <c r="J128" s="61"/>
      <c r="K128" s="61"/>
      <c r="L128" s="61"/>
      <c r="M128" s="61"/>
      <c r="N128" s="61"/>
      <c r="O128" s="61"/>
      <c r="P128" s="61"/>
      <c r="R128" s="220">
        <v>18</v>
      </c>
      <c r="S128" s="68"/>
      <c r="T128" s="68"/>
      <c r="U128" s="68"/>
      <c r="V128" s="68"/>
      <c r="W128" s="68"/>
      <c r="X128" s="68"/>
      <c r="Y128" s="68"/>
      <c r="Z128" s="68"/>
      <c r="AA128" s="68"/>
      <c r="AB128" s="68"/>
      <c r="AC128" s="68"/>
      <c r="AD128" s="68"/>
      <c r="AE128" s="68"/>
      <c r="AF128" s="68"/>
      <c r="AJ128" s="220">
        <v>18</v>
      </c>
      <c r="AK128" s="225" t="e">
        <f t="shared" si="5"/>
        <v>#DIV/0!</v>
      </c>
      <c r="AL128" s="225" t="e">
        <f t="shared" si="5"/>
        <v>#DIV/0!</v>
      </c>
      <c r="AM128" s="225" t="e">
        <f t="shared" si="7"/>
        <v>#DIV/0!</v>
      </c>
      <c r="AN128" s="225" t="e">
        <f t="shared" si="7"/>
        <v>#DIV/0!</v>
      </c>
      <c r="AO128" s="225" t="e">
        <f t="shared" si="7"/>
        <v>#DIV/0!</v>
      </c>
      <c r="AP128" s="225" t="e">
        <f t="shared" si="6"/>
        <v>#DIV/0!</v>
      </c>
      <c r="AQ128" s="225" t="e">
        <f t="shared" si="6"/>
        <v>#DIV/0!</v>
      </c>
      <c r="AR128" s="225" t="e">
        <f t="shared" si="6"/>
        <v>#DIV/0!</v>
      </c>
      <c r="AS128" s="225" t="e">
        <f t="shared" si="6"/>
        <v>#DIV/0!</v>
      </c>
      <c r="AT128" s="225" t="e">
        <f t="shared" si="6"/>
        <v>#DIV/0!</v>
      </c>
      <c r="AU128" s="225" t="e">
        <f t="shared" si="6"/>
        <v>#DIV/0!</v>
      </c>
      <c r="AV128" s="225" t="e">
        <f t="shared" si="6"/>
        <v>#DIV/0!</v>
      </c>
      <c r="AW128" s="225" t="e">
        <f t="shared" si="6"/>
        <v>#DIV/0!</v>
      </c>
      <c r="AX128" s="226" t="e">
        <f t="shared" si="6"/>
        <v>#DIV/0!</v>
      </c>
    </row>
    <row r="129" spans="2:50">
      <c r="B129" s="220">
        <v>19</v>
      </c>
      <c r="C129" s="61"/>
      <c r="D129" s="61"/>
      <c r="E129" s="61"/>
      <c r="F129" s="61"/>
      <c r="G129" s="61"/>
      <c r="H129" s="61"/>
      <c r="I129" s="61"/>
      <c r="J129" s="61"/>
      <c r="K129" s="61"/>
      <c r="L129" s="61"/>
      <c r="M129" s="61"/>
      <c r="N129" s="61"/>
      <c r="O129" s="61"/>
      <c r="P129" s="61"/>
      <c r="R129" s="220">
        <v>19</v>
      </c>
      <c r="S129" s="61"/>
      <c r="T129" s="61"/>
      <c r="U129" s="61"/>
      <c r="V129" s="61"/>
      <c r="W129" s="61"/>
      <c r="X129" s="61"/>
      <c r="Y129" s="61"/>
      <c r="Z129" s="61"/>
      <c r="AA129" s="61"/>
      <c r="AB129" s="61"/>
      <c r="AC129" s="61"/>
      <c r="AD129" s="61"/>
      <c r="AE129" s="61"/>
      <c r="AF129" s="61"/>
      <c r="AJ129" s="220">
        <v>19</v>
      </c>
      <c r="AK129" s="225" t="e">
        <f t="shared" si="5"/>
        <v>#DIV/0!</v>
      </c>
      <c r="AL129" s="225" t="e">
        <f t="shared" si="5"/>
        <v>#DIV/0!</v>
      </c>
      <c r="AM129" s="225" t="e">
        <f t="shared" si="7"/>
        <v>#DIV/0!</v>
      </c>
      <c r="AN129" s="225" t="e">
        <f t="shared" si="7"/>
        <v>#DIV/0!</v>
      </c>
      <c r="AO129" s="225" t="e">
        <f t="shared" si="7"/>
        <v>#DIV/0!</v>
      </c>
      <c r="AP129" s="225" t="e">
        <f t="shared" si="6"/>
        <v>#DIV/0!</v>
      </c>
      <c r="AQ129" s="225" t="e">
        <f t="shared" si="6"/>
        <v>#DIV/0!</v>
      </c>
      <c r="AR129" s="225" t="e">
        <f t="shared" si="6"/>
        <v>#DIV/0!</v>
      </c>
      <c r="AS129" s="225" t="e">
        <f t="shared" si="6"/>
        <v>#DIV/0!</v>
      </c>
      <c r="AT129" s="225" t="e">
        <f t="shared" si="6"/>
        <v>#DIV/0!</v>
      </c>
      <c r="AU129" s="225" t="e">
        <f t="shared" si="6"/>
        <v>#DIV/0!</v>
      </c>
      <c r="AV129" s="225" t="e">
        <f t="shared" si="6"/>
        <v>#DIV/0!</v>
      </c>
      <c r="AW129" s="225" t="e">
        <f t="shared" si="6"/>
        <v>#DIV/0!</v>
      </c>
      <c r="AX129" s="226" t="e">
        <f t="shared" si="6"/>
        <v>#DIV/0!</v>
      </c>
    </row>
    <row r="130" spans="2:50">
      <c r="B130" s="220">
        <v>20</v>
      </c>
      <c r="C130" s="68"/>
      <c r="D130" s="68"/>
      <c r="E130" s="68"/>
      <c r="F130" s="68"/>
      <c r="G130" s="68"/>
      <c r="H130" s="68"/>
      <c r="I130" s="68"/>
      <c r="J130" s="68"/>
      <c r="K130" s="68"/>
      <c r="L130" s="68"/>
      <c r="M130" s="68"/>
      <c r="N130" s="68"/>
      <c r="O130" s="68"/>
      <c r="P130" s="68"/>
      <c r="R130" s="220">
        <v>20</v>
      </c>
      <c r="S130" s="68"/>
      <c r="T130" s="68"/>
      <c r="U130" s="68"/>
      <c r="V130" s="68"/>
      <c r="W130" s="68"/>
      <c r="X130" s="68"/>
      <c r="Y130" s="68"/>
      <c r="Z130" s="68"/>
      <c r="AA130" s="68"/>
      <c r="AB130" s="68"/>
      <c r="AC130" s="68"/>
      <c r="AD130" s="68"/>
      <c r="AE130" s="68"/>
      <c r="AF130" s="68"/>
      <c r="AJ130" s="220">
        <v>20</v>
      </c>
      <c r="AK130" s="225" t="e">
        <f t="shared" si="5"/>
        <v>#DIV/0!</v>
      </c>
      <c r="AL130" s="225" t="e">
        <f t="shared" si="5"/>
        <v>#DIV/0!</v>
      </c>
      <c r="AM130" s="225" t="e">
        <f t="shared" si="7"/>
        <v>#DIV/0!</v>
      </c>
      <c r="AN130" s="225" t="e">
        <f t="shared" si="7"/>
        <v>#DIV/0!</v>
      </c>
      <c r="AO130" s="225" t="e">
        <f t="shared" si="7"/>
        <v>#DIV/0!</v>
      </c>
      <c r="AP130" s="225" t="e">
        <f t="shared" si="6"/>
        <v>#DIV/0!</v>
      </c>
      <c r="AQ130" s="225" t="e">
        <f t="shared" si="6"/>
        <v>#DIV/0!</v>
      </c>
      <c r="AR130" s="225" t="e">
        <f t="shared" si="6"/>
        <v>#DIV/0!</v>
      </c>
      <c r="AS130" s="225" t="e">
        <f t="shared" si="6"/>
        <v>#DIV/0!</v>
      </c>
      <c r="AT130" s="225" t="e">
        <f t="shared" si="6"/>
        <v>#DIV/0!</v>
      </c>
      <c r="AU130" s="225" t="e">
        <f t="shared" si="6"/>
        <v>#DIV/0!</v>
      </c>
      <c r="AV130" s="225" t="e">
        <f t="shared" si="6"/>
        <v>#DIV/0!</v>
      </c>
      <c r="AW130" s="225" t="e">
        <f t="shared" si="6"/>
        <v>#DIV/0!</v>
      </c>
      <c r="AX130" s="226" t="e">
        <f t="shared" si="6"/>
        <v>#DIV/0!</v>
      </c>
    </row>
    <row r="131" spans="2:50">
      <c r="B131" s="220">
        <v>21</v>
      </c>
      <c r="C131" s="61"/>
      <c r="D131" s="61"/>
      <c r="E131" s="61"/>
      <c r="F131" s="61"/>
      <c r="G131" s="61"/>
      <c r="H131" s="61"/>
      <c r="I131" s="61"/>
      <c r="J131" s="61"/>
      <c r="K131" s="61"/>
      <c r="L131" s="61"/>
      <c r="M131" s="61"/>
      <c r="N131" s="61"/>
      <c r="O131" s="61"/>
      <c r="P131" s="61"/>
      <c r="R131" s="220">
        <v>21</v>
      </c>
      <c r="S131" s="61"/>
      <c r="T131" s="61"/>
      <c r="U131" s="61"/>
      <c r="V131" s="61"/>
      <c r="W131" s="61"/>
      <c r="X131" s="61"/>
      <c r="Y131" s="61"/>
      <c r="Z131" s="61"/>
      <c r="AA131" s="61"/>
      <c r="AB131" s="61"/>
      <c r="AC131" s="61"/>
      <c r="AD131" s="61"/>
      <c r="AE131" s="61"/>
      <c r="AF131" s="61"/>
      <c r="AJ131" s="220">
        <v>21</v>
      </c>
      <c r="AK131" s="225" t="e">
        <f t="shared" si="5"/>
        <v>#DIV/0!</v>
      </c>
      <c r="AL131" s="225" t="e">
        <f t="shared" si="5"/>
        <v>#DIV/0!</v>
      </c>
      <c r="AM131" s="225" t="e">
        <f t="shared" si="7"/>
        <v>#DIV/0!</v>
      </c>
      <c r="AN131" s="225" t="e">
        <f t="shared" si="7"/>
        <v>#DIV/0!</v>
      </c>
      <c r="AO131" s="225" t="e">
        <f t="shared" si="7"/>
        <v>#DIV/0!</v>
      </c>
      <c r="AP131" s="225" t="e">
        <f t="shared" si="6"/>
        <v>#DIV/0!</v>
      </c>
      <c r="AQ131" s="225" t="e">
        <f t="shared" si="6"/>
        <v>#DIV/0!</v>
      </c>
      <c r="AR131" s="225" t="e">
        <f t="shared" si="6"/>
        <v>#DIV/0!</v>
      </c>
      <c r="AS131" s="225" t="e">
        <f t="shared" si="6"/>
        <v>#DIV/0!</v>
      </c>
      <c r="AT131" s="225" t="e">
        <f t="shared" si="6"/>
        <v>#DIV/0!</v>
      </c>
      <c r="AU131" s="225" t="e">
        <f t="shared" si="6"/>
        <v>#DIV/0!</v>
      </c>
      <c r="AV131" s="225" t="e">
        <f t="shared" si="6"/>
        <v>#DIV/0!</v>
      </c>
      <c r="AW131" s="225" t="e">
        <f t="shared" si="6"/>
        <v>#DIV/0!</v>
      </c>
      <c r="AX131" s="226" t="e">
        <f t="shared" si="6"/>
        <v>#DIV/0!</v>
      </c>
    </row>
    <row r="132" spans="2:50">
      <c r="B132" s="220">
        <v>22</v>
      </c>
      <c r="C132" s="61"/>
      <c r="D132" s="61"/>
      <c r="E132" s="61"/>
      <c r="F132" s="61"/>
      <c r="G132" s="61"/>
      <c r="H132" s="61"/>
      <c r="I132" s="61"/>
      <c r="J132" s="61"/>
      <c r="K132" s="61"/>
      <c r="L132" s="61"/>
      <c r="M132" s="61"/>
      <c r="N132" s="61"/>
      <c r="O132" s="61"/>
      <c r="P132" s="61"/>
      <c r="R132" s="220">
        <v>22</v>
      </c>
      <c r="S132" s="68"/>
      <c r="T132" s="68"/>
      <c r="U132" s="68"/>
      <c r="V132" s="68"/>
      <c r="W132" s="68"/>
      <c r="X132" s="68"/>
      <c r="Y132" s="68"/>
      <c r="Z132" s="68"/>
      <c r="AA132" s="68"/>
      <c r="AB132" s="68"/>
      <c r="AC132" s="68"/>
      <c r="AD132" s="68"/>
      <c r="AE132" s="68"/>
      <c r="AF132" s="68"/>
      <c r="AJ132" s="220">
        <v>22</v>
      </c>
      <c r="AK132" s="225" t="e">
        <f t="shared" si="5"/>
        <v>#DIV/0!</v>
      </c>
      <c r="AL132" s="225" t="e">
        <f t="shared" si="5"/>
        <v>#DIV/0!</v>
      </c>
      <c r="AM132" s="225" t="e">
        <f t="shared" si="7"/>
        <v>#DIV/0!</v>
      </c>
      <c r="AN132" s="225" t="e">
        <f t="shared" si="7"/>
        <v>#DIV/0!</v>
      </c>
      <c r="AO132" s="225" t="e">
        <f t="shared" si="7"/>
        <v>#DIV/0!</v>
      </c>
      <c r="AP132" s="225" t="e">
        <f t="shared" si="6"/>
        <v>#DIV/0!</v>
      </c>
      <c r="AQ132" s="225" t="e">
        <f t="shared" si="6"/>
        <v>#DIV/0!</v>
      </c>
      <c r="AR132" s="225" t="e">
        <f t="shared" si="6"/>
        <v>#DIV/0!</v>
      </c>
      <c r="AS132" s="225" t="e">
        <f t="shared" si="6"/>
        <v>#DIV/0!</v>
      </c>
      <c r="AT132" s="225" t="e">
        <f t="shared" si="6"/>
        <v>#DIV/0!</v>
      </c>
      <c r="AU132" s="225" t="e">
        <f t="shared" si="6"/>
        <v>#DIV/0!</v>
      </c>
      <c r="AV132" s="225" t="e">
        <f t="shared" si="6"/>
        <v>#DIV/0!</v>
      </c>
      <c r="AW132" s="225" t="e">
        <f t="shared" si="6"/>
        <v>#DIV/0!</v>
      </c>
      <c r="AX132" s="226" t="e">
        <f t="shared" si="6"/>
        <v>#DIV/0!</v>
      </c>
    </row>
    <row r="133" spans="2:50">
      <c r="B133" s="220">
        <v>23</v>
      </c>
      <c r="C133" s="61"/>
      <c r="D133" s="61"/>
      <c r="E133" s="61"/>
      <c r="F133" s="61"/>
      <c r="G133" s="61"/>
      <c r="H133" s="61"/>
      <c r="I133" s="61"/>
      <c r="J133" s="61"/>
      <c r="K133" s="61"/>
      <c r="L133" s="61"/>
      <c r="M133" s="61"/>
      <c r="N133" s="61"/>
      <c r="O133" s="61"/>
      <c r="P133" s="61"/>
      <c r="R133" s="220">
        <v>23</v>
      </c>
      <c r="S133" s="61"/>
      <c r="T133" s="61"/>
      <c r="U133" s="61"/>
      <c r="V133" s="61"/>
      <c r="W133" s="61"/>
      <c r="X133" s="61"/>
      <c r="Y133" s="61"/>
      <c r="Z133" s="61"/>
      <c r="AA133" s="61"/>
      <c r="AB133" s="61"/>
      <c r="AC133" s="61"/>
      <c r="AD133" s="61"/>
      <c r="AE133" s="61"/>
      <c r="AF133" s="61"/>
      <c r="AJ133" s="220">
        <v>23</v>
      </c>
      <c r="AK133" s="225" t="e">
        <f t="shared" si="5"/>
        <v>#DIV/0!</v>
      </c>
      <c r="AL133" s="225" t="e">
        <f t="shared" si="5"/>
        <v>#DIV/0!</v>
      </c>
      <c r="AM133" s="225" t="e">
        <f t="shared" si="7"/>
        <v>#DIV/0!</v>
      </c>
      <c r="AN133" s="225" t="e">
        <f t="shared" si="7"/>
        <v>#DIV/0!</v>
      </c>
      <c r="AO133" s="225" t="e">
        <f t="shared" si="7"/>
        <v>#DIV/0!</v>
      </c>
      <c r="AP133" s="225" t="e">
        <f t="shared" si="6"/>
        <v>#DIV/0!</v>
      </c>
      <c r="AQ133" s="225" t="e">
        <f t="shared" si="6"/>
        <v>#DIV/0!</v>
      </c>
      <c r="AR133" s="225" t="e">
        <f t="shared" si="6"/>
        <v>#DIV/0!</v>
      </c>
      <c r="AS133" s="225" t="e">
        <f t="shared" si="6"/>
        <v>#DIV/0!</v>
      </c>
      <c r="AT133" s="225" t="e">
        <f t="shared" si="6"/>
        <v>#DIV/0!</v>
      </c>
      <c r="AU133" s="225" t="e">
        <f t="shared" si="6"/>
        <v>#DIV/0!</v>
      </c>
      <c r="AV133" s="225" t="e">
        <f t="shared" si="6"/>
        <v>#DIV/0!</v>
      </c>
      <c r="AW133" s="225" t="e">
        <f t="shared" si="6"/>
        <v>#DIV/0!</v>
      </c>
      <c r="AX133" s="226" t="e">
        <f t="shared" si="6"/>
        <v>#DIV/0!</v>
      </c>
    </row>
    <row r="134" spans="2:50">
      <c r="B134" s="224">
        <v>24</v>
      </c>
      <c r="C134" s="68"/>
      <c r="D134" s="68"/>
      <c r="E134" s="68"/>
      <c r="F134" s="68"/>
      <c r="G134" s="68"/>
      <c r="H134" s="68"/>
      <c r="I134" s="68"/>
      <c r="J134" s="68"/>
      <c r="K134" s="68"/>
      <c r="L134" s="68"/>
      <c r="M134" s="68"/>
      <c r="N134" s="68"/>
      <c r="O134" s="68"/>
      <c r="P134" s="68"/>
      <c r="R134" s="224">
        <v>24</v>
      </c>
      <c r="S134" s="68"/>
      <c r="T134" s="68"/>
      <c r="U134" s="68"/>
      <c r="V134" s="68"/>
      <c r="W134" s="68"/>
      <c r="X134" s="68"/>
      <c r="Y134" s="68"/>
      <c r="Z134" s="68"/>
      <c r="AA134" s="68"/>
      <c r="AB134" s="68"/>
      <c r="AC134" s="68"/>
      <c r="AD134" s="68"/>
      <c r="AE134" s="68"/>
      <c r="AF134" s="68"/>
      <c r="AJ134" s="224">
        <v>24</v>
      </c>
      <c r="AK134" s="225" t="e">
        <f t="shared" si="5"/>
        <v>#DIV/0!</v>
      </c>
      <c r="AL134" s="225" t="e">
        <f t="shared" si="5"/>
        <v>#DIV/0!</v>
      </c>
      <c r="AM134" s="225" t="e">
        <f t="shared" si="7"/>
        <v>#DIV/0!</v>
      </c>
      <c r="AN134" s="225" t="e">
        <f t="shared" si="7"/>
        <v>#DIV/0!</v>
      </c>
      <c r="AO134" s="225" t="e">
        <f t="shared" si="7"/>
        <v>#DIV/0!</v>
      </c>
      <c r="AP134" s="225" t="e">
        <f t="shared" si="6"/>
        <v>#DIV/0!</v>
      </c>
      <c r="AQ134" s="225" t="e">
        <f t="shared" si="6"/>
        <v>#DIV/0!</v>
      </c>
      <c r="AR134" s="225" t="e">
        <f t="shared" si="6"/>
        <v>#DIV/0!</v>
      </c>
      <c r="AS134" s="225" t="e">
        <f t="shared" si="6"/>
        <v>#DIV/0!</v>
      </c>
      <c r="AT134" s="225" t="e">
        <f t="shared" si="6"/>
        <v>#DIV/0!</v>
      </c>
      <c r="AU134" s="225" t="e">
        <f t="shared" si="6"/>
        <v>#DIV/0!</v>
      </c>
      <c r="AV134" s="225" t="e">
        <f t="shared" si="6"/>
        <v>#DIV/0!</v>
      </c>
      <c r="AW134" s="225" t="e">
        <f t="shared" si="6"/>
        <v>#DIV/0!</v>
      </c>
      <c r="AX134" s="226" t="e">
        <f t="shared" si="6"/>
        <v>#DIV/0!</v>
      </c>
    </row>
    <row r="135" spans="2:50">
      <c r="B135" s="220">
        <v>25</v>
      </c>
      <c r="C135" s="61"/>
      <c r="D135" s="61"/>
      <c r="E135" s="61"/>
      <c r="F135" s="61"/>
      <c r="G135" s="61"/>
      <c r="H135" s="61"/>
      <c r="I135" s="61"/>
      <c r="J135" s="61"/>
      <c r="K135" s="61"/>
      <c r="L135" s="61"/>
      <c r="M135" s="61"/>
      <c r="N135" s="61"/>
      <c r="O135" s="61"/>
      <c r="P135" s="61"/>
      <c r="Q135" s="229"/>
      <c r="R135" s="220">
        <v>25</v>
      </c>
      <c r="S135" s="61"/>
      <c r="T135" s="61"/>
      <c r="U135" s="61"/>
      <c r="V135" s="61"/>
      <c r="W135" s="61"/>
      <c r="X135" s="61"/>
      <c r="Y135" s="61"/>
      <c r="Z135" s="61"/>
      <c r="AA135" s="61"/>
      <c r="AB135" s="61"/>
      <c r="AC135" s="61"/>
      <c r="AD135" s="61"/>
      <c r="AE135" s="61"/>
      <c r="AF135" s="61"/>
      <c r="AG135" s="229"/>
      <c r="AH135" s="229"/>
      <c r="AI135" s="229"/>
      <c r="AJ135" s="220">
        <v>25</v>
      </c>
      <c r="AK135" s="225" t="e">
        <f t="shared" si="5"/>
        <v>#DIV/0!</v>
      </c>
      <c r="AL135" s="225" t="e">
        <f t="shared" si="5"/>
        <v>#DIV/0!</v>
      </c>
      <c r="AM135" s="225" t="e">
        <f t="shared" si="7"/>
        <v>#DIV/0!</v>
      </c>
      <c r="AN135" s="225" t="e">
        <f t="shared" si="7"/>
        <v>#DIV/0!</v>
      </c>
      <c r="AO135" s="225" t="e">
        <f t="shared" si="7"/>
        <v>#DIV/0!</v>
      </c>
      <c r="AP135" s="225" t="e">
        <f t="shared" si="6"/>
        <v>#DIV/0!</v>
      </c>
      <c r="AQ135" s="225" t="e">
        <f t="shared" si="6"/>
        <v>#DIV/0!</v>
      </c>
      <c r="AR135" s="225" t="e">
        <f t="shared" si="6"/>
        <v>#DIV/0!</v>
      </c>
      <c r="AS135" s="225" t="e">
        <f t="shared" si="6"/>
        <v>#DIV/0!</v>
      </c>
      <c r="AT135" s="225" t="e">
        <f t="shared" si="6"/>
        <v>#DIV/0!</v>
      </c>
      <c r="AU135" s="225" t="e">
        <f t="shared" si="6"/>
        <v>#DIV/0!</v>
      </c>
      <c r="AV135" s="225" t="e">
        <f t="shared" si="6"/>
        <v>#DIV/0!</v>
      </c>
      <c r="AW135" s="225" t="e">
        <f t="shared" si="6"/>
        <v>#DIV/0!</v>
      </c>
      <c r="AX135" s="226" t="e">
        <f t="shared" si="6"/>
        <v>#DIV/0!</v>
      </c>
    </row>
    <row r="136" spans="2:50">
      <c r="B136" s="220">
        <v>26</v>
      </c>
      <c r="C136" s="61"/>
      <c r="D136" s="61"/>
      <c r="E136" s="61"/>
      <c r="F136" s="61"/>
      <c r="G136" s="61"/>
      <c r="H136" s="61"/>
      <c r="I136" s="61"/>
      <c r="J136" s="61"/>
      <c r="K136" s="61"/>
      <c r="L136" s="61"/>
      <c r="M136" s="61"/>
      <c r="N136" s="61"/>
      <c r="O136" s="61"/>
      <c r="P136" s="61"/>
      <c r="R136" s="220">
        <v>26</v>
      </c>
      <c r="S136" s="68"/>
      <c r="T136" s="68"/>
      <c r="U136" s="68"/>
      <c r="V136" s="68"/>
      <c r="W136" s="68"/>
      <c r="X136" s="68"/>
      <c r="Y136" s="68"/>
      <c r="Z136" s="68"/>
      <c r="AA136" s="68"/>
      <c r="AB136" s="68"/>
      <c r="AC136" s="68"/>
      <c r="AD136" s="68"/>
      <c r="AE136" s="68"/>
      <c r="AF136" s="68"/>
      <c r="AJ136" s="220">
        <v>26</v>
      </c>
      <c r="AK136" s="225" t="e">
        <f t="shared" si="5"/>
        <v>#DIV/0!</v>
      </c>
      <c r="AL136" s="225" t="e">
        <f t="shared" si="5"/>
        <v>#DIV/0!</v>
      </c>
      <c r="AM136" s="225" t="e">
        <f t="shared" si="7"/>
        <v>#DIV/0!</v>
      </c>
      <c r="AN136" s="225" t="e">
        <f t="shared" si="7"/>
        <v>#DIV/0!</v>
      </c>
      <c r="AO136" s="225" t="e">
        <f t="shared" si="7"/>
        <v>#DIV/0!</v>
      </c>
      <c r="AP136" s="225" t="e">
        <f t="shared" si="6"/>
        <v>#DIV/0!</v>
      </c>
      <c r="AQ136" s="225" t="e">
        <f t="shared" si="6"/>
        <v>#DIV/0!</v>
      </c>
      <c r="AR136" s="225" t="e">
        <f t="shared" si="6"/>
        <v>#DIV/0!</v>
      </c>
      <c r="AS136" s="225" t="e">
        <f t="shared" si="6"/>
        <v>#DIV/0!</v>
      </c>
      <c r="AT136" s="225" t="e">
        <f t="shared" si="6"/>
        <v>#DIV/0!</v>
      </c>
      <c r="AU136" s="225" t="e">
        <f t="shared" si="6"/>
        <v>#DIV/0!</v>
      </c>
      <c r="AV136" s="225" t="e">
        <f t="shared" si="6"/>
        <v>#DIV/0!</v>
      </c>
      <c r="AW136" s="225" t="e">
        <f t="shared" si="6"/>
        <v>#DIV/0!</v>
      </c>
      <c r="AX136" s="226" t="e">
        <f t="shared" si="6"/>
        <v>#DIV/0!</v>
      </c>
    </row>
    <row r="137" spans="2:50">
      <c r="B137" s="220">
        <v>27</v>
      </c>
      <c r="C137" s="61"/>
      <c r="D137" s="61"/>
      <c r="E137" s="61"/>
      <c r="F137" s="61"/>
      <c r="G137" s="61"/>
      <c r="H137" s="61"/>
      <c r="I137" s="61"/>
      <c r="J137" s="61"/>
      <c r="K137" s="61"/>
      <c r="L137" s="61"/>
      <c r="M137" s="61"/>
      <c r="N137" s="61"/>
      <c r="O137" s="61"/>
      <c r="P137" s="61"/>
      <c r="R137" s="220">
        <v>27</v>
      </c>
      <c r="S137" s="61"/>
      <c r="T137" s="61"/>
      <c r="U137" s="61"/>
      <c r="V137" s="61"/>
      <c r="W137" s="61"/>
      <c r="X137" s="61"/>
      <c r="Y137" s="61"/>
      <c r="Z137" s="61"/>
      <c r="AA137" s="61"/>
      <c r="AB137" s="61"/>
      <c r="AC137" s="61"/>
      <c r="AD137" s="61"/>
      <c r="AE137" s="61"/>
      <c r="AF137" s="61"/>
      <c r="AJ137" s="220">
        <v>27</v>
      </c>
      <c r="AK137" s="225" t="e">
        <f t="shared" si="5"/>
        <v>#DIV/0!</v>
      </c>
      <c r="AL137" s="225" t="e">
        <f t="shared" si="5"/>
        <v>#DIV/0!</v>
      </c>
      <c r="AM137" s="225" t="e">
        <f t="shared" si="7"/>
        <v>#DIV/0!</v>
      </c>
      <c r="AN137" s="225" t="e">
        <f t="shared" si="7"/>
        <v>#DIV/0!</v>
      </c>
      <c r="AO137" s="225" t="e">
        <f t="shared" si="7"/>
        <v>#DIV/0!</v>
      </c>
      <c r="AP137" s="225" t="e">
        <f t="shared" si="6"/>
        <v>#DIV/0!</v>
      </c>
      <c r="AQ137" s="225" t="e">
        <f t="shared" si="6"/>
        <v>#DIV/0!</v>
      </c>
      <c r="AR137" s="225" t="e">
        <f t="shared" si="6"/>
        <v>#DIV/0!</v>
      </c>
      <c r="AS137" s="225" t="e">
        <f t="shared" si="6"/>
        <v>#DIV/0!</v>
      </c>
      <c r="AT137" s="225" t="e">
        <f t="shared" si="6"/>
        <v>#DIV/0!</v>
      </c>
      <c r="AU137" s="225" t="e">
        <f t="shared" si="6"/>
        <v>#DIV/0!</v>
      </c>
      <c r="AV137" s="225" t="e">
        <f t="shared" si="6"/>
        <v>#DIV/0!</v>
      </c>
      <c r="AW137" s="225" t="e">
        <f t="shared" si="6"/>
        <v>#DIV/0!</v>
      </c>
      <c r="AX137" s="226" t="e">
        <f t="shared" si="6"/>
        <v>#DIV/0!</v>
      </c>
    </row>
    <row r="138" spans="2:50">
      <c r="B138" s="220">
        <v>28</v>
      </c>
      <c r="C138" s="68"/>
      <c r="D138" s="68"/>
      <c r="E138" s="68"/>
      <c r="F138" s="68"/>
      <c r="G138" s="68"/>
      <c r="H138" s="68"/>
      <c r="I138" s="68"/>
      <c r="J138" s="68"/>
      <c r="K138" s="68"/>
      <c r="L138" s="68"/>
      <c r="M138" s="68"/>
      <c r="N138" s="68"/>
      <c r="O138" s="68"/>
      <c r="P138" s="68"/>
      <c r="R138" s="220">
        <v>28</v>
      </c>
      <c r="S138" s="68"/>
      <c r="T138" s="68"/>
      <c r="U138" s="68"/>
      <c r="V138" s="68"/>
      <c r="W138" s="68"/>
      <c r="X138" s="68"/>
      <c r="Y138" s="68"/>
      <c r="Z138" s="68"/>
      <c r="AA138" s="68"/>
      <c r="AB138" s="68"/>
      <c r="AC138" s="68"/>
      <c r="AD138" s="68"/>
      <c r="AE138" s="68"/>
      <c r="AF138" s="68"/>
      <c r="AJ138" s="220">
        <v>28</v>
      </c>
      <c r="AK138" s="225" t="e">
        <f t="shared" si="5"/>
        <v>#DIV/0!</v>
      </c>
      <c r="AL138" s="225" t="e">
        <f t="shared" si="5"/>
        <v>#DIV/0!</v>
      </c>
      <c r="AM138" s="225" t="e">
        <f t="shared" si="7"/>
        <v>#DIV/0!</v>
      </c>
      <c r="AN138" s="225" t="e">
        <f t="shared" si="7"/>
        <v>#DIV/0!</v>
      </c>
      <c r="AO138" s="225" t="e">
        <f t="shared" si="7"/>
        <v>#DIV/0!</v>
      </c>
      <c r="AP138" s="225" t="e">
        <f t="shared" si="6"/>
        <v>#DIV/0!</v>
      </c>
      <c r="AQ138" s="225" t="e">
        <f t="shared" si="6"/>
        <v>#DIV/0!</v>
      </c>
      <c r="AR138" s="225" t="e">
        <f t="shared" si="6"/>
        <v>#DIV/0!</v>
      </c>
      <c r="AS138" s="225" t="e">
        <f t="shared" si="6"/>
        <v>#DIV/0!</v>
      </c>
      <c r="AT138" s="225" t="e">
        <f t="shared" si="6"/>
        <v>#DIV/0!</v>
      </c>
      <c r="AU138" s="225" t="e">
        <f t="shared" si="6"/>
        <v>#DIV/0!</v>
      </c>
      <c r="AV138" s="225" t="e">
        <f t="shared" si="6"/>
        <v>#DIV/0!</v>
      </c>
      <c r="AW138" s="225" t="e">
        <f t="shared" si="6"/>
        <v>#DIV/0!</v>
      </c>
      <c r="AX138" s="226" t="e">
        <f t="shared" si="6"/>
        <v>#DIV/0!</v>
      </c>
    </row>
    <row r="139" spans="2:50">
      <c r="B139" s="220">
        <v>29</v>
      </c>
      <c r="C139" s="61"/>
      <c r="D139" s="61"/>
      <c r="E139" s="61"/>
      <c r="F139" s="61"/>
      <c r="G139" s="61"/>
      <c r="H139" s="61"/>
      <c r="I139" s="61"/>
      <c r="J139" s="61"/>
      <c r="K139" s="61"/>
      <c r="L139" s="61"/>
      <c r="M139" s="61"/>
      <c r="N139" s="61"/>
      <c r="O139" s="61"/>
      <c r="P139" s="61"/>
      <c r="R139" s="220">
        <v>29</v>
      </c>
      <c r="S139" s="61"/>
      <c r="T139" s="61"/>
      <c r="U139" s="61"/>
      <c r="V139" s="61"/>
      <c r="W139" s="61"/>
      <c r="X139" s="61"/>
      <c r="Y139" s="61"/>
      <c r="Z139" s="61"/>
      <c r="AA139" s="61"/>
      <c r="AB139" s="61"/>
      <c r="AC139" s="61"/>
      <c r="AD139" s="61"/>
      <c r="AE139" s="61"/>
      <c r="AF139" s="61"/>
      <c r="AJ139" s="220">
        <v>29</v>
      </c>
      <c r="AK139" s="225" t="e">
        <f t="shared" si="5"/>
        <v>#DIV/0!</v>
      </c>
      <c r="AL139" s="225" t="e">
        <f t="shared" si="5"/>
        <v>#DIV/0!</v>
      </c>
      <c r="AM139" s="225" t="e">
        <f t="shared" si="7"/>
        <v>#DIV/0!</v>
      </c>
      <c r="AN139" s="225" t="e">
        <f t="shared" si="7"/>
        <v>#DIV/0!</v>
      </c>
      <c r="AO139" s="225" t="e">
        <f t="shared" si="7"/>
        <v>#DIV/0!</v>
      </c>
      <c r="AP139" s="225" t="e">
        <f t="shared" si="6"/>
        <v>#DIV/0!</v>
      </c>
      <c r="AQ139" s="225" t="e">
        <f t="shared" si="6"/>
        <v>#DIV/0!</v>
      </c>
      <c r="AR139" s="225" t="e">
        <f t="shared" si="6"/>
        <v>#DIV/0!</v>
      </c>
      <c r="AS139" s="225" t="e">
        <f t="shared" si="6"/>
        <v>#DIV/0!</v>
      </c>
      <c r="AT139" s="225" t="e">
        <f t="shared" si="6"/>
        <v>#DIV/0!</v>
      </c>
      <c r="AU139" s="225" t="e">
        <f t="shared" si="6"/>
        <v>#DIV/0!</v>
      </c>
      <c r="AV139" s="225" t="e">
        <f t="shared" si="6"/>
        <v>#DIV/0!</v>
      </c>
      <c r="AW139" s="225" t="e">
        <f t="shared" si="6"/>
        <v>#DIV/0!</v>
      </c>
      <c r="AX139" s="226" t="e">
        <f t="shared" si="6"/>
        <v>#DIV/0!</v>
      </c>
    </row>
    <row r="140" spans="2:50">
      <c r="B140" s="220">
        <v>30</v>
      </c>
      <c r="C140" s="61"/>
      <c r="D140" s="61"/>
      <c r="E140" s="61"/>
      <c r="F140" s="61"/>
      <c r="G140" s="61"/>
      <c r="H140" s="61"/>
      <c r="I140" s="61"/>
      <c r="J140" s="61"/>
      <c r="K140" s="61"/>
      <c r="L140" s="61"/>
      <c r="M140" s="61"/>
      <c r="N140" s="61"/>
      <c r="O140" s="61"/>
      <c r="P140" s="61"/>
      <c r="R140" s="220">
        <v>30</v>
      </c>
      <c r="S140" s="68"/>
      <c r="T140" s="68"/>
      <c r="U140" s="68"/>
      <c r="V140" s="68"/>
      <c r="W140" s="68"/>
      <c r="X140" s="68"/>
      <c r="Y140" s="68"/>
      <c r="Z140" s="68"/>
      <c r="AA140" s="68"/>
      <c r="AB140" s="68"/>
      <c r="AC140" s="68"/>
      <c r="AD140" s="68"/>
      <c r="AE140" s="68"/>
      <c r="AF140" s="68"/>
      <c r="AJ140" s="220">
        <v>30</v>
      </c>
      <c r="AK140" s="225" t="e">
        <f t="shared" si="5"/>
        <v>#DIV/0!</v>
      </c>
      <c r="AL140" s="225" t="e">
        <f t="shared" si="5"/>
        <v>#DIV/0!</v>
      </c>
      <c r="AM140" s="225" t="e">
        <f t="shared" si="7"/>
        <v>#DIV/0!</v>
      </c>
      <c r="AN140" s="225" t="e">
        <f t="shared" si="7"/>
        <v>#DIV/0!</v>
      </c>
      <c r="AO140" s="225" t="e">
        <f t="shared" si="7"/>
        <v>#DIV/0!</v>
      </c>
      <c r="AP140" s="225" t="e">
        <f t="shared" si="6"/>
        <v>#DIV/0!</v>
      </c>
      <c r="AQ140" s="225" t="e">
        <f t="shared" si="6"/>
        <v>#DIV/0!</v>
      </c>
      <c r="AR140" s="225" t="e">
        <f t="shared" si="6"/>
        <v>#DIV/0!</v>
      </c>
      <c r="AS140" s="225" t="e">
        <f t="shared" si="6"/>
        <v>#DIV/0!</v>
      </c>
      <c r="AT140" s="225" t="e">
        <f t="shared" si="6"/>
        <v>#DIV/0!</v>
      </c>
      <c r="AU140" s="225" t="e">
        <f t="shared" si="6"/>
        <v>#DIV/0!</v>
      </c>
      <c r="AV140" s="225" t="e">
        <f t="shared" si="6"/>
        <v>#DIV/0!</v>
      </c>
      <c r="AW140" s="225" t="e">
        <f t="shared" si="6"/>
        <v>#DIV/0!</v>
      </c>
      <c r="AX140" s="226" t="e">
        <f t="shared" si="6"/>
        <v>#DIV/0!</v>
      </c>
    </row>
    <row r="141" spans="2:50">
      <c r="B141" s="220">
        <v>31</v>
      </c>
      <c r="C141" s="61"/>
      <c r="D141" s="61"/>
      <c r="E141" s="61"/>
      <c r="F141" s="61"/>
      <c r="G141" s="61"/>
      <c r="H141" s="61"/>
      <c r="I141" s="61"/>
      <c r="J141" s="61"/>
      <c r="K141" s="61"/>
      <c r="L141" s="61"/>
      <c r="M141" s="61"/>
      <c r="N141" s="61"/>
      <c r="O141" s="61"/>
      <c r="P141" s="61"/>
      <c r="R141" s="220">
        <v>31</v>
      </c>
      <c r="S141" s="61"/>
      <c r="T141" s="61"/>
      <c r="U141" s="61"/>
      <c r="V141" s="61"/>
      <c r="W141" s="61"/>
      <c r="X141" s="61"/>
      <c r="Y141" s="61"/>
      <c r="Z141" s="61"/>
      <c r="AA141" s="61"/>
      <c r="AB141" s="61"/>
      <c r="AC141" s="61"/>
      <c r="AD141" s="61"/>
      <c r="AE141" s="61"/>
      <c r="AF141" s="61"/>
      <c r="AJ141" s="220">
        <v>31</v>
      </c>
      <c r="AK141" s="225" t="e">
        <f t="shared" si="5"/>
        <v>#DIV/0!</v>
      </c>
      <c r="AL141" s="225" t="e">
        <f t="shared" si="5"/>
        <v>#DIV/0!</v>
      </c>
      <c r="AM141" s="225" t="e">
        <f t="shared" si="7"/>
        <v>#DIV/0!</v>
      </c>
      <c r="AN141" s="225" t="e">
        <f t="shared" si="7"/>
        <v>#DIV/0!</v>
      </c>
      <c r="AO141" s="225" t="e">
        <f t="shared" si="7"/>
        <v>#DIV/0!</v>
      </c>
      <c r="AP141" s="225" t="e">
        <f t="shared" si="6"/>
        <v>#DIV/0!</v>
      </c>
      <c r="AQ141" s="225" t="e">
        <f t="shared" si="6"/>
        <v>#DIV/0!</v>
      </c>
      <c r="AR141" s="225" t="e">
        <f t="shared" si="6"/>
        <v>#DIV/0!</v>
      </c>
      <c r="AS141" s="225" t="e">
        <f t="shared" si="6"/>
        <v>#DIV/0!</v>
      </c>
      <c r="AT141" s="225" t="e">
        <f t="shared" si="6"/>
        <v>#DIV/0!</v>
      </c>
      <c r="AU141" s="225" t="e">
        <f t="shared" si="6"/>
        <v>#DIV/0!</v>
      </c>
      <c r="AV141" s="225" t="e">
        <f t="shared" si="6"/>
        <v>#DIV/0!</v>
      </c>
      <c r="AW141" s="225" t="e">
        <f t="shared" si="6"/>
        <v>#DIV/0!</v>
      </c>
      <c r="AX141" s="226" t="e">
        <f t="shared" si="6"/>
        <v>#DIV/0!</v>
      </c>
    </row>
    <row r="142" spans="2:50">
      <c r="B142" s="220">
        <v>32</v>
      </c>
      <c r="C142" s="68"/>
      <c r="D142" s="68"/>
      <c r="E142" s="68"/>
      <c r="F142" s="68"/>
      <c r="G142" s="68"/>
      <c r="H142" s="68"/>
      <c r="I142" s="68"/>
      <c r="J142" s="68"/>
      <c r="K142" s="68"/>
      <c r="L142" s="68"/>
      <c r="M142" s="68"/>
      <c r="N142" s="68"/>
      <c r="O142" s="68"/>
      <c r="P142" s="68"/>
      <c r="R142" s="220">
        <v>32</v>
      </c>
      <c r="S142" s="68"/>
      <c r="T142" s="68"/>
      <c r="U142" s="68"/>
      <c r="V142" s="68"/>
      <c r="W142" s="68"/>
      <c r="X142" s="68"/>
      <c r="Y142" s="68"/>
      <c r="Z142" s="68"/>
      <c r="AA142" s="68"/>
      <c r="AB142" s="68"/>
      <c r="AC142" s="68"/>
      <c r="AD142" s="68"/>
      <c r="AE142" s="68"/>
      <c r="AF142" s="68"/>
      <c r="AJ142" s="220">
        <v>32</v>
      </c>
      <c r="AK142" s="225" t="e">
        <f t="shared" si="5"/>
        <v>#DIV/0!</v>
      </c>
      <c r="AL142" s="225" t="e">
        <f t="shared" si="5"/>
        <v>#DIV/0!</v>
      </c>
      <c r="AM142" s="225" t="e">
        <f t="shared" si="7"/>
        <v>#DIV/0!</v>
      </c>
      <c r="AN142" s="225" t="e">
        <f t="shared" si="7"/>
        <v>#DIV/0!</v>
      </c>
      <c r="AO142" s="225" t="e">
        <f t="shared" si="7"/>
        <v>#DIV/0!</v>
      </c>
      <c r="AP142" s="225" t="e">
        <f t="shared" si="6"/>
        <v>#DIV/0!</v>
      </c>
      <c r="AQ142" s="225" t="e">
        <f t="shared" si="6"/>
        <v>#DIV/0!</v>
      </c>
      <c r="AR142" s="225" t="e">
        <f t="shared" si="6"/>
        <v>#DIV/0!</v>
      </c>
      <c r="AS142" s="225" t="e">
        <f t="shared" si="6"/>
        <v>#DIV/0!</v>
      </c>
      <c r="AT142" s="225" t="e">
        <f t="shared" si="6"/>
        <v>#DIV/0!</v>
      </c>
      <c r="AU142" s="225" t="e">
        <f t="shared" si="6"/>
        <v>#DIV/0!</v>
      </c>
      <c r="AV142" s="225" t="e">
        <f t="shared" si="6"/>
        <v>#DIV/0!</v>
      </c>
      <c r="AW142" s="225" t="e">
        <f t="shared" si="6"/>
        <v>#DIV/0!</v>
      </c>
      <c r="AX142" s="226" t="e">
        <f t="shared" si="6"/>
        <v>#DIV/0!</v>
      </c>
    </row>
    <row r="143" spans="2:50">
      <c r="B143" s="220">
        <v>33</v>
      </c>
      <c r="C143" s="61"/>
      <c r="D143" s="61"/>
      <c r="E143" s="61"/>
      <c r="F143" s="61"/>
      <c r="G143" s="61"/>
      <c r="H143" s="61"/>
      <c r="I143" s="61"/>
      <c r="J143" s="61"/>
      <c r="K143" s="61"/>
      <c r="L143" s="61"/>
      <c r="M143" s="61"/>
      <c r="N143" s="61"/>
      <c r="O143" s="61"/>
      <c r="P143" s="61"/>
      <c r="R143" s="220">
        <v>33</v>
      </c>
      <c r="S143" s="61"/>
      <c r="T143" s="61"/>
      <c r="U143" s="61"/>
      <c r="V143" s="61"/>
      <c r="W143" s="61"/>
      <c r="X143" s="61"/>
      <c r="Y143" s="61"/>
      <c r="Z143" s="61"/>
      <c r="AA143" s="61"/>
      <c r="AB143" s="61"/>
      <c r="AC143" s="61"/>
      <c r="AD143" s="61"/>
      <c r="AE143" s="61"/>
      <c r="AF143" s="61"/>
      <c r="AJ143" s="220">
        <v>33</v>
      </c>
      <c r="AK143" s="225" t="e">
        <f t="shared" si="5"/>
        <v>#DIV/0!</v>
      </c>
      <c r="AL143" s="225" t="e">
        <f t="shared" si="5"/>
        <v>#DIV/0!</v>
      </c>
      <c r="AM143" s="225" t="e">
        <f t="shared" si="7"/>
        <v>#DIV/0!</v>
      </c>
      <c r="AN143" s="225" t="e">
        <f t="shared" si="7"/>
        <v>#DIV/0!</v>
      </c>
      <c r="AO143" s="225" t="e">
        <f t="shared" si="7"/>
        <v>#DIV/0!</v>
      </c>
      <c r="AP143" s="225" t="e">
        <f t="shared" si="6"/>
        <v>#DIV/0!</v>
      </c>
      <c r="AQ143" s="225" t="e">
        <f t="shared" si="6"/>
        <v>#DIV/0!</v>
      </c>
      <c r="AR143" s="225" t="e">
        <f t="shared" si="6"/>
        <v>#DIV/0!</v>
      </c>
      <c r="AS143" s="225" t="e">
        <f t="shared" si="6"/>
        <v>#DIV/0!</v>
      </c>
      <c r="AT143" s="225" t="e">
        <f t="shared" si="6"/>
        <v>#DIV/0!</v>
      </c>
      <c r="AU143" s="225" t="e">
        <f t="shared" si="6"/>
        <v>#DIV/0!</v>
      </c>
      <c r="AV143" s="225" t="e">
        <f t="shared" si="6"/>
        <v>#DIV/0!</v>
      </c>
      <c r="AW143" s="225" t="e">
        <f t="shared" si="6"/>
        <v>#DIV/0!</v>
      </c>
      <c r="AX143" s="226" t="e">
        <f t="shared" si="6"/>
        <v>#DIV/0!</v>
      </c>
    </row>
    <row r="144" spans="2:50">
      <c r="B144" s="220">
        <v>34</v>
      </c>
      <c r="C144" s="61"/>
      <c r="D144" s="61"/>
      <c r="E144" s="61"/>
      <c r="F144" s="61"/>
      <c r="G144" s="61"/>
      <c r="H144" s="61"/>
      <c r="I144" s="61"/>
      <c r="J144" s="61"/>
      <c r="K144" s="61"/>
      <c r="L144" s="61"/>
      <c r="M144" s="61"/>
      <c r="N144" s="61"/>
      <c r="O144" s="61"/>
      <c r="P144" s="61"/>
      <c r="R144" s="220">
        <v>34</v>
      </c>
      <c r="S144" s="68"/>
      <c r="T144" s="68"/>
      <c r="U144" s="68"/>
      <c r="V144" s="68"/>
      <c r="W144" s="68"/>
      <c r="X144" s="68"/>
      <c r="Y144" s="68"/>
      <c r="Z144" s="68"/>
      <c r="AA144" s="68"/>
      <c r="AB144" s="68"/>
      <c r="AC144" s="68"/>
      <c r="AD144" s="68"/>
      <c r="AE144" s="68"/>
      <c r="AF144" s="68"/>
      <c r="AJ144" s="220">
        <v>34</v>
      </c>
      <c r="AK144" s="225" t="e">
        <f t="shared" si="5"/>
        <v>#DIV/0!</v>
      </c>
      <c r="AL144" s="225" t="e">
        <f t="shared" si="5"/>
        <v>#DIV/0!</v>
      </c>
      <c r="AM144" s="225" t="e">
        <f t="shared" si="7"/>
        <v>#DIV/0!</v>
      </c>
      <c r="AN144" s="225" t="e">
        <f t="shared" si="7"/>
        <v>#DIV/0!</v>
      </c>
      <c r="AO144" s="225" t="e">
        <f t="shared" si="7"/>
        <v>#DIV/0!</v>
      </c>
      <c r="AP144" s="225" t="e">
        <f t="shared" si="6"/>
        <v>#DIV/0!</v>
      </c>
      <c r="AQ144" s="225" t="e">
        <f t="shared" si="6"/>
        <v>#DIV/0!</v>
      </c>
      <c r="AR144" s="225" t="e">
        <f t="shared" si="6"/>
        <v>#DIV/0!</v>
      </c>
      <c r="AS144" s="225" t="e">
        <f t="shared" si="6"/>
        <v>#DIV/0!</v>
      </c>
      <c r="AT144" s="225" t="e">
        <f t="shared" si="6"/>
        <v>#DIV/0!</v>
      </c>
      <c r="AU144" s="225" t="e">
        <f t="shared" si="6"/>
        <v>#DIV/0!</v>
      </c>
      <c r="AV144" s="225" t="e">
        <f t="shared" si="6"/>
        <v>#DIV/0!</v>
      </c>
      <c r="AW144" s="225" t="e">
        <f t="shared" si="6"/>
        <v>#DIV/0!</v>
      </c>
      <c r="AX144" s="226" t="e">
        <f t="shared" si="6"/>
        <v>#DIV/0!</v>
      </c>
    </row>
    <row r="145" spans="2:50">
      <c r="B145" s="220">
        <v>35</v>
      </c>
      <c r="C145" s="61"/>
      <c r="D145" s="61"/>
      <c r="E145" s="61"/>
      <c r="F145" s="61"/>
      <c r="G145" s="61"/>
      <c r="H145" s="61"/>
      <c r="I145" s="61"/>
      <c r="J145" s="61"/>
      <c r="K145" s="61"/>
      <c r="L145" s="61"/>
      <c r="M145" s="61"/>
      <c r="N145" s="61"/>
      <c r="O145" s="61"/>
      <c r="P145" s="61"/>
      <c r="R145" s="220">
        <v>35</v>
      </c>
      <c r="S145" s="61"/>
      <c r="T145" s="61"/>
      <c r="U145" s="61"/>
      <c r="V145" s="61"/>
      <c r="W145" s="61"/>
      <c r="X145" s="61"/>
      <c r="Y145" s="61"/>
      <c r="Z145" s="61"/>
      <c r="AA145" s="61"/>
      <c r="AB145" s="61"/>
      <c r="AC145" s="61"/>
      <c r="AD145" s="61"/>
      <c r="AE145" s="61"/>
      <c r="AF145" s="61"/>
      <c r="AJ145" s="220">
        <v>35</v>
      </c>
      <c r="AK145" s="225" t="e">
        <f t="shared" si="5"/>
        <v>#DIV/0!</v>
      </c>
      <c r="AL145" s="225" t="e">
        <f t="shared" si="5"/>
        <v>#DIV/0!</v>
      </c>
      <c r="AM145" s="225" t="e">
        <f t="shared" si="7"/>
        <v>#DIV/0!</v>
      </c>
      <c r="AN145" s="225" t="e">
        <f t="shared" si="7"/>
        <v>#DIV/0!</v>
      </c>
      <c r="AO145" s="225" t="e">
        <f t="shared" si="7"/>
        <v>#DIV/0!</v>
      </c>
      <c r="AP145" s="225" t="e">
        <f t="shared" si="6"/>
        <v>#DIV/0!</v>
      </c>
      <c r="AQ145" s="225" t="e">
        <f t="shared" si="6"/>
        <v>#DIV/0!</v>
      </c>
      <c r="AR145" s="225" t="e">
        <f t="shared" si="6"/>
        <v>#DIV/0!</v>
      </c>
      <c r="AS145" s="225" t="e">
        <f t="shared" si="6"/>
        <v>#DIV/0!</v>
      </c>
      <c r="AT145" s="225" t="e">
        <f t="shared" si="6"/>
        <v>#DIV/0!</v>
      </c>
      <c r="AU145" s="225" t="e">
        <f t="shared" si="6"/>
        <v>#DIV/0!</v>
      </c>
      <c r="AV145" s="225" t="e">
        <f t="shared" si="6"/>
        <v>#DIV/0!</v>
      </c>
      <c r="AW145" s="225" t="e">
        <f t="shared" si="6"/>
        <v>#DIV/0!</v>
      </c>
      <c r="AX145" s="226" t="e">
        <f t="shared" si="6"/>
        <v>#DIV/0!</v>
      </c>
    </row>
    <row r="146" spans="2:50">
      <c r="B146" s="224">
        <v>36</v>
      </c>
      <c r="C146" s="68"/>
      <c r="D146" s="68"/>
      <c r="E146" s="68"/>
      <c r="F146" s="68"/>
      <c r="G146" s="68"/>
      <c r="H146" s="68"/>
      <c r="I146" s="68"/>
      <c r="J146" s="68"/>
      <c r="K146" s="68"/>
      <c r="L146" s="68"/>
      <c r="M146" s="68"/>
      <c r="N146" s="68"/>
      <c r="O146" s="68"/>
      <c r="P146" s="68"/>
      <c r="R146" s="224">
        <v>36</v>
      </c>
      <c r="S146" s="68"/>
      <c r="T146" s="68"/>
      <c r="U146" s="68"/>
      <c r="V146" s="68"/>
      <c r="W146" s="68"/>
      <c r="X146" s="68"/>
      <c r="Y146" s="68"/>
      <c r="Z146" s="68"/>
      <c r="AA146" s="68"/>
      <c r="AB146" s="68"/>
      <c r="AC146" s="68"/>
      <c r="AD146" s="68"/>
      <c r="AE146" s="68"/>
      <c r="AF146" s="68"/>
      <c r="AJ146" s="224">
        <v>36</v>
      </c>
      <c r="AK146" s="225" t="e">
        <f t="shared" si="5"/>
        <v>#DIV/0!</v>
      </c>
      <c r="AL146" s="225" t="e">
        <f t="shared" si="5"/>
        <v>#DIV/0!</v>
      </c>
      <c r="AM146" s="225" t="e">
        <f t="shared" si="7"/>
        <v>#DIV/0!</v>
      </c>
      <c r="AN146" s="225" t="e">
        <f t="shared" si="7"/>
        <v>#DIV/0!</v>
      </c>
      <c r="AO146" s="225" t="e">
        <f t="shared" si="7"/>
        <v>#DIV/0!</v>
      </c>
      <c r="AP146" s="225" t="e">
        <f t="shared" si="6"/>
        <v>#DIV/0!</v>
      </c>
      <c r="AQ146" s="225" t="e">
        <f t="shared" si="6"/>
        <v>#DIV/0!</v>
      </c>
      <c r="AR146" s="225" t="e">
        <f t="shared" si="6"/>
        <v>#DIV/0!</v>
      </c>
      <c r="AS146" s="225" t="e">
        <f t="shared" si="6"/>
        <v>#DIV/0!</v>
      </c>
      <c r="AT146" s="225" t="e">
        <f t="shared" si="6"/>
        <v>#DIV/0!</v>
      </c>
      <c r="AU146" s="225" t="e">
        <f t="shared" si="6"/>
        <v>#DIV/0!</v>
      </c>
      <c r="AV146" s="225" t="e">
        <f t="shared" si="6"/>
        <v>#DIV/0!</v>
      </c>
      <c r="AW146" s="225" t="e">
        <f t="shared" si="6"/>
        <v>#DIV/0!</v>
      </c>
      <c r="AX146" s="226" t="e">
        <f t="shared" si="6"/>
        <v>#DIV/0!</v>
      </c>
    </row>
    <row r="147" spans="2:50">
      <c r="B147" s="220">
        <v>37</v>
      </c>
      <c r="C147" s="61"/>
      <c r="D147" s="61"/>
      <c r="E147" s="61"/>
      <c r="F147" s="61"/>
      <c r="G147" s="61"/>
      <c r="H147" s="61"/>
      <c r="I147" s="61"/>
      <c r="J147" s="61"/>
      <c r="K147" s="61"/>
      <c r="L147" s="61"/>
      <c r="M147" s="61"/>
      <c r="N147" s="61"/>
      <c r="O147" s="61"/>
      <c r="P147" s="61"/>
      <c r="Q147" s="229"/>
      <c r="R147" s="220">
        <v>37</v>
      </c>
      <c r="S147" s="61"/>
      <c r="T147" s="61"/>
      <c r="U147" s="61"/>
      <c r="V147" s="61"/>
      <c r="W147" s="61"/>
      <c r="X147" s="61"/>
      <c r="Y147" s="61"/>
      <c r="Z147" s="61"/>
      <c r="AA147" s="61"/>
      <c r="AB147" s="61"/>
      <c r="AC147" s="61"/>
      <c r="AD147" s="61"/>
      <c r="AE147" s="61"/>
      <c r="AF147" s="61"/>
      <c r="AG147" s="229"/>
      <c r="AH147" s="229"/>
      <c r="AI147" s="229"/>
      <c r="AJ147" s="220">
        <v>37</v>
      </c>
      <c r="AK147" s="225" t="e">
        <f t="shared" si="5"/>
        <v>#DIV/0!</v>
      </c>
      <c r="AL147" s="225" t="e">
        <f t="shared" si="5"/>
        <v>#DIV/0!</v>
      </c>
      <c r="AM147" s="225" t="e">
        <f t="shared" si="7"/>
        <v>#DIV/0!</v>
      </c>
      <c r="AN147" s="225" t="e">
        <f t="shared" si="7"/>
        <v>#DIV/0!</v>
      </c>
      <c r="AO147" s="225" t="e">
        <f t="shared" si="7"/>
        <v>#DIV/0!</v>
      </c>
      <c r="AP147" s="225" t="e">
        <f t="shared" si="6"/>
        <v>#DIV/0!</v>
      </c>
      <c r="AQ147" s="225" t="e">
        <f t="shared" si="6"/>
        <v>#DIV/0!</v>
      </c>
      <c r="AR147" s="225" t="e">
        <f t="shared" si="6"/>
        <v>#DIV/0!</v>
      </c>
      <c r="AS147" s="225" t="e">
        <f t="shared" si="6"/>
        <v>#DIV/0!</v>
      </c>
      <c r="AT147" s="225" t="e">
        <f t="shared" si="6"/>
        <v>#DIV/0!</v>
      </c>
      <c r="AU147" s="225" t="e">
        <f t="shared" si="6"/>
        <v>#DIV/0!</v>
      </c>
      <c r="AV147" s="225" t="e">
        <f t="shared" si="6"/>
        <v>#DIV/0!</v>
      </c>
      <c r="AW147" s="225" t="e">
        <f t="shared" si="6"/>
        <v>#DIV/0!</v>
      </c>
      <c r="AX147" s="226" t="e">
        <f t="shared" si="6"/>
        <v>#DIV/0!</v>
      </c>
    </row>
    <row r="148" spans="2:50">
      <c r="B148" s="220">
        <v>38</v>
      </c>
      <c r="C148" s="61"/>
      <c r="D148" s="61"/>
      <c r="E148" s="61"/>
      <c r="F148" s="61"/>
      <c r="G148" s="61"/>
      <c r="H148" s="61"/>
      <c r="I148" s="61"/>
      <c r="J148" s="61"/>
      <c r="K148" s="61"/>
      <c r="L148" s="61"/>
      <c r="M148" s="61"/>
      <c r="N148" s="61"/>
      <c r="O148" s="61"/>
      <c r="P148" s="61"/>
      <c r="R148" s="220">
        <v>38</v>
      </c>
      <c r="S148" s="68"/>
      <c r="T148" s="68"/>
      <c r="U148" s="68"/>
      <c r="V148" s="68"/>
      <c r="W148" s="68"/>
      <c r="X148" s="68"/>
      <c r="Y148" s="68"/>
      <c r="Z148" s="68"/>
      <c r="AA148" s="68"/>
      <c r="AB148" s="68"/>
      <c r="AC148" s="68"/>
      <c r="AD148" s="68"/>
      <c r="AE148" s="68"/>
      <c r="AF148" s="68"/>
      <c r="AJ148" s="220">
        <v>38</v>
      </c>
      <c r="AK148" s="225" t="e">
        <f t="shared" si="5"/>
        <v>#DIV/0!</v>
      </c>
      <c r="AL148" s="225" t="e">
        <f t="shared" si="5"/>
        <v>#DIV/0!</v>
      </c>
      <c r="AM148" s="225" t="e">
        <f t="shared" si="7"/>
        <v>#DIV/0!</v>
      </c>
      <c r="AN148" s="225" t="e">
        <f t="shared" si="7"/>
        <v>#DIV/0!</v>
      </c>
      <c r="AO148" s="225" t="e">
        <f t="shared" si="7"/>
        <v>#DIV/0!</v>
      </c>
      <c r="AP148" s="225" t="e">
        <f t="shared" si="6"/>
        <v>#DIV/0!</v>
      </c>
      <c r="AQ148" s="225" t="e">
        <f t="shared" si="6"/>
        <v>#DIV/0!</v>
      </c>
      <c r="AR148" s="225" t="e">
        <f t="shared" si="6"/>
        <v>#DIV/0!</v>
      </c>
      <c r="AS148" s="225" t="e">
        <f t="shared" si="6"/>
        <v>#DIV/0!</v>
      </c>
      <c r="AT148" s="225" t="e">
        <f t="shared" si="6"/>
        <v>#DIV/0!</v>
      </c>
      <c r="AU148" s="225" t="e">
        <f t="shared" si="6"/>
        <v>#DIV/0!</v>
      </c>
      <c r="AV148" s="225" t="e">
        <f t="shared" si="6"/>
        <v>#DIV/0!</v>
      </c>
      <c r="AW148" s="225" t="e">
        <f t="shared" si="6"/>
        <v>#DIV/0!</v>
      </c>
      <c r="AX148" s="226" t="e">
        <f t="shared" si="6"/>
        <v>#DIV/0!</v>
      </c>
    </row>
    <row r="149" spans="2:50">
      <c r="B149" s="220">
        <v>39</v>
      </c>
      <c r="C149" s="61"/>
      <c r="D149" s="61"/>
      <c r="E149" s="61"/>
      <c r="F149" s="61"/>
      <c r="G149" s="61"/>
      <c r="H149" s="61"/>
      <c r="I149" s="61"/>
      <c r="J149" s="61"/>
      <c r="K149" s="61"/>
      <c r="L149" s="61"/>
      <c r="M149" s="61"/>
      <c r="N149" s="61"/>
      <c r="O149" s="61"/>
      <c r="P149" s="61"/>
      <c r="R149" s="220">
        <v>39</v>
      </c>
      <c r="S149" s="61"/>
      <c r="T149" s="61"/>
      <c r="U149" s="61"/>
      <c r="V149" s="61"/>
      <c r="W149" s="61"/>
      <c r="X149" s="61"/>
      <c r="Y149" s="61"/>
      <c r="Z149" s="61"/>
      <c r="AA149" s="61"/>
      <c r="AB149" s="61"/>
      <c r="AC149" s="61"/>
      <c r="AD149" s="61"/>
      <c r="AE149" s="61"/>
      <c r="AF149" s="61"/>
      <c r="AJ149" s="220">
        <v>39</v>
      </c>
      <c r="AK149" s="225" t="e">
        <f t="shared" si="5"/>
        <v>#DIV/0!</v>
      </c>
      <c r="AL149" s="225" t="e">
        <f t="shared" si="5"/>
        <v>#DIV/0!</v>
      </c>
      <c r="AM149" s="225" t="e">
        <f t="shared" si="7"/>
        <v>#DIV/0!</v>
      </c>
      <c r="AN149" s="225" t="e">
        <f t="shared" si="7"/>
        <v>#DIV/0!</v>
      </c>
      <c r="AO149" s="225" t="e">
        <f t="shared" si="7"/>
        <v>#DIV/0!</v>
      </c>
      <c r="AP149" s="225" t="e">
        <f t="shared" si="6"/>
        <v>#DIV/0!</v>
      </c>
      <c r="AQ149" s="225" t="e">
        <f t="shared" si="6"/>
        <v>#DIV/0!</v>
      </c>
      <c r="AR149" s="225" t="e">
        <f t="shared" si="6"/>
        <v>#DIV/0!</v>
      </c>
      <c r="AS149" s="225" t="e">
        <f t="shared" si="6"/>
        <v>#DIV/0!</v>
      </c>
      <c r="AT149" s="225" t="e">
        <f t="shared" si="6"/>
        <v>#DIV/0!</v>
      </c>
      <c r="AU149" s="225" t="e">
        <f t="shared" si="6"/>
        <v>#DIV/0!</v>
      </c>
      <c r="AV149" s="225" t="e">
        <f t="shared" si="6"/>
        <v>#DIV/0!</v>
      </c>
      <c r="AW149" s="225" t="e">
        <f t="shared" si="6"/>
        <v>#DIV/0!</v>
      </c>
      <c r="AX149" s="226" t="e">
        <f t="shared" si="6"/>
        <v>#DIV/0!</v>
      </c>
    </row>
    <row r="150" spans="2:50">
      <c r="B150" s="220">
        <v>40</v>
      </c>
      <c r="C150" s="68"/>
      <c r="D150" s="68"/>
      <c r="E150" s="68"/>
      <c r="F150" s="68"/>
      <c r="G150" s="68"/>
      <c r="H150" s="68"/>
      <c r="I150" s="68"/>
      <c r="J150" s="68"/>
      <c r="K150" s="68"/>
      <c r="L150" s="68"/>
      <c r="M150" s="68"/>
      <c r="N150" s="68"/>
      <c r="O150" s="68"/>
      <c r="P150" s="68"/>
      <c r="R150" s="220">
        <v>40</v>
      </c>
      <c r="S150" s="68"/>
      <c r="T150" s="68"/>
      <c r="U150" s="68"/>
      <c r="V150" s="68"/>
      <c r="W150" s="68"/>
      <c r="X150" s="68"/>
      <c r="Y150" s="68"/>
      <c r="Z150" s="68"/>
      <c r="AA150" s="68"/>
      <c r="AB150" s="68"/>
      <c r="AC150" s="68"/>
      <c r="AD150" s="68"/>
      <c r="AE150" s="68"/>
      <c r="AF150" s="68"/>
      <c r="AJ150" s="220">
        <v>40</v>
      </c>
      <c r="AK150" s="225" t="e">
        <f t="shared" si="5"/>
        <v>#DIV/0!</v>
      </c>
      <c r="AL150" s="225" t="e">
        <f t="shared" si="5"/>
        <v>#DIV/0!</v>
      </c>
      <c r="AM150" s="225" t="e">
        <f t="shared" si="7"/>
        <v>#DIV/0!</v>
      </c>
      <c r="AN150" s="225" t="e">
        <f t="shared" si="7"/>
        <v>#DIV/0!</v>
      </c>
      <c r="AO150" s="225" t="e">
        <f t="shared" si="7"/>
        <v>#DIV/0!</v>
      </c>
      <c r="AP150" s="225" t="e">
        <f t="shared" si="6"/>
        <v>#DIV/0!</v>
      </c>
      <c r="AQ150" s="225" t="e">
        <f t="shared" si="6"/>
        <v>#DIV/0!</v>
      </c>
      <c r="AR150" s="225" t="e">
        <f t="shared" si="6"/>
        <v>#DIV/0!</v>
      </c>
      <c r="AS150" s="225" t="e">
        <f t="shared" ref="AS150:AX158" si="8">EXP(-AS$109*$AJ150)</f>
        <v>#DIV/0!</v>
      </c>
      <c r="AT150" s="225" t="e">
        <f t="shared" si="8"/>
        <v>#DIV/0!</v>
      </c>
      <c r="AU150" s="225" t="e">
        <f t="shared" si="8"/>
        <v>#DIV/0!</v>
      </c>
      <c r="AV150" s="225" t="e">
        <f t="shared" si="8"/>
        <v>#DIV/0!</v>
      </c>
      <c r="AW150" s="225" t="e">
        <f t="shared" si="8"/>
        <v>#DIV/0!</v>
      </c>
      <c r="AX150" s="226" t="e">
        <f t="shared" si="8"/>
        <v>#DIV/0!</v>
      </c>
    </row>
    <row r="151" spans="2:50">
      <c r="B151" s="220">
        <v>41</v>
      </c>
      <c r="C151" s="61"/>
      <c r="D151" s="61"/>
      <c r="E151" s="61"/>
      <c r="F151" s="61"/>
      <c r="G151" s="61"/>
      <c r="H151" s="61"/>
      <c r="I151" s="61"/>
      <c r="J151" s="61"/>
      <c r="K151" s="61"/>
      <c r="L151" s="61"/>
      <c r="M151" s="61"/>
      <c r="N151" s="61"/>
      <c r="O151" s="61"/>
      <c r="P151" s="61"/>
      <c r="R151" s="220">
        <v>41</v>
      </c>
      <c r="S151" s="61"/>
      <c r="T151" s="61"/>
      <c r="U151" s="61"/>
      <c r="V151" s="61"/>
      <c r="W151" s="61"/>
      <c r="X151" s="61"/>
      <c r="Y151" s="61"/>
      <c r="Z151" s="61"/>
      <c r="AA151" s="61"/>
      <c r="AB151" s="61"/>
      <c r="AC151" s="61"/>
      <c r="AD151" s="61"/>
      <c r="AE151" s="61"/>
      <c r="AF151" s="61"/>
      <c r="AJ151" s="220">
        <v>41</v>
      </c>
      <c r="AK151" s="225" t="e">
        <f t="shared" si="5"/>
        <v>#DIV/0!</v>
      </c>
      <c r="AL151" s="225" t="e">
        <f t="shared" si="5"/>
        <v>#DIV/0!</v>
      </c>
      <c r="AM151" s="225" t="e">
        <f t="shared" si="7"/>
        <v>#DIV/0!</v>
      </c>
      <c r="AN151" s="225" t="e">
        <f t="shared" si="7"/>
        <v>#DIV/0!</v>
      </c>
      <c r="AO151" s="225" t="e">
        <f t="shared" si="7"/>
        <v>#DIV/0!</v>
      </c>
      <c r="AP151" s="225" t="e">
        <f t="shared" si="7"/>
        <v>#DIV/0!</v>
      </c>
      <c r="AQ151" s="225" t="e">
        <f t="shared" si="7"/>
        <v>#DIV/0!</v>
      </c>
      <c r="AR151" s="225" t="e">
        <f t="shared" si="7"/>
        <v>#DIV/0!</v>
      </c>
      <c r="AS151" s="225" t="e">
        <f t="shared" si="8"/>
        <v>#DIV/0!</v>
      </c>
      <c r="AT151" s="225" t="e">
        <f t="shared" si="8"/>
        <v>#DIV/0!</v>
      </c>
      <c r="AU151" s="225" t="e">
        <f t="shared" si="8"/>
        <v>#DIV/0!</v>
      </c>
      <c r="AV151" s="225" t="e">
        <f t="shared" si="8"/>
        <v>#DIV/0!</v>
      </c>
      <c r="AW151" s="225" t="e">
        <f t="shared" si="8"/>
        <v>#DIV/0!</v>
      </c>
      <c r="AX151" s="226" t="e">
        <f t="shared" si="8"/>
        <v>#DIV/0!</v>
      </c>
    </row>
    <row r="152" spans="2:50">
      <c r="B152" s="220">
        <v>42</v>
      </c>
      <c r="C152" s="61"/>
      <c r="D152" s="61"/>
      <c r="E152" s="61"/>
      <c r="F152" s="61"/>
      <c r="G152" s="61"/>
      <c r="H152" s="61"/>
      <c r="I152" s="61"/>
      <c r="J152" s="61"/>
      <c r="K152" s="61"/>
      <c r="L152" s="61"/>
      <c r="M152" s="61"/>
      <c r="N152" s="61"/>
      <c r="O152" s="61"/>
      <c r="P152" s="61"/>
      <c r="R152" s="220">
        <v>42</v>
      </c>
      <c r="S152" s="68"/>
      <c r="T152" s="68"/>
      <c r="U152" s="68"/>
      <c r="V152" s="68"/>
      <c r="W152" s="68"/>
      <c r="X152" s="68"/>
      <c r="Y152" s="68"/>
      <c r="Z152" s="68"/>
      <c r="AA152" s="68"/>
      <c r="AB152" s="68"/>
      <c r="AC152" s="68"/>
      <c r="AD152" s="68"/>
      <c r="AE152" s="68"/>
      <c r="AF152" s="68"/>
      <c r="AJ152" s="220">
        <v>42</v>
      </c>
      <c r="AK152" s="225" t="e">
        <f t="shared" si="5"/>
        <v>#DIV/0!</v>
      </c>
      <c r="AL152" s="225" t="e">
        <f t="shared" si="5"/>
        <v>#DIV/0!</v>
      </c>
      <c r="AM152" s="225" t="e">
        <f t="shared" si="7"/>
        <v>#DIV/0!</v>
      </c>
      <c r="AN152" s="225" t="e">
        <f t="shared" si="7"/>
        <v>#DIV/0!</v>
      </c>
      <c r="AO152" s="225" t="e">
        <f t="shared" si="7"/>
        <v>#DIV/0!</v>
      </c>
      <c r="AP152" s="225" t="e">
        <f t="shared" si="7"/>
        <v>#DIV/0!</v>
      </c>
      <c r="AQ152" s="225" t="e">
        <f t="shared" si="7"/>
        <v>#DIV/0!</v>
      </c>
      <c r="AR152" s="225" t="e">
        <f t="shared" si="7"/>
        <v>#DIV/0!</v>
      </c>
      <c r="AS152" s="225" t="e">
        <f t="shared" si="8"/>
        <v>#DIV/0!</v>
      </c>
      <c r="AT152" s="225" t="e">
        <f t="shared" si="8"/>
        <v>#DIV/0!</v>
      </c>
      <c r="AU152" s="225" t="e">
        <f t="shared" si="8"/>
        <v>#DIV/0!</v>
      </c>
      <c r="AV152" s="225" t="e">
        <f t="shared" si="8"/>
        <v>#DIV/0!</v>
      </c>
      <c r="AW152" s="225" t="e">
        <f t="shared" si="8"/>
        <v>#DIV/0!</v>
      </c>
      <c r="AX152" s="226" t="e">
        <f t="shared" si="8"/>
        <v>#DIV/0!</v>
      </c>
    </row>
    <row r="153" spans="2:50">
      <c r="B153" s="220">
        <v>43</v>
      </c>
      <c r="C153" s="61"/>
      <c r="D153" s="61"/>
      <c r="E153" s="61"/>
      <c r="F153" s="61"/>
      <c r="G153" s="61"/>
      <c r="H153" s="61"/>
      <c r="I153" s="61"/>
      <c r="J153" s="61"/>
      <c r="K153" s="61"/>
      <c r="L153" s="61"/>
      <c r="M153" s="61"/>
      <c r="N153" s="61"/>
      <c r="O153" s="61"/>
      <c r="P153" s="61"/>
      <c r="R153" s="220">
        <v>43</v>
      </c>
      <c r="S153" s="61"/>
      <c r="T153" s="61"/>
      <c r="U153" s="61"/>
      <c r="V153" s="61"/>
      <c r="W153" s="61"/>
      <c r="X153" s="61"/>
      <c r="Y153" s="61"/>
      <c r="Z153" s="61"/>
      <c r="AA153" s="61"/>
      <c r="AB153" s="61"/>
      <c r="AC153" s="61"/>
      <c r="AD153" s="61"/>
      <c r="AE153" s="61"/>
      <c r="AF153" s="61"/>
      <c r="AJ153" s="220">
        <v>43</v>
      </c>
      <c r="AK153" s="225" t="e">
        <f t="shared" si="5"/>
        <v>#DIV/0!</v>
      </c>
      <c r="AL153" s="225" t="e">
        <f t="shared" si="5"/>
        <v>#DIV/0!</v>
      </c>
      <c r="AM153" s="225" t="e">
        <f t="shared" si="7"/>
        <v>#DIV/0!</v>
      </c>
      <c r="AN153" s="225" t="e">
        <f t="shared" si="7"/>
        <v>#DIV/0!</v>
      </c>
      <c r="AO153" s="225" t="e">
        <f t="shared" si="7"/>
        <v>#DIV/0!</v>
      </c>
      <c r="AP153" s="225" t="e">
        <f t="shared" si="7"/>
        <v>#DIV/0!</v>
      </c>
      <c r="AQ153" s="225" t="e">
        <f t="shared" si="7"/>
        <v>#DIV/0!</v>
      </c>
      <c r="AR153" s="225" t="e">
        <f t="shared" si="7"/>
        <v>#DIV/0!</v>
      </c>
      <c r="AS153" s="225" t="e">
        <f t="shared" si="8"/>
        <v>#DIV/0!</v>
      </c>
      <c r="AT153" s="225" t="e">
        <f t="shared" si="8"/>
        <v>#DIV/0!</v>
      </c>
      <c r="AU153" s="225" t="e">
        <f t="shared" si="8"/>
        <v>#DIV/0!</v>
      </c>
      <c r="AV153" s="225" t="e">
        <f t="shared" si="8"/>
        <v>#DIV/0!</v>
      </c>
      <c r="AW153" s="225" t="e">
        <f t="shared" si="8"/>
        <v>#DIV/0!</v>
      </c>
      <c r="AX153" s="226" t="e">
        <f t="shared" si="8"/>
        <v>#DIV/0!</v>
      </c>
    </row>
    <row r="154" spans="2:50">
      <c r="B154" s="220">
        <v>44</v>
      </c>
      <c r="C154" s="68"/>
      <c r="D154" s="68"/>
      <c r="E154" s="68"/>
      <c r="F154" s="68"/>
      <c r="G154" s="68"/>
      <c r="H154" s="68"/>
      <c r="I154" s="68"/>
      <c r="J154" s="68"/>
      <c r="K154" s="68"/>
      <c r="L154" s="68"/>
      <c r="M154" s="68"/>
      <c r="N154" s="68"/>
      <c r="O154" s="68"/>
      <c r="P154" s="68"/>
      <c r="R154" s="220">
        <v>44</v>
      </c>
      <c r="S154" s="68"/>
      <c r="T154" s="68"/>
      <c r="U154" s="68"/>
      <c r="V154" s="68"/>
      <c r="W154" s="68"/>
      <c r="X154" s="68"/>
      <c r="Y154" s="68"/>
      <c r="Z154" s="68"/>
      <c r="AA154" s="68"/>
      <c r="AB154" s="68"/>
      <c r="AC154" s="68"/>
      <c r="AD154" s="68"/>
      <c r="AE154" s="68"/>
      <c r="AF154" s="68"/>
      <c r="AJ154" s="220">
        <v>44</v>
      </c>
      <c r="AK154" s="225" t="e">
        <f t="shared" si="5"/>
        <v>#DIV/0!</v>
      </c>
      <c r="AL154" s="225" t="e">
        <f t="shared" si="5"/>
        <v>#DIV/0!</v>
      </c>
      <c r="AM154" s="225" t="e">
        <f t="shared" si="7"/>
        <v>#DIV/0!</v>
      </c>
      <c r="AN154" s="225" t="e">
        <f t="shared" si="7"/>
        <v>#DIV/0!</v>
      </c>
      <c r="AO154" s="225" t="e">
        <f t="shared" si="7"/>
        <v>#DIV/0!</v>
      </c>
      <c r="AP154" s="225" t="e">
        <f t="shared" si="7"/>
        <v>#DIV/0!</v>
      </c>
      <c r="AQ154" s="225" t="e">
        <f t="shared" si="7"/>
        <v>#DIV/0!</v>
      </c>
      <c r="AR154" s="225" t="e">
        <f t="shared" si="7"/>
        <v>#DIV/0!</v>
      </c>
      <c r="AS154" s="225" t="e">
        <f t="shared" si="8"/>
        <v>#DIV/0!</v>
      </c>
      <c r="AT154" s="225" t="e">
        <f t="shared" si="8"/>
        <v>#DIV/0!</v>
      </c>
      <c r="AU154" s="225" t="e">
        <f t="shared" si="8"/>
        <v>#DIV/0!</v>
      </c>
      <c r="AV154" s="225" t="e">
        <f t="shared" si="8"/>
        <v>#DIV/0!</v>
      </c>
      <c r="AW154" s="225" t="e">
        <f t="shared" si="8"/>
        <v>#DIV/0!</v>
      </c>
      <c r="AX154" s="226" t="e">
        <f t="shared" si="8"/>
        <v>#DIV/0!</v>
      </c>
    </row>
    <row r="155" spans="2:50">
      <c r="B155" s="220">
        <v>45</v>
      </c>
      <c r="C155" s="61"/>
      <c r="D155" s="61"/>
      <c r="E155" s="61"/>
      <c r="F155" s="61"/>
      <c r="G155" s="61"/>
      <c r="H155" s="61"/>
      <c r="I155" s="61"/>
      <c r="J155" s="61"/>
      <c r="K155" s="61"/>
      <c r="L155" s="61"/>
      <c r="M155" s="61"/>
      <c r="N155" s="61"/>
      <c r="O155" s="61"/>
      <c r="P155" s="61"/>
      <c r="R155" s="220">
        <v>45</v>
      </c>
      <c r="S155" s="61"/>
      <c r="T155" s="61"/>
      <c r="U155" s="61"/>
      <c r="V155" s="61"/>
      <c r="W155" s="61"/>
      <c r="X155" s="61"/>
      <c r="Y155" s="61"/>
      <c r="Z155" s="61"/>
      <c r="AA155" s="61"/>
      <c r="AB155" s="61"/>
      <c r="AC155" s="61"/>
      <c r="AD155" s="61"/>
      <c r="AE155" s="61"/>
      <c r="AF155" s="61"/>
      <c r="AJ155" s="220">
        <v>45</v>
      </c>
      <c r="AK155" s="225" t="e">
        <f t="shared" si="5"/>
        <v>#DIV/0!</v>
      </c>
      <c r="AL155" s="225" t="e">
        <f t="shared" si="5"/>
        <v>#DIV/0!</v>
      </c>
      <c r="AM155" s="225" t="e">
        <f t="shared" si="7"/>
        <v>#DIV/0!</v>
      </c>
      <c r="AN155" s="225" t="e">
        <f t="shared" si="7"/>
        <v>#DIV/0!</v>
      </c>
      <c r="AO155" s="225" t="e">
        <f t="shared" si="7"/>
        <v>#DIV/0!</v>
      </c>
      <c r="AP155" s="225" t="e">
        <f t="shared" si="7"/>
        <v>#DIV/0!</v>
      </c>
      <c r="AQ155" s="225" t="e">
        <f t="shared" si="7"/>
        <v>#DIV/0!</v>
      </c>
      <c r="AR155" s="225" t="e">
        <f t="shared" si="7"/>
        <v>#DIV/0!</v>
      </c>
      <c r="AS155" s="225" t="e">
        <f t="shared" si="8"/>
        <v>#DIV/0!</v>
      </c>
      <c r="AT155" s="225" t="e">
        <f t="shared" si="8"/>
        <v>#DIV/0!</v>
      </c>
      <c r="AU155" s="225" t="e">
        <f t="shared" si="8"/>
        <v>#DIV/0!</v>
      </c>
      <c r="AV155" s="225" t="e">
        <f t="shared" si="8"/>
        <v>#DIV/0!</v>
      </c>
      <c r="AW155" s="225" t="e">
        <f t="shared" si="8"/>
        <v>#DIV/0!</v>
      </c>
      <c r="AX155" s="226" t="e">
        <f t="shared" si="8"/>
        <v>#DIV/0!</v>
      </c>
    </row>
    <row r="156" spans="2:50">
      <c r="B156" s="220">
        <v>46</v>
      </c>
      <c r="C156" s="61"/>
      <c r="D156" s="61"/>
      <c r="E156" s="61"/>
      <c r="F156" s="61"/>
      <c r="G156" s="61"/>
      <c r="H156" s="61"/>
      <c r="I156" s="61"/>
      <c r="J156" s="61"/>
      <c r="K156" s="61"/>
      <c r="L156" s="61"/>
      <c r="M156" s="61"/>
      <c r="N156" s="61"/>
      <c r="O156" s="61"/>
      <c r="P156" s="61"/>
      <c r="R156" s="220">
        <v>46</v>
      </c>
      <c r="S156" s="68"/>
      <c r="T156" s="68"/>
      <c r="U156" s="68"/>
      <c r="V156" s="68"/>
      <c r="W156" s="68"/>
      <c r="X156" s="68"/>
      <c r="Y156" s="68"/>
      <c r="Z156" s="68"/>
      <c r="AA156" s="68"/>
      <c r="AB156" s="68"/>
      <c r="AC156" s="68"/>
      <c r="AD156" s="68"/>
      <c r="AE156" s="68"/>
      <c r="AF156" s="68"/>
      <c r="AJ156" s="220">
        <v>46</v>
      </c>
      <c r="AK156" s="225" t="e">
        <f t="shared" si="5"/>
        <v>#DIV/0!</v>
      </c>
      <c r="AL156" s="225" t="e">
        <f t="shared" si="5"/>
        <v>#DIV/0!</v>
      </c>
      <c r="AM156" s="225" t="e">
        <f t="shared" si="7"/>
        <v>#DIV/0!</v>
      </c>
      <c r="AN156" s="225" t="e">
        <f t="shared" si="7"/>
        <v>#DIV/0!</v>
      </c>
      <c r="AO156" s="225" t="e">
        <f t="shared" si="7"/>
        <v>#DIV/0!</v>
      </c>
      <c r="AP156" s="225" t="e">
        <f t="shared" si="7"/>
        <v>#DIV/0!</v>
      </c>
      <c r="AQ156" s="225" t="e">
        <f t="shared" si="7"/>
        <v>#DIV/0!</v>
      </c>
      <c r="AR156" s="225" t="e">
        <f t="shared" si="7"/>
        <v>#DIV/0!</v>
      </c>
      <c r="AS156" s="225" t="e">
        <f t="shared" si="8"/>
        <v>#DIV/0!</v>
      </c>
      <c r="AT156" s="225" t="e">
        <f t="shared" si="8"/>
        <v>#DIV/0!</v>
      </c>
      <c r="AU156" s="225" t="e">
        <f t="shared" si="8"/>
        <v>#DIV/0!</v>
      </c>
      <c r="AV156" s="225" t="e">
        <f t="shared" si="8"/>
        <v>#DIV/0!</v>
      </c>
      <c r="AW156" s="225" t="e">
        <f t="shared" si="8"/>
        <v>#DIV/0!</v>
      </c>
      <c r="AX156" s="226" t="e">
        <f t="shared" si="8"/>
        <v>#DIV/0!</v>
      </c>
    </row>
    <row r="157" spans="2:50">
      <c r="B157" s="220">
        <v>47</v>
      </c>
      <c r="C157" s="61"/>
      <c r="D157" s="61"/>
      <c r="E157" s="61"/>
      <c r="F157" s="61"/>
      <c r="G157" s="61"/>
      <c r="H157" s="61"/>
      <c r="I157" s="61"/>
      <c r="J157" s="61"/>
      <c r="K157" s="61"/>
      <c r="L157" s="61"/>
      <c r="M157" s="61"/>
      <c r="N157" s="61"/>
      <c r="O157" s="61"/>
      <c r="P157" s="61"/>
      <c r="R157" s="220">
        <v>47</v>
      </c>
      <c r="S157" s="61"/>
      <c r="T157" s="61"/>
      <c r="U157" s="61"/>
      <c r="V157" s="61"/>
      <c r="W157" s="61"/>
      <c r="X157" s="61"/>
      <c r="Y157" s="61"/>
      <c r="Z157" s="61"/>
      <c r="AA157" s="61"/>
      <c r="AB157" s="61"/>
      <c r="AC157" s="61"/>
      <c r="AD157" s="61"/>
      <c r="AE157" s="61"/>
      <c r="AF157" s="61"/>
      <c r="AJ157" s="220">
        <v>47</v>
      </c>
      <c r="AK157" s="225" t="e">
        <f t="shared" si="5"/>
        <v>#DIV/0!</v>
      </c>
      <c r="AL157" s="225" t="e">
        <f t="shared" si="5"/>
        <v>#DIV/0!</v>
      </c>
      <c r="AM157" s="225" t="e">
        <f t="shared" si="7"/>
        <v>#DIV/0!</v>
      </c>
      <c r="AN157" s="225" t="e">
        <f t="shared" si="7"/>
        <v>#DIV/0!</v>
      </c>
      <c r="AO157" s="225" t="e">
        <f t="shared" si="7"/>
        <v>#DIV/0!</v>
      </c>
      <c r="AP157" s="225" t="e">
        <f t="shared" si="7"/>
        <v>#DIV/0!</v>
      </c>
      <c r="AQ157" s="225" t="e">
        <f t="shared" si="7"/>
        <v>#DIV/0!</v>
      </c>
      <c r="AR157" s="225" t="e">
        <f t="shared" si="7"/>
        <v>#DIV/0!</v>
      </c>
      <c r="AS157" s="225" t="e">
        <f t="shared" si="8"/>
        <v>#DIV/0!</v>
      </c>
      <c r="AT157" s="225" t="e">
        <f t="shared" si="8"/>
        <v>#DIV/0!</v>
      </c>
      <c r="AU157" s="225" t="e">
        <f t="shared" si="8"/>
        <v>#DIV/0!</v>
      </c>
      <c r="AV157" s="225" t="e">
        <f t="shared" si="8"/>
        <v>#DIV/0!</v>
      </c>
      <c r="AW157" s="225" t="e">
        <f t="shared" si="8"/>
        <v>#DIV/0!</v>
      </c>
      <c r="AX157" s="226" t="e">
        <f t="shared" si="8"/>
        <v>#DIV/0!</v>
      </c>
    </row>
    <row r="158" spans="2:50">
      <c r="B158" s="224">
        <v>48</v>
      </c>
      <c r="C158" s="68"/>
      <c r="D158" s="68"/>
      <c r="E158" s="68"/>
      <c r="F158" s="68"/>
      <c r="G158" s="68"/>
      <c r="H158" s="68"/>
      <c r="I158" s="68"/>
      <c r="J158" s="68"/>
      <c r="K158" s="68"/>
      <c r="L158" s="68"/>
      <c r="M158" s="68"/>
      <c r="N158" s="68"/>
      <c r="O158" s="68"/>
      <c r="P158" s="68"/>
      <c r="R158" s="224">
        <v>48</v>
      </c>
      <c r="S158" s="68"/>
      <c r="T158" s="68"/>
      <c r="U158" s="68"/>
      <c r="V158" s="68"/>
      <c r="W158" s="68"/>
      <c r="X158" s="68"/>
      <c r="Y158" s="68"/>
      <c r="Z158" s="68"/>
      <c r="AA158" s="68"/>
      <c r="AB158" s="68"/>
      <c r="AC158" s="68"/>
      <c r="AD158" s="68"/>
      <c r="AE158" s="68"/>
      <c r="AF158" s="68"/>
      <c r="AJ158" s="224">
        <v>48</v>
      </c>
      <c r="AK158" s="225" t="e">
        <f t="shared" si="5"/>
        <v>#DIV/0!</v>
      </c>
      <c r="AL158" s="225" t="e">
        <f t="shared" si="5"/>
        <v>#DIV/0!</v>
      </c>
      <c r="AM158" s="225" t="e">
        <f t="shared" si="7"/>
        <v>#DIV/0!</v>
      </c>
      <c r="AN158" s="225" t="e">
        <f t="shared" si="7"/>
        <v>#DIV/0!</v>
      </c>
      <c r="AO158" s="225" t="e">
        <f t="shared" si="7"/>
        <v>#DIV/0!</v>
      </c>
      <c r="AP158" s="225" t="e">
        <f t="shared" si="7"/>
        <v>#DIV/0!</v>
      </c>
      <c r="AQ158" s="225" t="e">
        <f t="shared" si="7"/>
        <v>#DIV/0!</v>
      </c>
      <c r="AR158" s="225" t="e">
        <f t="shared" si="7"/>
        <v>#DIV/0!</v>
      </c>
      <c r="AS158" s="225" t="e">
        <f t="shared" si="8"/>
        <v>#DIV/0!</v>
      </c>
      <c r="AT158" s="225" t="e">
        <f t="shared" si="8"/>
        <v>#DIV/0!</v>
      </c>
      <c r="AU158" s="225" t="e">
        <f t="shared" si="8"/>
        <v>#DIV/0!</v>
      </c>
      <c r="AV158" s="225" t="e">
        <f t="shared" si="8"/>
        <v>#DIV/0!</v>
      </c>
      <c r="AW158" s="225" t="e">
        <f t="shared" si="8"/>
        <v>#DIV/0!</v>
      </c>
      <c r="AX158" s="226" t="e">
        <f t="shared" si="8"/>
        <v>#DIV/0!</v>
      </c>
    </row>
    <row r="166" spans="2:24" s="3" customFormat="1" ht="13.95" customHeight="1">
      <c r="B166" s="7"/>
      <c r="C166" s="7"/>
      <c r="D166" s="7"/>
      <c r="E166" s="7"/>
      <c r="F166" s="7"/>
      <c r="G166" s="7"/>
      <c r="H166" s="7"/>
      <c r="I166" s="7"/>
      <c r="J166" s="7"/>
      <c r="K166" s="7"/>
      <c r="L166" s="142"/>
      <c r="M166" s="142"/>
      <c r="N166" s="9"/>
      <c r="O166" s="9"/>
      <c r="P166" s="9"/>
      <c r="Q166" s="9"/>
      <c r="R166" s="9"/>
      <c r="S166" s="9"/>
      <c r="T166" s="9"/>
      <c r="U166" s="9"/>
      <c r="V166" s="9"/>
      <c r="W166" s="9"/>
      <c r="X166" s="9"/>
    </row>
    <row r="167" spans="2:24" s="3" customFormat="1">
      <c r="B167" s="65"/>
      <c r="C167" s="65"/>
      <c r="D167" s="65"/>
      <c r="E167" s="65"/>
      <c r="F167" s="65"/>
      <c r="G167" s="65"/>
      <c r="H167" s="65"/>
      <c r="I167" s="65"/>
      <c r="J167" s="65"/>
      <c r="K167" s="65"/>
      <c r="L167" s="65"/>
      <c r="M167" s="65"/>
    </row>
    <row r="168" spans="2:24" s="3" customFormat="1">
      <c r="B168" s="406" t="s">
        <v>77</v>
      </c>
      <c r="C168" s="406"/>
      <c r="D168" s="406"/>
      <c r="E168" s="406"/>
      <c r="F168" s="406"/>
      <c r="G168" s="406"/>
      <c r="H168" s="406"/>
      <c r="I168" s="406"/>
      <c r="J168" s="406"/>
      <c r="K168" s="406"/>
      <c r="L168" s="406"/>
      <c r="M168" s="406"/>
    </row>
    <row r="169" spans="2:24" s="3" customFormat="1">
      <c r="B169" s="406"/>
      <c r="C169" s="406"/>
      <c r="D169" s="406"/>
      <c r="E169" s="406"/>
      <c r="F169" s="406"/>
      <c r="G169" s="406"/>
      <c r="H169" s="406"/>
      <c r="I169" s="406"/>
      <c r="J169" s="406"/>
      <c r="K169" s="406"/>
      <c r="L169" s="406"/>
      <c r="M169" s="406"/>
    </row>
    <row r="170" spans="2:24" s="1" customFormat="1" ht="85.95" customHeight="1">
      <c r="B170" s="405" t="e" vm="1">
        <v>#VALUE!</v>
      </c>
      <c r="C170" s="405"/>
      <c r="D170" s="405"/>
      <c r="E170" s="405"/>
      <c r="F170" s="405"/>
      <c r="G170" s="405"/>
      <c r="H170" s="405"/>
      <c r="I170" s="405"/>
      <c r="J170" s="405"/>
      <c r="K170" s="405"/>
      <c r="L170" s="405"/>
      <c r="M170" s="405"/>
    </row>
  </sheetData>
  <sheetProtection sheet="1" scenarios="1" formatCells="0" formatColumns="0" formatRows="0"/>
  <mergeCells count="68">
    <mergeCell ref="R7:AF7"/>
    <mergeCell ref="R8:R9"/>
    <mergeCell ref="S8:S9"/>
    <mergeCell ref="T8:T9"/>
    <mergeCell ref="U8:U9"/>
    <mergeCell ref="V8:V9"/>
    <mergeCell ref="AC8:AC9"/>
    <mergeCell ref="AD8:AD9"/>
    <mergeCell ref="AE8:AE9"/>
    <mergeCell ref="AF8:AF9"/>
    <mergeCell ref="W8:W9"/>
    <mergeCell ref="X8:X9"/>
    <mergeCell ref="AA8:AA9"/>
    <mergeCell ref="L8:L9"/>
    <mergeCell ref="AJ7:AX7"/>
    <mergeCell ref="B7:P7"/>
    <mergeCell ref="B8:B9"/>
    <mergeCell ref="C8:C9"/>
    <mergeCell ref="D8:D9"/>
    <mergeCell ref="E8:E9"/>
    <mergeCell ref="F8:F9"/>
    <mergeCell ref="G8:G9"/>
    <mergeCell ref="H8:H9"/>
    <mergeCell ref="I8:I9"/>
    <mergeCell ref="J8:J9"/>
    <mergeCell ref="K8:K9"/>
    <mergeCell ref="Z8:Z9"/>
    <mergeCell ref="N8:N9"/>
    <mergeCell ref="AB8:AB9"/>
    <mergeCell ref="M8:M9"/>
    <mergeCell ref="Y8:Y9"/>
    <mergeCell ref="O8:O9"/>
    <mergeCell ref="Y108:Y109"/>
    <mergeCell ref="O108:O109"/>
    <mergeCell ref="P108:P109"/>
    <mergeCell ref="P8:P9"/>
    <mergeCell ref="AJ107:AX107"/>
    <mergeCell ref="B108:B109"/>
    <mergeCell ref="C108:C109"/>
    <mergeCell ref="D108:D109"/>
    <mergeCell ref="E108:E109"/>
    <mergeCell ref="F108:F109"/>
    <mergeCell ref="G108:G109"/>
    <mergeCell ref="H108:H109"/>
    <mergeCell ref="I108:I109"/>
    <mergeCell ref="J108:J109"/>
    <mergeCell ref="K108:K109"/>
    <mergeCell ref="L108:L109"/>
    <mergeCell ref="M108:M109"/>
    <mergeCell ref="T108:T109"/>
    <mergeCell ref="B107:P107"/>
    <mergeCell ref="R107:AF107"/>
    <mergeCell ref="B168:M169"/>
    <mergeCell ref="B170:M170"/>
    <mergeCell ref="AE108:AE109"/>
    <mergeCell ref="AF108:AF109"/>
    <mergeCell ref="Z108:Z109"/>
    <mergeCell ref="AA108:AA109"/>
    <mergeCell ref="AB108:AB109"/>
    <mergeCell ref="AC108:AC109"/>
    <mergeCell ref="AD108:AD109"/>
    <mergeCell ref="U108:U109"/>
    <mergeCell ref="V108:V109"/>
    <mergeCell ref="W108:W109"/>
    <mergeCell ref="X108:X109"/>
    <mergeCell ref="N108:N109"/>
    <mergeCell ref="R108:R109"/>
    <mergeCell ref="S108:S109"/>
  </mergeCells>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C8094-C5CD-4F54-B324-6DD59F2B497F}">
  <sheetPr codeName="Planilha14">
    <tabColor rgb="FF0EB1BA"/>
  </sheetPr>
  <dimension ref="B1:DI213"/>
  <sheetViews>
    <sheetView showGridLines="0" showRowColHeaders="0" zoomScaleNormal="100" workbookViewId="0">
      <selection activeCell="M11" sqref="M11"/>
    </sheetView>
  </sheetViews>
  <sheetFormatPr defaultColWidth="8.77734375" defaultRowHeight="14.4"/>
  <cols>
    <col min="1" max="1" width="5" style="79" customWidth="1"/>
    <col min="2" max="7" width="14.33203125" style="79" customWidth="1"/>
    <col min="8" max="9" width="3.44140625" style="77" customWidth="1"/>
    <col min="10" max="10" width="14.6640625" style="79" customWidth="1"/>
    <col min="11" max="15" width="9" style="79" customWidth="1"/>
    <col min="16" max="17" width="3.44140625" style="77" customWidth="1"/>
    <col min="18" max="18" width="13.33203125" style="79" customWidth="1"/>
    <col min="19" max="23" width="7.6640625" style="79" customWidth="1"/>
    <col min="24" max="25" width="3.44140625" style="77" customWidth="1"/>
    <col min="26" max="26" width="11.77734375" style="79" customWidth="1"/>
    <col min="27" max="31" width="8.33203125" style="79" customWidth="1"/>
    <col min="32" max="33" width="3.44140625" style="77" customWidth="1"/>
    <col min="34" max="34" width="17.44140625" style="79" customWidth="1"/>
    <col min="35" max="39" width="9" style="79" customWidth="1"/>
    <col min="40" max="41" width="3.44140625" style="77" customWidth="1"/>
    <col min="42" max="42" width="13.77734375" style="79" customWidth="1"/>
    <col min="43" max="47" width="8" style="79" customWidth="1"/>
    <col min="48" max="49" width="3.44140625" style="77" customWidth="1"/>
    <col min="50" max="50" width="15.6640625" style="79" customWidth="1"/>
    <col min="51" max="55" width="9" style="79" customWidth="1"/>
    <col min="56" max="57" width="3.44140625" style="77" customWidth="1"/>
    <col min="58" max="58" width="15.109375" style="79" customWidth="1"/>
    <col min="59" max="63" width="8.44140625" style="79" customWidth="1"/>
    <col min="64" max="65" width="3.44140625" style="77" customWidth="1"/>
    <col min="66" max="66" width="15.33203125" style="79" customWidth="1"/>
    <col min="67" max="71" width="8.6640625" style="79" customWidth="1"/>
    <col min="72" max="73" width="3.44140625" style="77" customWidth="1"/>
    <col min="74" max="74" width="14.33203125" style="79" customWidth="1"/>
    <col min="75" max="79" width="9" style="79" customWidth="1"/>
    <col min="80" max="81" width="3.44140625" style="77" customWidth="1"/>
    <col min="82" max="82" width="15.33203125" style="79" customWidth="1"/>
    <col min="83" max="87" width="8.77734375" style="79" customWidth="1"/>
    <col min="88" max="89" width="3.44140625" style="77" customWidth="1"/>
    <col min="90" max="90" width="14.6640625" style="79" customWidth="1"/>
    <col min="91" max="95" width="8.33203125" style="79" customWidth="1"/>
    <col min="96" max="97" width="3.44140625" style="77" customWidth="1"/>
    <col min="98" max="98" width="13.33203125" style="79" customWidth="1"/>
    <col min="99" max="103" width="9.33203125" style="79" customWidth="1"/>
    <col min="104" max="105" width="3.44140625" style="77" customWidth="1"/>
    <col min="106" max="106" width="14.109375" style="79" customWidth="1"/>
    <col min="107" max="111" width="8.6640625" style="79" customWidth="1"/>
    <col min="112" max="113" width="3.44140625" style="77" customWidth="1"/>
    <col min="114" max="16384" width="8.77734375" style="79"/>
  </cols>
  <sheetData>
    <row r="1" spans="2:113" s="67" customFormat="1" ht="33.6">
      <c r="B1" s="104" t="s">
        <v>164</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502"/>
      <c r="AY4" s="502"/>
      <c r="AZ4" s="502"/>
      <c r="BA4" s="502"/>
      <c r="BB4" s="502"/>
      <c r="BC4" s="502"/>
      <c r="BD4" s="502"/>
      <c r="BE4" s="77"/>
      <c r="BF4" s="502"/>
      <c r="BG4" s="502"/>
      <c r="BH4" s="502"/>
      <c r="BI4" s="502"/>
      <c r="BJ4" s="502"/>
      <c r="BK4" s="502"/>
      <c r="BL4" s="502"/>
      <c r="BM4" s="77"/>
      <c r="BN4" s="502"/>
      <c r="BO4" s="502"/>
      <c r="BP4" s="502"/>
      <c r="BQ4" s="502"/>
      <c r="BR4" s="502"/>
      <c r="BS4" s="502"/>
      <c r="BT4" s="502"/>
      <c r="BU4" s="77"/>
      <c r="BV4" s="502"/>
      <c r="BW4" s="502"/>
      <c r="BX4" s="502"/>
      <c r="BY4" s="502"/>
      <c r="BZ4" s="502"/>
      <c r="CA4" s="502"/>
      <c r="CB4" s="502"/>
      <c r="CC4" s="77"/>
      <c r="CD4" s="502"/>
      <c r="CE4" s="502"/>
      <c r="CF4" s="502"/>
      <c r="CG4" s="502"/>
      <c r="CH4" s="502"/>
      <c r="CI4" s="502"/>
      <c r="CJ4" s="502"/>
      <c r="CK4" s="77"/>
      <c r="CL4" s="502"/>
      <c r="CM4" s="502"/>
      <c r="CN4" s="502"/>
      <c r="CO4" s="502"/>
      <c r="CP4" s="502"/>
      <c r="CQ4" s="502"/>
      <c r="CR4" s="502"/>
      <c r="CS4" s="77"/>
      <c r="CT4" s="502"/>
      <c r="CU4" s="502"/>
      <c r="CV4" s="502"/>
      <c r="CW4" s="502"/>
      <c r="CX4" s="502"/>
      <c r="CY4" s="502"/>
      <c r="CZ4" s="502"/>
      <c r="DA4" s="77"/>
      <c r="DB4" s="502"/>
      <c r="DC4" s="502"/>
      <c r="DD4" s="502"/>
      <c r="DE4" s="502"/>
      <c r="DF4" s="502"/>
      <c r="DG4" s="502"/>
      <c r="DH4" s="502"/>
      <c r="DI4" s="77"/>
    </row>
    <row r="5" spans="2:113" s="76" customFormat="1" ht="21">
      <c r="B5" s="502" t="str">
        <f>intervencao1</f>
        <v>Rosuvastatin 5mg</v>
      </c>
      <c r="C5" s="502"/>
      <c r="D5" s="502"/>
      <c r="E5" s="502"/>
      <c r="F5" s="502"/>
      <c r="G5" s="502"/>
      <c r="H5" s="502"/>
      <c r="I5" s="77"/>
      <c r="J5" s="502" t="str">
        <f>intervencao2</f>
        <v>Rosuvastatin 10mg</v>
      </c>
      <c r="K5" s="502"/>
      <c r="L5" s="502"/>
      <c r="M5" s="502"/>
      <c r="N5" s="502"/>
      <c r="O5" s="502"/>
      <c r="P5" s="502"/>
      <c r="Q5" s="77"/>
      <c r="R5" s="502" t="str">
        <f>intervencao3</f>
        <v>Rosuvastatin 20mg</v>
      </c>
      <c r="S5" s="502"/>
      <c r="T5" s="502"/>
      <c r="U5" s="502"/>
      <c r="V5" s="502"/>
      <c r="W5" s="502"/>
      <c r="X5" s="502"/>
      <c r="Y5" s="77"/>
      <c r="Z5" s="502" t="str">
        <f>intervencao4</f>
        <v>Rosuvastatin 40mg</v>
      </c>
      <c r="AA5" s="502"/>
      <c r="AB5" s="502"/>
      <c r="AC5" s="502"/>
      <c r="AD5" s="502"/>
      <c r="AE5" s="502"/>
      <c r="AF5" s="502"/>
      <c r="AG5" s="77"/>
      <c r="AH5" s="502" t="str">
        <f>comparador1</f>
        <v>Atorvastatin 10mg</v>
      </c>
      <c r="AI5" s="502"/>
      <c r="AJ5" s="502"/>
      <c r="AK5" s="502"/>
      <c r="AL5" s="502"/>
      <c r="AM5" s="502"/>
      <c r="AN5" s="502"/>
      <c r="AO5" s="77"/>
      <c r="AP5" s="502" t="str">
        <f>comparador2</f>
        <v>Atorvastatin 20mg</v>
      </c>
      <c r="AQ5" s="502"/>
      <c r="AR5" s="502"/>
      <c r="AS5" s="502"/>
      <c r="AT5" s="502"/>
      <c r="AU5" s="502"/>
      <c r="AV5" s="502"/>
      <c r="AW5" s="77"/>
      <c r="AX5" s="502" t="str">
        <f>comparador3</f>
        <v>Atorvastatin 40mg</v>
      </c>
      <c r="AY5" s="502"/>
      <c r="AZ5" s="502"/>
      <c r="BA5" s="502"/>
      <c r="BB5" s="502"/>
      <c r="BC5" s="502"/>
      <c r="BD5" s="502"/>
      <c r="BE5" s="77"/>
      <c r="BF5" s="502" t="str">
        <f>comparador4</f>
        <v>Atorvastatin 80mg</v>
      </c>
      <c r="BG5" s="502"/>
      <c r="BH5" s="502"/>
      <c r="BI5" s="502"/>
      <c r="BJ5" s="502"/>
      <c r="BK5" s="502"/>
      <c r="BL5" s="502"/>
      <c r="BM5" s="77"/>
      <c r="BN5" s="502" t="str">
        <f>comparador5</f>
        <v>Pravastatin</v>
      </c>
      <c r="BO5" s="502"/>
      <c r="BP5" s="502"/>
      <c r="BQ5" s="502"/>
      <c r="BR5" s="502"/>
      <c r="BS5" s="502"/>
      <c r="BT5" s="502"/>
      <c r="BU5" s="77"/>
      <c r="BV5" s="502" t="str">
        <f>comparador6</f>
        <v>Simvastatin 5mg</v>
      </c>
      <c r="BW5" s="502"/>
      <c r="BX5" s="502"/>
      <c r="BY5" s="502"/>
      <c r="BZ5" s="502"/>
      <c r="CA5" s="502"/>
      <c r="CB5" s="502"/>
      <c r="CC5" s="77"/>
      <c r="CD5" s="502" t="str">
        <f>comparador7</f>
        <v>Simvastatin 10mg</v>
      </c>
      <c r="CE5" s="502"/>
      <c r="CF5" s="502"/>
      <c r="CG5" s="502"/>
      <c r="CH5" s="502"/>
      <c r="CI5" s="502"/>
      <c r="CJ5" s="502"/>
      <c r="CK5" s="77"/>
      <c r="CL5" s="502" t="str">
        <f>comparador8</f>
        <v>Simvastatin 20mg</v>
      </c>
      <c r="CM5" s="502"/>
      <c r="CN5" s="502"/>
      <c r="CO5" s="502"/>
      <c r="CP5" s="502"/>
      <c r="CQ5" s="502"/>
      <c r="CR5" s="502"/>
      <c r="CS5" s="77"/>
      <c r="CT5" s="502" t="str">
        <f>comparador9</f>
        <v>Simvastatin 40mg</v>
      </c>
      <c r="CU5" s="502"/>
      <c r="CV5" s="502"/>
      <c r="CW5" s="502"/>
      <c r="CX5" s="502"/>
      <c r="CY5" s="502"/>
      <c r="CZ5" s="502"/>
      <c r="DA5" s="77"/>
      <c r="DB5" s="502">
        <f>comparador10</f>
        <v>0</v>
      </c>
      <c r="DC5" s="502"/>
      <c r="DD5" s="502"/>
      <c r="DE5" s="502"/>
      <c r="DF5" s="502"/>
      <c r="DG5" s="502"/>
      <c r="DH5" s="502"/>
      <c r="DI5" s="77"/>
    </row>
    <row r="6" spans="2:113" ht="16.2" thickBot="1">
      <c r="B6" s="78"/>
      <c r="C6" s="78" t="s">
        <v>165</v>
      </c>
      <c r="D6" s="78" t="s">
        <v>166</v>
      </c>
      <c r="E6" s="78" t="s">
        <v>167</v>
      </c>
      <c r="F6" s="78" t="s">
        <v>168</v>
      </c>
      <c r="G6" s="78" t="s">
        <v>169</v>
      </c>
      <c r="J6" s="78"/>
      <c r="K6" s="78" t="s">
        <v>165</v>
      </c>
      <c r="L6" s="78" t="s">
        <v>166</v>
      </c>
      <c r="M6" s="78" t="s">
        <v>167</v>
      </c>
      <c r="N6" s="78" t="s">
        <v>168</v>
      </c>
      <c r="O6" s="78" t="s">
        <v>169</v>
      </c>
      <c r="R6" s="78"/>
      <c r="S6" s="78" t="s">
        <v>165</v>
      </c>
      <c r="T6" s="78" t="s">
        <v>166</v>
      </c>
      <c r="U6" s="78" t="s">
        <v>167</v>
      </c>
      <c r="V6" s="78" t="s">
        <v>168</v>
      </c>
      <c r="W6" s="78" t="s">
        <v>169</v>
      </c>
      <c r="Z6" s="78"/>
      <c r="AA6" s="78" t="s">
        <v>165</v>
      </c>
      <c r="AB6" s="78" t="s">
        <v>166</v>
      </c>
      <c r="AC6" s="78" t="s">
        <v>167</v>
      </c>
      <c r="AD6" s="78" t="s">
        <v>168</v>
      </c>
      <c r="AE6" s="78" t="s">
        <v>169</v>
      </c>
      <c r="AH6" s="78"/>
      <c r="AI6" s="78" t="s">
        <v>165</v>
      </c>
      <c r="AJ6" s="78" t="s">
        <v>166</v>
      </c>
      <c r="AK6" s="78" t="s">
        <v>167</v>
      </c>
      <c r="AL6" s="78" t="s">
        <v>168</v>
      </c>
      <c r="AM6" s="78" t="s">
        <v>169</v>
      </c>
      <c r="AP6" s="78"/>
      <c r="AQ6" s="78" t="s">
        <v>165</v>
      </c>
      <c r="AR6" s="78" t="s">
        <v>166</v>
      </c>
      <c r="AS6" s="78" t="s">
        <v>167</v>
      </c>
      <c r="AT6" s="78" t="s">
        <v>168</v>
      </c>
      <c r="AU6" s="78" t="s">
        <v>169</v>
      </c>
      <c r="AX6" s="78"/>
      <c r="AY6" s="78" t="s">
        <v>165</v>
      </c>
      <c r="AZ6" s="78" t="s">
        <v>166</v>
      </c>
      <c r="BA6" s="78" t="s">
        <v>167</v>
      </c>
      <c r="BB6" s="78" t="s">
        <v>168</v>
      </c>
      <c r="BC6" s="78" t="s">
        <v>169</v>
      </c>
      <c r="BF6" s="78"/>
      <c r="BG6" s="78" t="s">
        <v>165</v>
      </c>
      <c r="BH6" s="78" t="s">
        <v>166</v>
      </c>
      <c r="BI6" s="78" t="s">
        <v>167</v>
      </c>
      <c r="BJ6" s="78" t="s">
        <v>168</v>
      </c>
      <c r="BK6" s="78" t="s">
        <v>169</v>
      </c>
      <c r="BN6" s="78"/>
      <c r="BO6" s="78" t="s">
        <v>165</v>
      </c>
      <c r="BP6" s="78" t="s">
        <v>166</v>
      </c>
      <c r="BQ6" s="78" t="s">
        <v>167</v>
      </c>
      <c r="BR6" s="78" t="s">
        <v>168</v>
      </c>
      <c r="BS6" s="78" t="s">
        <v>169</v>
      </c>
      <c r="BV6" s="78"/>
      <c r="BW6" s="78" t="s">
        <v>165</v>
      </c>
      <c r="BX6" s="78" t="s">
        <v>166</v>
      </c>
      <c r="BY6" s="78" t="s">
        <v>167</v>
      </c>
      <c r="BZ6" s="78" t="s">
        <v>168</v>
      </c>
      <c r="CA6" s="78" t="s">
        <v>169</v>
      </c>
      <c r="CD6" s="78"/>
      <c r="CE6" s="78" t="s">
        <v>165</v>
      </c>
      <c r="CF6" s="78" t="s">
        <v>166</v>
      </c>
      <c r="CG6" s="78" t="s">
        <v>167</v>
      </c>
      <c r="CH6" s="78" t="s">
        <v>168</v>
      </c>
      <c r="CI6" s="78" t="s">
        <v>169</v>
      </c>
      <c r="CL6" s="78"/>
      <c r="CM6" s="78" t="s">
        <v>165</v>
      </c>
      <c r="CN6" s="78" t="s">
        <v>166</v>
      </c>
      <c r="CO6" s="78" t="s">
        <v>167</v>
      </c>
      <c r="CP6" s="78" t="s">
        <v>168</v>
      </c>
      <c r="CQ6" s="78" t="s">
        <v>169</v>
      </c>
      <c r="CT6" s="78"/>
      <c r="CU6" s="78" t="s">
        <v>165</v>
      </c>
      <c r="CV6" s="78" t="s">
        <v>166</v>
      </c>
      <c r="CW6" s="78" t="s">
        <v>167</v>
      </c>
      <c r="CX6" s="78" t="s">
        <v>168</v>
      </c>
      <c r="CY6" s="78" t="s">
        <v>169</v>
      </c>
      <c r="DB6" s="78"/>
      <c r="DC6" s="78" t="s">
        <v>165</v>
      </c>
      <c r="DD6" s="78" t="s">
        <v>166</v>
      </c>
      <c r="DE6" s="78" t="s">
        <v>167</v>
      </c>
      <c r="DF6" s="78" t="s">
        <v>168</v>
      </c>
      <c r="DG6" s="78" t="s">
        <v>169</v>
      </c>
    </row>
    <row r="7" spans="2:113" s="97" customFormat="1" ht="33.6" thickBot="1">
      <c r="B7" s="94" t="s">
        <v>205</v>
      </c>
      <c r="C7" s="313">
        <f>Results!$D$9</f>
        <v>10517610.166747084</v>
      </c>
      <c r="D7" s="313">
        <f>MAX(IF(calculo="incidencia",Results!$E$9,IF(line="yes",(Results!$E$9-C8),Results!$E$9-C8-C10)),0)</f>
        <v>86265.443560933694</v>
      </c>
      <c r="E7" s="313">
        <f>MAX(IF(calculo="incidencia",Results!$F$9,IF(line="yes",(Results!$F$9-D8-C11),Results!$F$9-D8-D10-C11-C13)),0)</f>
        <v>82650.795493863523</v>
      </c>
      <c r="F7" s="313">
        <f>MAX(IF(calculo="incidencia",Results!$G$9,IF(line="yes",(Results!$G$9-E8-D11-C14),Results!$G$9-E8-E10-D11-D13-C14-C16)),0)</f>
        <v>82847.196488447487</v>
      </c>
      <c r="G7" s="313">
        <f>MAX(IF(calculo="incidencia",Results!$H$9,IF(line="yes",(Results!$H$9-F8-E11-D14-C17),Results!$H$9-F8-F10-E11-E13-D14-D16-C17-C19)),0)</f>
        <v>83300.946099840105</v>
      </c>
      <c r="H7" s="95" t="s">
        <v>304</v>
      </c>
      <c r="I7" s="96"/>
      <c r="J7" s="94" t="s">
        <v>205</v>
      </c>
      <c r="K7" s="313">
        <f>Results!$D$9</f>
        <v>10517610.166747084</v>
      </c>
      <c r="L7" s="313">
        <f>MAX(IF(calculo="incidencia",Results!$E$9,IF(line="yes",(Results!$E$9-K8),Results!$E$9-K8-K10)),0)</f>
        <v>86265.443560933694</v>
      </c>
      <c r="M7" s="313">
        <f>MAX(IF(calculo="incidencia",Results!$F$9,IF(line="yes",(Results!$F$9-L8-K11),Results!$F$9-L8-L10-K11-K13)),0)</f>
        <v>82650.795493863523</v>
      </c>
      <c r="N7" s="313">
        <f>MAX(IF(calculo="incidencia",Results!$G$9,IF(line="yes",(Results!$G$9-M8-L11-K14),Results!$G$9-M8-M10-L11-L13-K14-K16)),0)</f>
        <v>82847.196488447487</v>
      </c>
      <c r="O7" s="313">
        <f>MAX(IF(calculo="incidencia",Results!$H$9,IF(line="yes",(Results!$H$9-N8-M11-L14-K17),Results!$H$9-N8-N10-M11-M13-L14-L16-K17-K19)),0)</f>
        <v>83300.946099840105</v>
      </c>
      <c r="P7" s="95" t="s">
        <v>304</v>
      </c>
      <c r="Q7" s="96"/>
      <c r="R7" s="94" t="s">
        <v>205</v>
      </c>
      <c r="S7" s="313">
        <f>Results!$D$9</f>
        <v>10517610.166747084</v>
      </c>
      <c r="T7" s="313">
        <f>MAX(IF(calculo="incidencia",Results!$E$9,IF(line="yes",(Results!$E$9-S8),Results!$E$9-S8-S10)),0)</f>
        <v>86265.443560933694</v>
      </c>
      <c r="U7" s="313">
        <f>MAX(IF(calculo="incidencia",Results!$F$9,IF(line="yes",(Results!$F$9-T8-S11),Results!$F$9-T8-T10-S11-S13)),0)</f>
        <v>82650.795493863523</v>
      </c>
      <c r="V7" s="313">
        <f>MAX(IF(calculo="incidencia",Results!$G$9,IF(line="yes",(Results!$G$9-U8-T11-S14),Results!$G$9-U8-U10-T11-T13-S14-S16)),0)</f>
        <v>82847.196488447487</v>
      </c>
      <c r="W7" s="313">
        <f>MAX(IF(calculo="incidencia",Results!$H$9,IF(line="yes",(Results!$H$9-V8-U11-T14-S17),Results!$H$9-V8-V10-U11-U13-T14-T16-S17-S19)),0)</f>
        <v>83300.946099840105</v>
      </c>
      <c r="X7" s="95" t="s">
        <v>304</v>
      </c>
      <c r="Y7" s="96"/>
      <c r="Z7" s="94" t="s">
        <v>205</v>
      </c>
      <c r="AA7" s="313">
        <f>Results!$D$9</f>
        <v>10517610.166747084</v>
      </c>
      <c r="AB7" s="313">
        <f>MAX(IF(calculo="incidencia",Results!$E$9,IF(line="yes",(Results!$E$9-AA8),Results!$E$9-AA8-AA10)),0)</f>
        <v>86265.443560933694</v>
      </c>
      <c r="AC7" s="313">
        <f>MAX(IF(calculo="incidencia",Results!$F$9,IF(line="yes",(Results!$F$9-AB8-AA11),Results!$F$9-AB8-AB10-AA11-AA13)),0)</f>
        <v>82650.795493863523</v>
      </c>
      <c r="AD7" s="313">
        <f>MAX(IF(calculo="incidencia",Results!$G$9,IF(line="yes",(Results!$G$9-AC8-AB11-AA14),Results!$G$9-AC8-AC10-AB11-AB13-AA14-AA16)),0)</f>
        <v>82847.196488447487</v>
      </c>
      <c r="AE7" s="313">
        <f>MAX(IF(calculo="incidencia",Results!$H$9,IF(line="yes",(Results!$H$9-AD8-AC11-AB14-AA17),Results!$H$9-AD8-AD10-AC11-AC13-AB14-AB16-AA17-AA19)),0)</f>
        <v>83300.946099840105</v>
      </c>
      <c r="AF7" s="95" t="s">
        <v>304</v>
      </c>
      <c r="AG7" s="96"/>
      <c r="AH7" s="94" t="s">
        <v>205</v>
      </c>
      <c r="AI7" s="313">
        <f>Results!$D$9</f>
        <v>10517610.166747084</v>
      </c>
      <c r="AJ7" s="313">
        <f>MAX(IF(calculo="incidencia",Results!$E$9,IF(line="yes",(Results!$E$9-AI8),Results!$E$9-AI8-AI10)),0)</f>
        <v>86265.443560933694</v>
      </c>
      <c r="AK7" s="313">
        <f>MAX(IF(calculo="incidencia",Results!$F$9,IF(line="yes",(Results!$F$9-AJ8-AI11),Results!$F$9-AJ8-AJ10-AI11-AI13)),0)</f>
        <v>82650.795493863523</v>
      </c>
      <c r="AL7" s="313">
        <f>MAX(IF(calculo="incidencia",Results!$G$9,IF(line="yes",(Results!$G$9-AK8-AJ11-AI14),Results!$G$9-AK8-AK10-AJ11-AJ13-AI14-AI16)),0)</f>
        <v>82847.196488447487</v>
      </c>
      <c r="AM7" s="313">
        <f>MAX(IF(calculo="incidencia",Results!$H$9,IF(line="yes",(Results!$H$9-AL8-AK11-AJ14-AI17),Results!$H$9-AL8-AL10-AK11-AK13-AJ14-AJ16-AI17-AI19)),0)</f>
        <v>83300.946099840105</v>
      </c>
      <c r="AN7" s="95" t="s">
        <v>304</v>
      </c>
      <c r="AO7" s="96"/>
      <c r="AP7" s="94" t="s">
        <v>205</v>
      </c>
      <c r="AQ7" s="313">
        <f>Results!$D$9</f>
        <v>10517610.166747084</v>
      </c>
      <c r="AR7" s="313">
        <f>MAX(IF(calculo="incidencia",Results!$E$9,IF(line="yes",(Results!$E$9-AQ8),Results!$E$9-AQ8-AQ10)),0)</f>
        <v>86265.443560933694</v>
      </c>
      <c r="AS7" s="313">
        <f>MAX(IF(calculo="incidencia",Results!$F$9,IF(line="yes",(Results!$F$9-AR8-AQ11),Results!$F$9-AR8-AR10-AQ11-AQ13)),0)</f>
        <v>82650.795493863523</v>
      </c>
      <c r="AT7" s="313">
        <f>MAX(IF(calculo="incidencia",Results!$G$9,IF(line="yes",(Results!$G$9-AS8-AR11-AQ14),Results!$G$9-AS8-AS10-AR11-AR13-AQ14-AQ16)),0)</f>
        <v>82847.196488447487</v>
      </c>
      <c r="AU7" s="313">
        <f>MAX(IF(calculo="incidencia",Results!$H$9,IF(line="yes",(Results!$H$9-AT8-AS11-AR14-AQ17),Results!$H$9-AT8-AT10-AS11-AS13-AR14-AR16-AQ17-AQ19)),0)</f>
        <v>83300.946099840105</v>
      </c>
      <c r="AV7" s="95" t="s">
        <v>304</v>
      </c>
      <c r="AW7" s="96"/>
      <c r="AX7" s="94" t="s">
        <v>205</v>
      </c>
      <c r="AY7" s="313">
        <f>Results!$D$9</f>
        <v>10517610.166747084</v>
      </c>
      <c r="AZ7" s="313">
        <f>MAX(IF(calculo="incidencia",Results!$E$9,IF(line="yes",(Results!$E$9-AY8),Results!$E$9-AY8-AY10)),0)</f>
        <v>86265.443560933694</v>
      </c>
      <c r="BA7" s="313">
        <f>MAX(IF(calculo="incidencia",Results!$F$9,IF(line="yes",(Results!$F$9-AZ8-AY11),Results!$F$9-AZ8-AZ10-AY11-AY13)),0)</f>
        <v>82650.795493863523</v>
      </c>
      <c r="BB7" s="313">
        <f>MAX(IF(calculo="incidencia",Results!$G$9,IF(line="yes",(Results!$G$9-BA8-AZ11-AY14),Results!$G$9-BA8-BA10-AZ11-AZ13-AY14-AY16)),0)</f>
        <v>82847.196488447487</v>
      </c>
      <c r="BC7" s="313">
        <f>MAX(IF(calculo="incidencia",Results!$H$9,IF(line="yes",(Results!$H$9-BB8-BA11-AZ14-AY17),Results!$H$9-BB8-BB10-BA11-BA13-AZ14-AZ16-AY17-AY19)),0)</f>
        <v>83300.946099840105</v>
      </c>
      <c r="BD7" s="95" t="s">
        <v>304</v>
      </c>
      <c r="BE7" s="96"/>
      <c r="BF7" s="94" t="s">
        <v>205</v>
      </c>
      <c r="BG7" s="313">
        <f>Results!$D$9</f>
        <v>10517610.166747084</v>
      </c>
      <c r="BH7" s="313">
        <f>MAX(IF(calculo="incidencia",Results!$E$9,IF(line="yes",(Results!$E$9-BG8),Results!$E$9-BG8-BG10)),0)</f>
        <v>86265.443560933694</v>
      </c>
      <c r="BI7" s="313">
        <f>MAX(IF(calculo="incidencia",Results!$F$9,IF(line="yes",(Results!$F$9-BH8-BG11),Results!$F$9-BH8-BH10-BG11-BG13)),0)</f>
        <v>82650.795493863523</v>
      </c>
      <c r="BJ7" s="313">
        <f>MAX(IF(calculo="incidencia",Results!$G$9,IF(line="yes",(Results!$G$9-BI8-BH11-BG14),Results!$G$9-BI8-BI10-BH11-BH13-BG14-BG16)),0)</f>
        <v>82847.196488447487</v>
      </c>
      <c r="BK7" s="313">
        <f>MAX(IF(calculo="incidencia",Results!$H$9,IF(line="yes",(Results!$H$9-BJ8-BI11-BH14-BG17),Results!$H$9-BJ8-BJ10-BI11-BI13-BH14-BH16-BG17-BG19)),0)</f>
        <v>83300.946099840105</v>
      </c>
      <c r="BL7" s="95" t="s">
        <v>304</v>
      </c>
      <c r="BM7" s="96"/>
      <c r="BN7" s="94" t="s">
        <v>205</v>
      </c>
      <c r="BO7" s="313">
        <f>Results!$D$9</f>
        <v>10517610.166747084</v>
      </c>
      <c r="BP7" s="313">
        <f>MAX(IF(calculo="incidencia",Results!$E$9,IF(line="yes",(Results!$E$9-BO8),Results!$E$9-BO8-BO10)),0)</f>
        <v>86265.443560933694</v>
      </c>
      <c r="BQ7" s="313">
        <f>MAX(IF(calculo="incidencia",Results!$F$9,IF(line="yes",(Results!$F$9-BP8-BO11),Results!$F$9-BP8-BP10-BO11-BO13)),0)</f>
        <v>82650.795493863523</v>
      </c>
      <c r="BR7" s="313">
        <f>MAX(IF(calculo="incidencia",Results!$G$9,IF(line="yes",(Results!$G$9-BQ8-BP11-BO14),Results!$G$9-BQ8-BQ10-BP11-BP13-BO14-BO16)),0)</f>
        <v>82847.196488447487</v>
      </c>
      <c r="BS7" s="313">
        <f>MAX(IF(calculo="incidencia",Results!$H$9,IF(line="yes",(Results!$H$9-BR8-BQ11-BP14-BO17),Results!$H$9-BR8-BR10-BQ11-BQ13-BP14-BP16-BO17-BO19)),0)</f>
        <v>83300.946099840105</v>
      </c>
      <c r="BT7" s="95" t="s">
        <v>304</v>
      </c>
      <c r="BU7" s="96"/>
      <c r="BV7" s="94" t="s">
        <v>205</v>
      </c>
      <c r="BW7" s="313">
        <f>Results!$D$9</f>
        <v>10517610.166747084</v>
      </c>
      <c r="BX7" s="313">
        <f>MAX(IF(calculo="incidencia",Results!$E$9,IF(line="yes",(Results!$E$9-BW8),Results!$E$9-BW8-BW10)),0)</f>
        <v>86265.443560933694</v>
      </c>
      <c r="BY7" s="313">
        <f>MAX(IF(calculo="incidencia",Results!$F$9,IF(line="yes",(Results!$F$9-BX8-BW11),Results!$F$9-BX8-BX10-BW11-BW13)),0)</f>
        <v>82650.795493863523</v>
      </c>
      <c r="BZ7" s="313">
        <f>MAX(IF(calculo="incidencia",Results!$G$9,IF(line="yes",(Results!$G$9-BY8-BX11-BW14),Results!$G$9-BY8-BY10-BX11-BX13-BW14-BW16)),0)</f>
        <v>82847.196488447487</v>
      </c>
      <c r="CA7" s="313">
        <f>MAX(IF(calculo="incidencia",Results!$H$9,IF(line="yes",(Results!$H$9-BZ8-BY11-BX14-BW17),Results!$H$9-BZ8-BZ10-BY11-BY13-BX14-BX16-BW17-BW19)),0)</f>
        <v>83300.946099840105</v>
      </c>
      <c r="CB7" s="95" t="s">
        <v>304</v>
      </c>
      <c r="CC7" s="96"/>
      <c r="CD7" s="94" t="s">
        <v>205</v>
      </c>
      <c r="CE7" s="313">
        <f>Results!$D$9</f>
        <v>10517610.166747084</v>
      </c>
      <c r="CF7" s="313">
        <f>MAX(IF(calculo="incidencia",Results!$E$9,IF(line="yes",(Results!$E$9-CE8),Results!$E$9-CE8-CE10)),0)</f>
        <v>86265.443560933694</v>
      </c>
      <c r="CG7" s="313">
        <f>MAX(IF(calculo="incidencia",Results!$F$9,IF(line="yes",(Results!$F$9-CF8-CE11),Results!$F$9-CF8-CF10-CE11-CE13)),0)</f>
        <v>82650.795493863523</v>
      </c>
      <c r="CH7" s="313">
        <f>MAX(IF(calculo="incidencia",Results!$G$9,IF(line="yes",(Results!$G$9-CG8-CF11-CE14),Results!$G$9-CG8-CG10-CF11-CF13-CE14-CE16)),0)</f>
        <v>82847.196488447487</v>
      </c>
      <c r="CI7" s="313">
        <f>MAX(IF(calculo="incidencia",Results!$H$9,IF(line="yes",(Results!$H$9-CH8-CG11-CF14-CE17),Results!$H$9-CH8-CH10-CG11-CG13-CF14-CF16-CE17-CE19)),0)</f>
        <v>83300.946099840105</v>
      </c>
      <c r="CJ7" s="95" t="s">
        <v>304</v>
      </c>
      <c r="CK7" s="96"/>
      <c r="CL7" s="94" t="s">
        <v>205</v>
      </c>
      <c r="CM7" s="313">
        <f>Results!$D$9</f>
        <v>10517610.166747084</v>
      </c>
      <c r="CN7" s="313">
        <f>MAX(IF(calculo="incidencia",Results!$E$9,IF(line="yes",(Results!$E$9-CM8),Results!$E$9-CM8-CM10)),0)</f>
        <v>86265.443560933694</v>
      </c>
      <c r="CO7" s="313">
        <f>MAX(IF(calculo="incidencia",Results!$F$9,IF(line="yes",(Results!$F$9-CN8-CM11),Results!$F$9-CN8-CN10-CM11-CM13)),0)</f>
        <v>82650.795493863523</v>
      </c>
      <c r="CP7" s="313">
        <f>MAX(IF(calculo="incidencia",Results!$G$9,IF(line="yes",(Results!$G$9-CO8-CN11-CM14),Results!$G$9-CO8-CO10-CN11-CN13-CM14-CM16)),0)</f>
        <v>82847.196488447487</v>
      </c>
      <c r="CQ7" s="313">
        <f>MAX(IF(calculo="incidencia",Results!$H$9,IF(line="yes",(Results!$H$9-CP8-CO11-CN14-CM17),Results!$H$9-CP8-CP10-CO11-CO13-CN14-CN16-CM17-CM19)),0)</f>
        <v>83300.946099840105</v>
      </c>
      <c r="CR7" s="95" t="s">
        <v>304</v>
      </c>
      <c r="CS7" s="96"/>
      <c r="CT7" s="94" t="s">
        <v>205</v>
      </c>
      <c r="CU7" s="313">
        <f>Results!$D$9</f>
        <v>10517610.166747084</v>
      </c>
      <c r="CV7" s="313">
        <f>MAX(IF(calculo="incidencia",Results!$E$9,IF(line="yes",(Results!$E$9-CU8),Results!$E$9-CU8-CU10)),0)</f>
        <v>86265.443560933694</v>
      </c>
      <c r="CW7" s="313">
        <f>MAX(IF(calculo="incidencia",Results!$F$9,IF(line="yes",(Results!$F$9-CV8-CU11),Results!$F$9-CV8-CV10-CU11-CU13)),0)</f>
        <v>82650.795493863523</v>
      </c>
      <c r="CX7" s="313">
        <f>MAX(IF(calculo="incidencia",Results!$G$9,IF(line="yes",(Results!$G$9-CW8-CV11-CU14),Results!$G$9-CW8-CW10-CV11-CV13-CU14-CU16)),0)</f>
        <v>82847.196488447487</v>
      </c>
      <c r="CY7" s="313">
        <f>MAX(IF(calculo="incidencia",Results!$H$9,IF(line="yes",(Results!$H$9-CX8-CW11-CV14-CU17),Results!$H$9-CX8-CX10-CW11-CW13-CV14-CV16-CU17-CU19)),0)</f>
        <v>83300.946099840105</v>
      </c>
      <c r="CZ7" s="95" t="s">
        <v>304</v>
      </c>
      <c r="DA7" s="96"/>
      <c r="DB7" s="94" t="s">
        <v>205</v>
      </c>
      <c r="DC7" s="313">
        <f>Results!$D$9</f>
        <v>10517610.166747084</v>
      </c>
      <c r="DD7" s="313">
        <f>MAX(IF(calculo="incidencia",Results!$E$9,IF(line="yes",(Results!$E$9-DC8),Results!$E$9-DC8-DC10)),0)</f>
        <v>86265.443560933694</v>
      </c>
      <c r="DE7" s="313">
        <f>MAX(IF(calculo="incidencia",Results!$F$9,IF(line="yes",(Results!$F$9-DD8-DC11),Results!$F$9-DD8-DD10-DC11-DC13)),0)</f>
        <v>82650.795493863523</v>
      </c>
      <c r="DF7" s="313">
        <f>MAX(IF(calculo="incidencia",Results!$G$9,IF(line="yes",(Results!$G$9-DE8-DD11-DC14),Results!$G$9-DE8-DE10-DD11-DD13-DC14-DC16)),0)</f>
        <v>82847.196488447487</v>
      </c>
      <c r="DG7" s="313">
        <f>MAX(IF(calculo="incidencia",Results!$H$9,IF(line="yes",(Results!$H$9-DF8-DE11-DD14-DC17),Results!$H$9-DF8-DF10-DE11-DE13-DD14-DD16-DC17-DC19)),0)</f>
        <v>83300.946099840105</v>
      </c>
      <c r="DH7" s="95" t="s">
        <v>304</v>
      </c>
      <c r="DI7" s="96"/>
    </row>
    <row r="8" spans="2:113" s="97" customFormat="1" ht="15" customHeight="1">
      <c r="B8" s="98" t="str">
        <f>IF(OR(uso=3,uso=4),"Progression-free","On treatment")</f>
        <v>On treatment</v>
      </c>
      <c r="C8" s="314">
        <f>IF(AND(desc1_1=0,ob1_1=0),C7,
IF(AND(desc1_1=0,ob1_1&gt;0),C7*(1-ob1_1),C7*(1-desc1_1)))</f>
        <v>10517610.166747084</v>
      </c>
      <c r="D8" s="314">
        <f>IF(AND(desc1_1=0,ob1_1=0),D7,
IF(AND(desc1_1=0,ob1_1&gt;0),D7*(1-ob1_1),D7*(1-desc1_1)))</f>
        <v>86265.443560933694</v>
      </c>
      <c r="E8" s="314">
        <f>IF(AND(desc1_1=0,ob1_1=0),E7,
IF(AND(desc1_1=0,ob1_1&gt;0),E7*(1-ob1_1),E7*(1-desc1_1)))</f>
        <v>82650.795493863523</v>
      </c>
      <c r="F8" s="314">
        <f>IF(AND(desc1_1=0,ob1_1=0),F7,
IF(AND(desc1_1=0,ob1_1&gt;0),F7*(1-ob1_1),F7*(1-desc1_1)))</f>
        <v>82847.196488447487</v>
      </c>
      <c r="G8" s="314" t="s">
        <v>7</v>
      </c>
      <c r="H8" s="510" t="s">
        <v>305</v>
      </c>
      <c r="I8" s="96"/>
      <c r="J8" s="98" t="str">
        <f>IF(OR(uso=3,uso=4),"Progression-free","On treatment")</f>
        <v>On treatment</v>
      </c>
      <c r="K8" s="314">
        <f>IF(AND(desc2_1=0,ob2_1=0),K7,
IF(AND(desc2_1=0,ob2_1&gt;0),K7*(1-ob2_1),K7*(1-desc2_1)))</f>
        <v>10517610.166747084</v>
      </c>
      <c r="L8" s="314">
        <f>IF(AND(desc2_1=0,ob2_1=0),L7,
IF(AND(desc2_1=0,ob2_1&gt;0),L7*(1-ob2_1),L7*(1-desc2_1)))</f>
        <v>86265.443560933694</v>
      </c>
      <c r="M8" s="314">
        <f>IF(AND(desc2_1=0,ob2_1=0),M7,
IF(AND(desc2_1=0,ob2_1&gt;0),M7*(1-ob2_1),M7*(1-desc2_1)))</f>
        <v>82650.795493863523</v>
      </c>
      <c r="N8" s="314">
        <f>IF(AND(desc2_1=0,ob2_1=0),N7,
IF(AND(desc2_1=0,ob2_1&gt;0),N7*(1-ob2_1),N7*(1-desc2_1)))</f>
        <v>82847.196488447487</v>
      </c>
      <c r="O8" s="314" t="s">
        <v>7</v>
      </c>
      <c r="P8" s="510" t="s">
        <v>305</v>
      </c>
      <c r="Q8" s="96"/>
      <c r="R8" s="98" t="s">
        <v>206</v>
      </c>
      <c r="S8" s="314">
        <f>IF(AND(desc3_1=0,ob3_1=0),S7,
IF(AND(desc3_1=0,ob3_1&gt;0),S7*(1-ob3_1),S7*(1-desc3_1)))</f>
        <v>10517610.166747084</v>
      </c>
      <c r="T8" s="314">
        <f>IF(AND(desc3_1=0,ob3_1=0),T7,
IF(AND(desc3_1=0,ob3_1&gt;0),T7*(1-ob3_1),T7*(1-desc3_1)))</f>
        <v>86265.443560933694</v>
      </c>
      <c r="U8" s="314">
        <f>IF(AND(desc3_1=0,ob3_1=0),U7,
IF(AND(desc3_1=0,ob3_1&gt;0),U7*(1-ob3_1),U7*(1-desc3_1)))</f>
        <v>82650.795493863523</v>
      </c>
      <c r="V8" s="314">
        <f>IF(AND(desc3_1=0,ob3_1=0),V7,
IF(AND(desc3_1=0,ob3_1&gt;0),V7*(1-ob3_1),V7*(1-desc3_1)))</f>
        <v>82847.196488447487</v>
      </c>
      <c r="W8" s="314" t="s">
        <v>7</v>
      </c>
      <c r="X8" s="510" t="s">
        <v>305</v>
      </c>
      <c r="Y8" s="96"/>
      <c r="Z8" s="98" t="s">
        <v>206</v>
      </c>
      <c r="AA8" s="314">
        <f>IF(AND(desc4_1=0,ob4_1=0),AA7,
IF(AND(desc4_1=0,ob4_1&gt;0),AA7*(1-ob4_1),AA7*(1-desc4_1)))</f>
        <v>10517610.166747084</v>
      </c>
      <c r="AB8" s="314">
        <f>IF(AND(desc4_1=0,ob4_1=0),AB7,
IF(AND(desc4_1=0,ob4_1&gt;0),AB7*(1-ob4_1),AB7*(1-desc4_1)))</f>
        <v>86265.443560933694</v>
      </c>
      <c r="AC8" s="314">
        <f>IF(AND(desc4_1=0,ob4_1=0),AC7,
IF(AND(desc4_1=0,ob4_1&gt;0),AC7*(1-ob4_1),AC7*(1-desc4_1)))</f>
        <v>82650.795493863523</v>
      </c>
      <c r="AD8" s="314">
        <f>IF(AND(desc4_1=0,ob4_1=0),AD7,
IF(AND(desc4_1=0,ob4_1&gt;0),AD7*(1-ob4_1),AD7*(1-desc4_1)))</f>
        <v>82847.196488447487</v>
      </c>
      <c r="AE8" s="314" t="s">
        <v>7</v>
      </c>
      <c r="AF8" s="510" t="s">
        <v>305</v>
      </c>
      <c r="AG8" s="96"/>
      <c r="AH8" s="98" t="s">
        <v>206</v>
      </c>
      <c r="AI8" s="314">
        <f>IF(AND(desc5_1=0,ob5_1=0),AI7,
IF(AND(desc5_1=0,ob5_1&gt;0),AI7*(1-ob5_1),AI7*(1-desc5_1)))</f>
        <v>10517610.166747084</v>
      </c>
      <c r="AJ8" s="314">
        <f>IF(AND(desc5_1=0,ob5_1=0),AJ7,
IF(AND(desc5_1=0,ob5_1&gt;0),AJ7*(1-ob5_1),AJ7*(1-desc5_1)))</f>
        <v>86265.443560933694</v>
      </c>
      <c r="AK8" s="314">
        <f>IF(AND(desc5_1=0,ob5_1=0),AK7,
IF(AND(desc5_1=0,ob5_1&gt;0),AK7*(1-ob5_1),AK7*(1-desc5_1)))</f>
        <v>82650.795493863523</v>
      </c>
      <c r="AL8" s="314">
        <f>IF(AND(desc5_1=0,ob5_1=0),AL7,
IF(AND(desc5_1=0,ob5_1&gt;0),AL7*(1-ob5_1),AL7*(1-desc5_1)))</f>
        <v>82847.196488447487</v>
      </c>
      <c r="AM8" s="314" t="s">
        <v>7</v>
      </c>
      <c r="AN8" s="510" t="s">
        <v>305</v>
      </c>
      <c r="AO8" s="96"/>
      <c r="AP8" s="98" t="s">
        <v>206</v>
      </c>
      <c r="AQ8" s="314">
        <f>IF(AND(desc6_1=0,ob6_1=0),AQ7,
IF(AND(desc6_1=0,ob6_1&gt;0),AQ7*(1-ob6_1),AQ7*(1-desc6_1)))</f>
        <v>10517610.166747084</v>
      </c>
      <c r="AR8" s="314">
        <f>IF(AND(desc6_1=0,ob6_1=0),AR7,
IF(AND(desc6_1=0,ob6_1&gt;0),AR7*(1-ob6_1),AR7*(1-desc6_1)))</f>
        <v>86265.443560933694</v>
      </c>
      <c r="AS8" s="314">
        <f>IF(AND(desc6_1=0,ob6_1=0),AS7,
IF(AND(desc6_1=0,ob6_1&gt;0),AS7*(1-ob6_1),AS7*(1-desc6_1)))</f>
        <v>82650.795493863523</v>
      </c>
      <c r="AT8" s="314">
        <f>IF(AND(desc6_1=0,ob6_1=0),AT7,
IF(AND(desc6_1=0,ob6_1&gt;0),AT7*(1-ob6_1),AT7*(1-desc6_1)))</f>
        <v>82847.196488447487</v>
      </c>
      <c r="AU8" s="314" t="s">
        <v>7</v>
      </c>
      <c r="AV8" s="510" t="s">
        <v>305</v>
      </c>
      <c r="AW8" s="96"/>
      <c r="AX8" s="98" t="s">
        <v>206</v>
      </c>
      <c r="AY8" s="314">
        <f>IF(AND(desc7_1=0,ob7_1=0),AY7,
IF(AND(desc7_1=0,ob7_1&gt;0),AY7*(1-ob7_1),AY7*(1-desc7_1)))</f>
        <v>10517610.166747084</v>
      </c>
      <c r="AZ8" s="314">
        <f>IF(AND(desc7_1=0,ob7_1=0),AZ7,
IF(AND(desc7_1=0,ob7_1&gt;0),AZ7*(1-ob7_1),AZ7*(1-desc7_1)))</f>
        <v>86265.443560933694</v>
      </c>
      <c r="BA8" s="314">
        <f>IF(AND(desc7_1=0,ob7_1=0),BA7,
IF(AND(desc7_1=0,ob7_1&gt;0),BA7*(1-ob7_1),BA7*(1-desc7_1)))</f>
        <v>82650.795493863523</v>
      </c>
      <c r="BB8" s="314">
        <f>IF(AND(desc7_1=0,ob7_1=0),BB7,
IF(AND(desc7_1=0,ob7_1&gt;0),BB7*(1-ob7_1),BB7*(1-desc7_1)))</f>
        <v>82847.196488447487</v>
      </c>
      <c r="BC8" s="314" t="s">
        <v>7</v>
      </c>
      <c r="BD8" s="510" t="s">
        <v>305</v>
      </c>
      <c r="BE8" s="96"/>
      <c r="BF8" s="98" t="s">
        <v>206</v>
      </c>
      <c r="BG8" s="314">
        <f>IF(AND(desc8_1=0,ob8_1=0),BG7,
IF(AND(desc8_1=0,ob8_1&gt;0),BG7*(1-ob8_1),BG7*(1-desc8_1)))</f>
        <v>10517610.166747084</v>
      </c>
      <c r="BH8" s="314">
        <f>IF(AND(desc8_1=0,ob8_1=0),BH7,
IF(AND(desc8_1=0,ob8_1&gt;0),BH7*(1-ob8_1),BH7*(1-desc8_1)))</f>
        <v>86265.443560933694</v>
      </c>
      <c r="BI8" s="314">
        <f>IF(AND(desc8_1=0,ob8_1=0),BI7,
IF(AND(desc8_1=0,ob8_1&gt;0),BI7*(1-ob8_1),BI7*(1-desc8_1)))</f>
        <v>82650.795493863523</v>
      </c>
      <c r="BJ8" s="314">
        <f>IF(AND(desc8_1=0,ob8_1=0),BJ7,
IF(AND(desc8_1=0,ob8_1&gt;0),BJ7*(1-ob8_1),BJ7*(1-desc8_1)))</f>
        <v>82847.196488447487</v>
      </c>
      <c r="BK8" s="314" t="s">
        <v>7</v>
      </c>
      <c r="BL8" s="510" t="s">
        <v>305</v>
      </c>
      <c r="BM8" s="96"/>
      <c r="BN8" s="98" t="s">
        <v>206</v>
      </c>
      <c r="BO8" s="314">
        <f>IF(AND(desc9_1=0,ob9_1=0),BO7,
IF(AND(desc9_1=0,ob9_1&gt;0),BO7*(1-ob9_1),BO7*(1-desc9_1)))</f>
        <v>10517610.166747084</v>
      </c>
      <c r="BP8" s="314">
        <f>IF(AND(desc9_1=0,ob9_1=0),BP7,
IF(AND(desc9_1=0,ob9_1&gt;0),BP7*(1-ob9_1),BP7*(1-desc9_1)))</f>
        <v>86265.443560933694</v>
      </c>
      <c r="BQ8" s="314">
        <f>IF(AND(desc9_1=0,ob9_1=0),BQ7,
IF(AND(desc9_1=0,ob9_1&gt;0),BQ7*(1-ob9_1),BQ7*(1-desc9_1)))</f>
        <v>82650.795493863523</v>
      </c>
      <c r="BR8" s="314">
        <f>IF(AND(desc9_1=0,ob9_1=0),BR7,
IF(AND(desc9_1=0,ob9_1&gt;0),BR7*(1-ob9_1),BR7*(1-desc9_1)))</f>
        <v>82847.196488447487</v>
      </c>
      <c r="BS8" s="314" t="s">
        <v>7</v>
      </c>
      <c r="BT8" s="510" t="s">
        <v>305</v>
      </c>
      <c r="BU8" s="96"/>
      <c r="BV8" s="98" t="s">
        <v>206</v>
      </c>
      <c r="BW8" s="314">
        <f>IF(AND(desc10_1=0,ob10_1=0),BW7,
IF(AND(desc10_1=0,ob10_1&gt;0),BW7*(1-ob10_1),BW7*(1-desc10_1)))</f>
        <v>10517610.166747084</v>
      </c>
      <c r="BX8" s="314">
        <f>IF(AND(desc10_1=0,ob10_1=0),BX7,
IF(AND(desc10_1=0,ob10_1&gt;0),BX7*(1-ob10_1),BX7*(1-desc10_1)))</f>
        <v>86265.443560933694</v>
      </c>
      <c r="BY8" s="314">
        <f>IF(AND(desc10_1=0,ob10_1=0),BY7,
IF(AND(desc10_1=0,ob10_1&gt;0),BY7*(1-ob10_1),BY7*(1-desc10_1)))</f>
        <v>82650.795493863523</v>
      </c>
      <c r="BZ8" s="314">
        <f>IF(AND(desc10_1=0,ob10_1=0),BZ7,
IF(AND(desc10_1=0,ob10_1&gt;0),BZ7*(1-ob10_1),BZ7*(1-desc10_1)))</f>
        <v>82847.196488447487</v>
      </c>
      <c r="CA8" s="314" t="s">
        <v>7</v>
      </c>
      <c r="CB8" s="510" t="s">
        <v>305</v>
      </c>
      <c r="CC8" s="96"/>
      <c r="CD8" s="98" t="s">
        <v>206</v>
      </c>
      <c r="CE8" s="314">
        <f>IF(AND(desc11_1=0,ob11_1=0),CE7,
IF(AND(desc11_1=0,ob11_1&gt;0),CE7*(1-ob11_1),CE7*(1-desc11_1)))</f>
        <v>10517610.166747084</v>
      </c>
      <c r="CF8" s="314">
        <f>IF(AND(desc11_1=0,ob11_1=0),CF7,
IF(AND(desc11_1=0,ob11_1&gt;0),CF7*(1-ob11_1),CF7*(1-desc11_1)))</f>
        <v>86265.443560933694</v>
      </c>
      <c r="CG8" s="314">
        <f>IF(AND(desc11_1=0,ob11_1=0),CG7,
IF(AND(desc11_1=0,ob11_1&gt;0),CG7*(1-ob11_1),CG7*(1-desc11_1)))</f>
        <v>82650.795493863523</v>
      </c>
      <c r="CH8" s="314">
        <f>IF(AND(desc11_1=0,ob11_1=0),CH7,
IF(AND(desc11_1=0,ob11_1&gt;0),CH7*(1-ob11_1),CH7*(1-desc11_1)))</f>
        <v>82847.196488447487</v>
      </c>
      <c r="CI8" s="314" t="s">
        <v>7</v>
      </c>
      <c r="CJ8" s="510" t="s">
        <v>305</v>
      </c>
      <c r="CK8" s="96"/>
      <c r="CL8" s="98" t="s">
        <v>206</v>
      </c>
      <c r="CM8" s="314">
        <f>IF(AND(desc12_1=0,ob12_1=0),CM7,
IF(AND(desc12_1=0,ob12_1&gt;0),CM7*(1-ob12_1),CM7*(1-desc12_1)))</f>
        <v>10517610.166747084</v>
      </c>
      <c r="CN8" s="314">
        <f>IF(AND(desc12_1=0,ob12_1=0),CN7,
IF(AND(desc12_1=0,ob12_1&gt;0),CN7*(1-ob12_1),CN7*(1-desc12_1)))</f>
        <v>86265.443560933694</v>
      </c>
      <c r="CO8" s="314">
        <f>IF(AND(desc12_1=0,ob12_1=0),CO7,
IF(AND(desc12_1=0,ob12_1&gt;0),CO7*(1-ob12_1),CO7*(1-desc12_1)))</f>
        <v>82650.795493863523</v>
      </c>
      <c r="CP8" s="314">
        <f>IF(AND(desc12_1=0,ob12_1=0),CP7,
IF(AND(desc12_1=0,ob12_1&gt;0),CP7*(1-ob12_1),CP7*(1-desc12_1)))</f>
        <v>82847.196488447487</v>
      </c>
      <c r="CQ8" s="314" t="s">
        <v>7</v>
      </c>
      <c r="CR8" s="510" t="s">
        <v>305</v>
      </c>
      <c r="CS8" s="96"/>
      <c r="CT8" s="98" t="s">
        <v>206</v>
      </c>
      <c r="CU8" s="314">
        <f>IF(AND(desc13_1=0,ob13_1=0),CU7,
IF(AND(desc13_1=0,ob13_1&gt;0),CU7*(1-ob13_1),CU7*(1-desc13_1)))</f>
        <v>10517610.166747084</v>
      </c>
      <c r="CV8" s="314">
        <f>IF(AND(desc13_1=0,ob13_1=0),CV7,
IF(AND(desc13_1=0,ob13_1&gt;0),CV7*(1-ob13_1),CV7*(1-desc13_1)))</f>
        <v>86265.443560933694</v>
      </c>
      <c r="CW8" s="314">
        <f>IF(AND(desc13_1=0,ob13_1=0),CW7,
IF(AND(desc13_1=0,ob13_1&gt;0),CW7*(1-ob13_1),CW7*(1-desc13_1)))</f>
        <v>82650.795493863523</v>
      </c>
      <c r="CX8" s="314">
        <f>IF(AND(desc13_1=0,ob13_1=0),CX7,
IF(AND(desc13_1=0,ob13_1&gt;0),CX7*(1-ob13_1),CX7*(1-desc13_1)))</f>
        <v>82847.196488447487</v>
      </c>
      <c r="CY8" s="314" t="s">
        <v>7</v>
      </c>
      <c r="CZ8" s="510" t="s">
        <v>305</v>
      </c>
      <c r="DA8" s="96"/>
      <c r="DB8" s="98" t="s">
        <v>206</v>
      </c>
      <c r="DC8" s="314">
        <f>IF(AND(desc14_1=0,ob14_1=0),DC7,
IF(AND(desc14_1=0,ob14_1&gt;0),DC7*(1-ob14_1),DC7*(1-desc14_1)))</f>
        <v>10517610.166747084</v>
      </c>
      <c r="DD8" s="314">
        <f>IF(AND(desc14_1=0,ob14_1=0),DD7,
IF(AND(desc14_1=0,ob14_1&gt;0),DD7*(1-ob14_1),DD7*(1-desc14_1)))</f>
        <v>86265.443560933694</v>
      </c>
      <c r="DE8" s="314">
        <f>IF(AND(desc14_1=0,ob14_1=0),DE7,
IF(AND(desc14_1=0,ob14_1&gt;0),DE7*(1-ob14_1),DE7*(1-desc14_1)))</f>
        <v>82650.795493863523</v>
      </c>
      <c r="DF8" s="314">
        <f>IF(AND(desc14_1=0,ob14_1=0),DF7,
IF(AND(desc14_1=0,ob14_1&gt;0),DF7*(1-ob14_1),DF7*(1-desc14_1)))</f>
        <v>82847.196488447487</v>
      </c>
      <c r="DG8" s="314" t="s">
        <v>7</v>
      </c>
      <c r="DH8" s="510" t="s">
        <v>305</v>
      </c>
      <c r="DI8" s="96"/>
    </row>
    <row r="9" spans="2:113" s="97" customFormat="1">
      <c r="B9" s="99" t="s">
        <v>207</v>
      </c>
      <c r="C9" s="80">
        <f>IF(ob1_1=0,0,
IF(desc1_1=0,C7*ob1_1,
IF(desc_por_ob="No",0,
IF(AND(desc_por_ob="Yes",ob1_1&gt;desc1_1),"wrong data",(C7*ob1_1)))))</f>
        <v>0</v>
      </c>
      <c r="D9" s="80">
        <f>IF(ob1_1=0,0,
IF(desc1_1=0,D7*ob1_1,
IF(desc_por_ob="No",0,
IF(AND(desc_por_ob="Yes",ob1_1&gt;desc1_1),"wrong data",(D7*ob1_1)))))</f>
        <v>0</v>
      </c>
      <c r="E9" s="80">
        <f>IF(ob1_1=0,0,
IF(desc1_1=0,E7*ob1_1,
IF(desc_por_ob="No",0,
IF(AND(desc_por_ob="Yes",ob1_1&gt;desc1_1),"wrong data",(E7*ob1_1)))))</f>
        <v>0</v>
      </c>
      <c r="F9" s="80">
        <f>IF(ob1_1=0,0,
IF(desc1_1=0,F7*ob1_1,
IF(desc_por_ob="No",0,
IF(AND(desc_por_ob="Yes",ob1_1&gt;desc1_1),"wrong data",(F7*ob1_1)))))</f>
        <v>0</v>
      </c>
      <c r="G9" s="80" t="s">
        <v>7</v>
      </c>
      <c r="H9" s="511"/>
      <c r="I9" s="96"/>
      <c r="J9" s="99" t="s">
        <v>207</v>
      </c>
      <c r="K9" s="80">
        <f>IF(ob2_1=0,0,
IF(desc2_1=0,K7*ob2_1,
IF(desc_por_ob="No",0,
IF(AND(desc_por_ob="Yes",ob2_1&gt;desc2_1),"wrong data",(K7*ob2_1)))))</f>
        <v>0</v>
      </c>
      <c r="L9" s="80">
        <f>IF(ob2_1=0,0,
IF(desc2_1=0,L7*ob2_1,
IF(desc_por_ob="No",0,
IF(AND(desc_por_ob="Yes",ob2_1&gt;desc2_1),"wrong data",(L7*ob2_1)))))</f>
        <v>0</v>
      </c>
      <c r="M9" s="80">
        <f>IF(ob2_1=0,0,
IF(desc2_1=0,M7*ob2_1,
IF(desc_por_ob="No",0,
IF(AND(desc_por_ob="Yes",ob2_1&gt;desc2_1),"wrong data",(M7*ob2_1)))))</f>
        <v>0</v>
      </c>
      <c r="N9" s="80">
        <f>IF(ob2_1=0,0,
IF(desc2_1=0,N7*ob2_1,
IF(desc_por_ob="No",0,
IF(AND(desc_por_ob="Yes",ob2_1&gt;desc2_1),"wrong data",(N7*ob2_1)))))</f>
        <v>0</v>
      </c>
      <c r="O9" s="80" t="s">
        <v>7</v>
      </c>
      <c r="P9" s="511"/>
      <c r="Q9" s="96"/>
      <c r="R9" s="99" t="s">
        <v>207</v>
      </c>
      <c r="S9" s="80">
        <f>IF(ob3_1=0,0,
IF(desc3_1=0,S7*ob3_1,
IF(desc_por_ob="No",0,
IF(AND(desc_por_ob="Yes",ob3_1&gt;desc3_1),"wrong data",(S7*ob3_1)))))</f>
        <v>0</v>
      </c>
      <c r="T9" s="80">
        <f>IF(ob3_1=0,0,
IF(desc3_1=0,T7*ob3_1,
IF(desc_por_ob="No",0,
IF(AND(desc_por_ob="Yes",ob3_1&gt;desc3_1),"wrong data",(T7*ob3_1)))))</f>
        <v>0</v>
      </c>
      <c r="U9" s="80">
        <f>IF(ob3_1=0,0,
IF(desc3_1=0,U7*ob3_1,
IF(desc_por_ob="No",0,
IF(AND(desc_por_ob="Yes",ob3_1&gt;desc3_1),"wrong data",(U7*ob3_1)))))</f>
        <v>0</v>
      </c>
      <c r="V9" s="80">
        <f>IF(ob3_1=0,0,
IF(desc3_1=0,V7*ob3_1,
IF(desc_por_ob="No",0,
IF(AND(desc_por_ob="Yes",ob3_1&gt;desc3_1),"wrong data",(V7*ob3_1)))))</f>
        <v>0</v>
      </c>
      <c r="W9" s="80" t="s">
        <v>7</v>
      </c>
      <c r="X9" s="511"/>
      <c r="Y9" s="96"/>
      <c r="Z9" s="99" t="s">
        <v>207</v>
      </c>
      <c r="AA9" s="80">
        <f>IF(ob4_1=0,0,
IF(desc4_1=0,AA7*ob4_1,
IF(desc_por_ob="No",0,
IF(AND(desc_por_ob="Yes",ob4_1&gt;desc4_1),"wrong data",(AA7*ob4_1)))))</f>
        <v>0</v>
      </c>
      <c r="AB9" s="80">
        <f>IF(ob4_1=0,0,
IF(desc4_1=0,AB7*ob4_1,
IF(desc_por_ob="No",0,
IF(AND(desc_por_ob="Yes",ob4_1&gt;desc4_1),"wrong data",(AB7*ob4_1)))))</f>
        <v>0</v>
      </c>
      <c r="AC9" s="80">
        <f>IF(ob4_1=0,0,
IF(desc4_1=0,AC7*ob4_1,
IF(desc_por_ob="No",0,
IF(AND(desc_por_ob="Yes",ob4_1&gt;desc4_1),"wrong data",(AC7*ob4_1)))))</f>
        <v>0</v>
      </c>
      <c r="AD9" s="80">
        <f>IF(ob4_1=0,0,
IF(desc4_1=0,AD7*ob4_1,
IF(desc_por_ob="No",0,
IF(AND(desc_por_ob="Yes",ob4_1&gt;desc4_1),"wrong data",(AD7*ob4_1)))))</f>
        <v>0</v>
      </c>
      <c r="AE9" s="80" t="s">
        <v>7</v>
      </c>
      <c r="AF9" s="511"/>
      <c r="AG9" s="96"/>
      <c r="AH9" s="99" t="s">
        <v>207</v>
      </c>
      <c r="AI9" s="80">
        <f>IF(ob5_1=0,0,
IF(desc5_1=0,AI7*ob5_1,
IF(desc_por_ob="No",0,
IF(AND(desc_por_ob="Yes",ob5_1&gt;desc5_1),"wrong data",(AI7*ob5_1)))))</f>
        <v>0</v>
      </c>
      <c r="AJ9" s="80">
        <f>IF(ob5_1=0,0,
IF(desc5_1=0,AJ7*ob5_1,
IF(desc_por_ob="No",0,
IF(AND(desc_por_ob="Yes",ob5_1&gt;desc5_1),"wrong data",(AJ7*ob5_1)))))</f>
        <v>0</v>
      </c>
      <c r="AK9" s="80">
        <f>IF(ob5_1=0,0,
IF(desc5_1=0,AK7*ob5_1,
IF(desc_por_ob="No",0,
IF(AND(desc_por_ob="Yes",ob5_1&gt;desc5_1),"wrong data",(AK7*ob5_1)))))</f>
        <v>0</v>
      </c>
      <c r="AL9" s="80">
        <f>IF(ob5_1=0,0,
IF(desc5_1=0,AL7*ob5_1,
IF(desc_por_ob="No",0,
IF(AND(desc_por_ob="Yes",ob5_1&gt;desc5_1),"wrong data",(AL7*ob5_1)))))</f>
        <v>0</v>
      </c>
      <c r="AM9" s="80" t="s">
        <v>7</v>
      </c>
      <c r="AN9" s="511"/>
      <c r="AO9" s="96"/>
      <c r="AP9" s="99" t="s">
        <v>207</v>
      </c>
      <c r="AQ9" s="80">
        <f>IF(ob6_1=0,0,
IF(desc6_1=0,AQ7*ob6_1,
IF(desc_por_ob="No",0,
IF(AND(desc_por_ob="Yes",ob6_1&gt;desc6_1),"wrong data",(AQ7*ob6_1)))))</f>
        <v>0</v>
      </c>
      <c r="AR9" s="80">
        <f>IF(ob6_1=0,0,
IF(desc6_1=0,AR7*ob6_1,
IF(desc_por_ob="No",0,
IF(AND(desc_por_ob="Yes",ob6_1&gt;desc6_1),"wrong data",(AR7*ob6_1)))))</f>
        <v>0</v>
      </c>
      <c r="AS9" s="80">
        <f>IF(ob6_1=0,0,
IF(desc6_1=0,AS7*ob6_1,
IF(desc_por_ob="No",0,
IF(AND(desc_por_ob="Yes",ob6_1&gt;desc6_1),"wrong data",(AS7*ob6_1)))))</f>
        <v>0</v>
      </c>
      <c r="AT9" s="80">
        <f>IF(ob6_1=0,0,
IF(desc6_1=0,AT7*ob6_1,
IF(desc_por_ob="No",0,
IF(AND(desc_por_ob="Yes",ob6_1&gt;desc6_1),"wrong data",(AT7*ob6_1)))))</f>
        <v>0</v>
      </c>
      <c r="AU9" s="80" t="s">
        <v>7</v>
      </c>
      <c r="AV9" s="511"/>
      <c r="AW9" s="96"/>
      <c r="AX9" s="99" t="s">
        <v>207</v>
      </c>
      <c r="AY9" s="80">
        <f>IF(ob7_1=0,0,
IF(desc7_1=0,AY7*ob7_1,
IF(desc_por_ob="No",0,
IF(AND(desc_por_ob="Yes",ob7_1&gt;desc7_1),"wrong data",(AY7*ob7_1)))))</f>
        <v>0</v>
      </c>
      <c r="AZ9" s="80">
        <f>IF(ob7_1=0,0,
IF(desc7_1=0,AZ7*ob7_1,
IF(desc_por_ob="No",0,
IF(AND(desc_por_ob="Yes",ob7_1&gt;desc7_1),"wrong data",(AZ7*ob7_1)))))</f>
        <v>0</v>
      </c>
      <c r="BA9" s="80">
        <f>IF(ob7_1=0,0,
IF(desc7_1=0,BA7*ob7_1,
IF(desc_por_ob="No",0,
IF(AND(desc_por_ob="Yes",ob7_1&gt;desc7_1),"wrong data",(BA7*ob7_1)))))</f>
        <v>0</v>
      </c>
      <c r="BB9" s="80">
        <f>IF(ob7_1=0,0,
IF(desc7_1=0,BB7*ob7_1,
IF(desc_por_ob="No",0,
IF(AND(desc_por_ob="Yes",ob7_1&gt;desc7_1),"wrong data",(BB7*ob7_1)))))</f>
        <v>0</v>
      </c>
      <c r="BC9" s="80" t="s">
        <v>7</v>
      </c>
      <c r="BD9" s="511"/>
      <c r="BE9" s="96"/>
      <c r="BF9" s="99" t="s">
        <v>207</v>
      </c>
      <c r="BG9" s="80">
        <f>IF(ob8_1=0,0,
IF(desc8_1=0,BG7*ob8_1,
IF(desc_por_ob="No",0,
IF(AND(desc_por_ob="Yes",ob8_1&gt;desc8_1),"wrong data",(BG7*ob8_1)))))</f>
        <v>0</v>
      </c>
      <c r="BH9" s="80">
        <f>IF(ob8_1=0,0,
IF(desc8_1=0,BH7*ob8_1,
IF(desc_por_ob="No",0,
IF(AND(desc_por_ob="Yes",ob8_1&gt;desc8_1),"wrong data",(BH7*ob8_1)))))</f>
        <v>0</v>
      </c>
      <c r="BI9" s="80">
        <f>IF(ob8_1=0,0,
IF(desc8_1=0,BI7*ob8_1,
IF(desc_por_ob="No",0,
IF(AND(desc_por_ob="Yes",ob8_1&gt;desc8_1),"wrong data",(BI7*ob8_1)))))</f>
        <v>0</v>
      </c>
      <c r="BJ9" s="80">
        <f>IF(ob8_1=0,0,
IF(desc8_1=0,BJ7*ob8_1,
IF(desc_por_ob="No",0,
IF(AND(desc_por_ob="Yes",ob8_1&gt;desc8_1),"wrong data",(BJ7*ob8_1)))))</f>
        <v>0</v>
      </c>
      <c r="BK9" s="80" t="s">
        <v>7</v>
      </c>
      <c r="BL9" s="511"/>
      <c r="BM9" s="96"/>
      <c r="BN9" s="99" t="s">
        <v>207</v>
      </c>
      <c r="BO9" s="80">
        <f>IF(ob9_1=0,0,
IF(desc9_1=0,BO7*ob9_1,
IF(desc_por_ob="No",0,
IF(AND(desc_por_ob="Yes",ob9_1&gt;desc9_1),"wrong data",(BO7*ob9_1)))))</f>
        <v>0</v>
      </c>
      <c r="BP9" s="80">
        <f>IF(ob9_1=0,0,
IF(desc9_1=0,BP7*ob9_1,
IF(desc_por_ob="No",0,
IF(AND(desc_por_ob="Yes",ob9_1&gt;desc9_1),"wrong data",(BP7*ob9_1)))))</f>
        <v>0</v>
      </c>
      <c r="BQ9" s="80">
        <f>IF(ob9_1=0,0,
IF(desc9_1=0,BQ7*ob9_1,
IF(desc_por_ob="No",0,
IF(AND(desc_por_ob="Yes",ob9_1&gt;desc9_1),"wrong data",(BQ7*ob9_1)))))</f>
        <v>0</v>
      </c>
      <c r="BR9" s="80">
        <f>IF(ob9_1=0,0,
IF(desc9_1=0,BR7*ob9_1,
IF(desc_por_ob="No",0,
IF(AND(desc_por_ob="Yes",ob9_1&gt;desc9_1),"wrong data",(BR7*ob9_1)))))</f>
        <v>0</v>
      </c>
      <c r="BS9" s="80" t="s">
        <v>7</v>
      </c>
      <c r="BT9" s="511"/>
      <c r="BU9" s="96"/>
      <c r="BV9" s="99" t="s">
        <v>207</v>
      </c>
      <c r="BW9" s="80">
        <f>IF(ob10_1=0,0,
IF(desc10_1=0,BW7*ob10_1,
IF(desc_por_ob="No",0,
IF(AND(desc_por_ob="Yes",ob10_1&gt;desc10_1),"wrong data",(BW7*ob10_1)))))</f>
        <v>0</v>
      </c>
      <c r="BX9" s="80">
        <f>IF(ob10_1=0,0,
IF(desc10_1=0,BX7*ob10_1,
IF(desc_por_ob="No",0,
IF(AND(desc_por_ob="Yes",ob10_1&gt;desc10_1),"wrong data",(BX7*ob10_1)))))</f>
        <v>0</v>
      </c>
      <c r="BY9" s="80">
        <f>IF(ob10_1=0,0,
IF(desc10_1=0,BY7*ob10_1,
IF(desc_por_ob="No",0,
IF(AND(desc_por_ob="Yes",ob10_1&gt;desc10_1),"wrong data",(BY7*ob10_1)))))</f>
        <v>0</v>
      </c>
      <c r="BZ9" s="80">
        <f>IF(ob10_1=0,0,
IF(desc10_1=0,BZ7*ob10_1,
IF(desc_por_ob="No",0,
IF(AND(desc_por_ob="Yes",ob10_1&gt;desc10_1),"wrong data",(BZ7*ob10_1)))))</f>
        <v>0</v>
      </c>
      <c r="CA9" s="80" t="s">
        <v>7</v>
      </c>
      <c r="CB9" s="511"/>
      <c r="CC9" s="96"/>
      <c r="CD9" s="99" t="s">
        <v>207</v>
      </c>
      <c r="CE9" s="80">
        <f>IF(ob11_1=0,0,
IF(desc11_1=0,CE7*ob11_1,
IF(desc_por_ob="No",0,
IF(AND(desc_por_ob="Yes",ob11_1&gt;desc11_1),"wrong data",(CE7*ob11_1)))))</f>
        <v>0</v>
      </c>
      <c r="CF9" s="80">
        <f>IF(ob11_1=0,0,
IF(desc11_1=0,CF7*ob11_1,
IF(desc_por_ob="No",0,
IF(AND(desc_por_ob="Yes",ob11_1&gt;desc11_1),"wrong data",(CF7*ob11_1)))))</f>
        <v>0</v>
      </c>
      <c r="CG9" s="80">
        <f>IF(ob11_1=0,0,
IF(desc11_1=0,CG7*ob11_1,
IF(desc_por_ob="No",0,
IF(AND(desc_por_ob="Yes",ob11_1&gt;desc11_1),"wrong data",(CG7*ob11_1)))))</f>
        <v>0</v>
      </c>
      <c r="CH9" s="80">
        <f>IF(ob11_1=0,0,
IF(desc11_1=0,CH7*ob11_1,
IF(desc_por_ob="No",0,
IF(AND(desc_por_ob="Yes",ob11_1&gt;desc11_1),"wrong data",(CH7*ob11_1)))))</f>
        <v>0</v>
      </c>
      <c r="CI9" s="80" t="s">
        <v>7</v>
      </c>
      <c r="CJ9" s="511"/>
      <c r="CK9" s="96"/>
      <c r="CL9" s="99" t="s">
        <v>207</v>
      </c>
      <c r="CM9" s="80">
        <f>IF(ob12_1=0,0,
IF(desc12_1=0,CM7*ob12_1,
IF(desc_por_ob="No",0,
IF(AND(desc_por_ob="Yes",ob12_1&gt;desc12_1),"wrong data",(CM7*ob12_1)))))</f>
        <v>0</v>
      </c>
      <c r="CN9" s="80">
        <f>IF(ob12_1=0,0,
IF(desc12_1=0,CN7*ob12_1,
IF(desc_por_ob="No",0,
IF(AND(desc_por_ob="Yes",ob12_1&gt;desc12_1),"wrong data",(CN7*ob12_1)))))</f>
        <v>0</v>
      </c>
      <c r="CO9" s="80">
        <f>IF(ob12_1=0,0,
IF(desc12_1=0,CO7*ob12_1,
IF(desc_por_ob="No",0,
IF(AND(desc_por_ob="Yes",ob12_1&gt;desc12_1),"wrong data",(CO7*ob12_1)))))</f>
        <v>0</v>
      </c>
      <c r="CP9" s="80">
        <f>IF(ob12_1=0,0,
IF(desc12_1=0,CP7*ob12_1,
IF(desc_por_ob="No",0,
IF(AND(desc_por_ob="Yes",ob12_1&gt;desc12_1),"wrong data",(CP7*ob12_1)))))</f>
        <v>0</v>
      </c>
      <c r="CQ9" s="80" t="s">
        <v>7</v>
      </c>
      <c r="CR9" s="511"/>
      <c r="CS9" s="96"/>
      <c r="CT9" s="99" t="s">
        <v>207</v>
      </c>
      <c r="CU9" s="80">
        <f>IF(ob13_1=0,0,
IF(desc13_1=0,CU7*ob13_1,
IF(desc_por_ob="No",0,
IF(AND(desc_por_ob="Yes",ob13_1&gt;desc13_1),"wrong data",(CU7*ob13_1)))))</f>
        <v>0</v>
      </c>
      <c r="CV9" s="80">
        <f>IF(ob13_1=0,0,
IF(desc13_1=0,CV7*ob13_1,
IF(desc_por_ob="No",0,
IF(AND(desc_por_ob="Yes",ob13_1&gt;desc13_1),"wrong data",(CV7*ob13_1)))))</f>
        <v>0</v>
      </c>
      <c r="CW9" s="80">
        <f>IF(ob13_1=0,0,
IF(desc13_1=0,CW7*ob13_1,
IF(desc_por_ob="No",0,
IF(AND(desc_por_ob="Yes",ob13_1&gt;desc13_1),"wrong data",(CW7*ob13_1)))))</f>
        <v>0</v>
      </c>
      <c r="CX9" s="80">
        <f>IF(ob13_1=0,0,
IF(desc13_1=0,CX7*ob13_1,
IF(desc_por_ob="No",0,
IF(AND(desc_por_ob="Yes",ob13_1&gt;desc13_1),"wrong data",(CX7*ob13_1)))))</f>
        <v>0</v>
      </c>
      <c r="CY9" s="80" t="s">
        <v>7</v>
      </c>
      <c r="CZ9" s="511"/>
      <c r="DA9" s="96"/>
      <c r="DB9" s="99" t="s">
        <v>207</v>
      </c>
      <c r="DC9" s="80">
        <f>IF(ob14_1=0,0,
IF(desc14_1=0,DC7*ob14_1,
IF(desc_por_ob="No",0,
IF(AND(desc_por_ob="Yes",ob14_1&gt;desc14_1),"wrong data",(DC7*ob14_1)))))</f>
        <v>0</v>
      </c>
      <c r="DD9" s="80">
        <f>IF(ob14_1=0,0,
IF(desc14_1=0,DD7*ob14_1,
IF(desc_por_ob="No",0,
IF(AND(desc_por_ob="Yes",ob14_1&gt;desc14_1),"wrong data",(DD7*ob14_1)))))</f>
        <v>0</v>
      </c>
      <c r="DE9" s="80">
        <f>IF(ob14_1=0,0,
IF(desc14_1=0,DE7*ob14_1,
IF(desc_por_ob="No",0,
IF(AND(desc_por_ob="Yes",ob14_1&gt;desc14_1),"wrong data",(DE7*ob14_1)))))</f>
        <v>0</v>
      </c>
      <c r="DF9" s="80">
        <f>IF(ob14_1=0,0,
IF(desc14_1=0,DF7*ob14_1,
IF(desc_por_ob="No",0,
IF(AND(desc_por_ob="Yes",ob14_1&gt;desc14_1),"wrong data",(DF7*ob14_1)))))</f>
        <v>0</v>
      </c>
      <c r="DG9" s="80" t="s">
        <v>7</v>
      </c>
      <c r="DH9" s="511"/>
      <c r="DI9" s="96"/>
    </row>
    <row r="10" spans="2:113" s="97" customFormat="1" ht="15" thickBot="1">
      <c r="B10" s="100" t="str">
        <f>IF(OR(uso=3,uso=4),"Progressed","Discontinued")</f>
        <v>Discontinued</v>
      </c>
      <c r="C10" s="315">
        <f>IF(desc1_1=0,0,
IF(AND(desc_por_ob="Yes",ob1_1&gt;desc1_1),"wrong data",C7-C8-C9))</f>
        <v>0</v>
      </c>
      <c r="D10" s="315">
        <f>IF(desc1_1=0,0,
IF(AND(desc_por_ob="Yes",ob1_1&gt;desc1_1),"wrong data",D7-D8-D9))</f>
        <v>0</v>
      </c>
      <c r="E10" s="315">
        <f>IF(desc1_1=0,0,
IF(AND(desc_por_ob="Yes",ob1_1&gt;desc1_1),"wrong data",E7-E8-E9))</f>
        <v>0</v>
      </c>
      <c r="F10" s="315">
        <f>IF(desc1_1=0,0,
IF(AND(desc_por_ob="Yes",ob1_1&gt;desc1_1),"wrong data",F7-F8-F9))</f>
        <v>0</v>
      </c>
      <c r="G10" s="315" t="s">
        <v>7</v>
      </c>
      <c r="H10" s="512"/>
      <c r="I10" s="96"/>
      <c r="J10" s="100" t="str">
        <f>IF(OR(uso=3,uso=4),"Progressed","Discontinued")</f>
        <v>Discontinued</v>
      </c>
      <c r="K10" s="315">
        <f>IF(desc2_1=0,0,
IF(AND(desc_por_ob="Yes",ob2_1&gt;desc2_1),"wrong data",K7-K8-K9))</f>
        <v>0</v>
      </c>
      <c r="L10" s="315">
        <f>IF(desc2_1=0,0,
IF(AND(desc_por_ob="Yes",ob2_1&gt;desc2_1),"wrong data",L7-L8-L9))</f>
        <v>0</v>
      </c>
      <c r="M10" s="315">
        <f>IF(desc2_1=0,0,
IF(AND(desc_por_ob="Yes",ob2_1&gt;desc2_1),"wrong data",M7-M8-M9))</f>
        <v>0</v>
      </c>
      <c r="N10" s="315">
        <f>IF(desc2_1=0,0,
IF(AND(desc_por_ob="Yes",ob2_1&gt;desc2_1),"wrong data",N7-N8-N9))</f>
        <v>0</v>
      </c>
      <c r="O10" s="315" t="s">
        <v>7</v>
      </c>
      <c r="P10" s="512"/>
      <c r="Q10" s="96"/>
      <c r="R10" s="100" t="s">
        <v>208</v>
      </c>
      <c r="S10" s="315">
        <f>IF(desc3_1=0,0,
IF(AND(desc_por_ob="Yes",ob3_1&gt;desc3_1),"wrong data",S7-S8-S9))</f>
        <v>0</v>
      </c>
      <c r="T10" s="315">
        <f>IF(desc3_1=0,0,
IF(AND(desc_por_ob="Yes",ob3_1&gt;desc3_1),"wrong data",T7-T8-T9))</f>
        <v>0</v>
      </c>
      <c r="U10" s="315">
        <f>IF(desc3_1=0,0,
IF(AND(desc_por_ob="Yes",ob3_1&gt;desc3_1),"wrong data",U7-U8-U9))</f>
        <v>0</v>
      </c>
      <c r="V10" s="315">
        <f>IF(desc3_1=0,0,
IF(AND(desc_por_ob="Yes",ob3_1&gt;desc3_1),"wrong data",V7-V8-V9))</f>
        <v>0</v>
      </c>
      <c r="W10" s="315" t="s">
        <v>7</v>
      </c>
      <c r="X10" s="512"/>
      <c r="Y10" s="96"/>
      <c r="Z10" s="100" t="s">
        <v>208</v>
      </c>
      <c r="AA10" s="315">
        <f>IF(desc4_1=0,0,
IF(AND(desc_por_ob="Yes",ob4_1&gt;desc4_1),"wrong data",AA7-AA8-AA9))</f>
        <v>0</v>
      </c>
      <c r="AB10" s="315">
        <f>IF(desc4_1=0,0,
IF(AND(desc_por_ob="Yes",ob4_1&gt;desc4_1),"wrong data",AB7-AB8-AB9))</f>
        <v>0</v>
      </c>
      <c r="AC10" s="315">
        <f>IF(desc4_1=0,0,
IF(AND(desc_por_ob="Yes",ob4_1&gt;desc4_1),"wrong data",AC7-AC8-AC9))</f>
        <v>0</v>
      </c>
      <c r="AD10" s="315">
        <f>IF(desc4_1=0,0,
IF(AND(desc_por_ob="Yes",ob4_1&gt;desc4_1),"wrong data",AD7-AD8-AD9))</f>
        <v>0</v>
      </c>
      <c r="AE10" s="315" t="s">
        <v>7</v>
      </c>
      <c r="AF10" s="512"/>
      <c r="AG10" s="96"/>
      <c r="AH10" s="100" t="s">
        <v>208</v>
      </c>
      <c r="AI10" s="315">
        <f>IF(desc5_1=0,0,
IF(AND(desc_por_ob="Yes",ob5_1&gt;desc5_1),"wrong data",AI7-AI8-AI9))</f>
        <v>0</v>
      </c>
      <c r="AJ10" s="315">
        <f>IF(desc5_1=0,0,
IF(AND(desc_por_ob="Yes",ob5_1&gt;desc5_1),"wrong data",AJ7-AJ8-AJ9))</f>
        <v>0</v>
      </c>
      <c r="AK10" s="315">
        <f>IF(desc5_1=0,0,
IF(AND(desc_por_ob="Yes",ob5_1&gt;desc5_1),"wrong data",AK7-AK8-AK9))</f>
        <v>0</v>
      </c>
      <c r="AL10" s="315">
        <f>IF(desc5_1=0,0,
IF(AND(desc_por_ob="Yes",ob5_1&gt;desc5_1),"wrong data",AL7-AL8-AL9))</f>
        <v>0</v>
      </c>
      <c r="AM10" s="315" t="s">
        <v>7</v>
      </c>
      <c r="AN10" s="512"/>
      <c r="AO10" s="96"/>
      <c r="AP10" s="100" t="s">
        <v>208</v>
      </c>
      <c r="AQ10" s="315">
        <f>IF(desc6_1=0,0,
IF(AND(desc_por_ob="Yes",ob6_1&gt;desc6_1),"wrong data",AQ7-AQ8-AQ9))</f>
        <v>0</v>
      </c>
      <c r="AR10" s="315">
        <f>IF(desc6_1=0,0,
IF(AND(desc_por_ob="Yes",ob6_1&gt;desc6_1),"wrong data",AR7-AR8-AR9))</f>
        <v>0</v>
      </c>
      <c r="AS10" s="315">
        <f>IF(desc6_1=0,0,
IF(AND(desc_por_ob="Yes",ob6_1&gt;desc6_1),"wrong data",AS7-AS8-AS9))</f>
        <v>0</v>
      </c>
      <c r="AT10" s="315">
        <f>IF(desc6_1=0,0,
IF(AND(desc_por_ob="Yes",ob6_1&gt;desc6_1),"wrong data",AT7-AT8-AT9))</f>
        <v>0</v>
      </c>
      <c r="AU10" s="315" t="s">
        <v>7</v>
      </c>
      <c r="AV10" s="512"/>
      <c r="AW10" s="96"/>
      <c r="AX10" s="100" t="s">
        <v>208</v>
      </c>
      <c r="AY10" s="315">
        <f>IF(desc7_1=0,0,
IF(AND(desc_por_ob="Yes",ob7_1&gt;desc7_1),"wrong data",AY7-AY8-AY9))</f>
        <v>0</v>
      </c>
      <c r="AZ10" s="315">
        <f>IF(desc7_1=0,0,
IF(AND(desc_por_ob="Yes",ob7_1&gt;desc7_1),"wrong data",AZ7-AZ8-AZ9))</f>
        <v>0</v>
      </c>
      <c r="BA10" s="315">
        <f>IF(desc7_1=0,0,
IF(AND(desc_por_ob="Yes",ob7_1&gt;desc7_1),"wrong data",BA7-BA8-BA9))</f>
        <v>0</v>
      </c>
      <c r="BB10" s="315">
        <f>IF(desc7_1=0,0,
IF(AND(desc_por_ob="Yes",ob7_1&gt;desc7_1),"wrong data",BB7-BB8-BB9))</f>
        <v>0</v>
      </c>
      <c r="BC10" s="315" t="s">
        <v>7</v>
      </c>
      <c r="BD10" s="512"/>
      <c r="BE10" s="96"/>
      <c r="BF10" s="100" t="s">
        <v>208</v>
      </c>
      <c r="BG10" s="315">
        <f>IF(desc8_1=0,0,
IF(AND(desc_por_ob="Yes",ob8_1&gt;desc8_1),"wrong data",BG7-BG8-BG9))</f>
        <v>0</v>
      </c>
      <c r="BH10" s="315">
        <f>IF(desc8_1=0,0,
IF(AND(desc_por_ob="Yes",ob8_1&gt;desc8_1),"wrong data",BH7-BH8-BH9))</f>
        <v>0</v>
      </c>
      <c r="BI10" s="315">
        <f>IF(desc8_1=0,0,
IF(AND(desc_por_ob="Yes",ob8_1&gt;desc8_1),"wrong data",BI7-BI8-BI9))</f>
        <v>0</v>
      </c>
      <c r="BJ10" s="315">
        <f>IF(desc8_1=0,0,
IF(AND(desc_por_ob="Yes",ob8_1&gt;desc8_1),"wrong data",BJ7-BJ8-BJ9))</f>
        <v>0</v>
      </c>
      <c r="BK10" s="315" t="s">
        <v>7</v>
      </c>
      <c r="BL10" s="512"/>
      <c r="BM10" s="96"/>
      <c r="BN10" s="100" t="s">
        <v>208</v>
      </c>
      <c r="BO10" s="315">
        <f>IF(desc9_1=0,0,
IF(AND(desc_por_ob="Yes",ob9_1&gt;desc9_1),"wrong data",BO7-BO8-BO9))</f>
        <v>0</v>
      </c>
      <c r="BP10" s="315">
        <f>IF(desc9_1=0,0,
IF(AND(desc_por_ob="Yes",ob9_1&gt;desc9_1),"wrong data",BP7-BP8-BP9))</f>
        <v>0</v>
      </c>
      <c r="BQ10" s="315">
        <f>IF(desc9_1=0,0,
IF(AND(desc_por_ob="Yes",ob9_1&gt;desc9_1),"wrong data",BQ7-BQ8-BQ9))</f>
        <v>0</v>
      </c>
      <c r="BR10" s="315">
        <f>IF(desc9_1=0,0,
IF(AND(desc_por_ob="Yes",ob9_1&gt;desc9_1),"wrong data",BR7-BR8-BR9))</f>
        <v>0</v>
      </c>
      <c r="BS10" s="315" t="s">
        <v>7</v>
      </c>
      <c r="BT10" s="512"/>
      <c r="BU10" s="96"/>
      <c r="BV10" s="100" t="s">
        <v>208</v>
      </c>
      <c r="BW10" s="315">
        <f>IF(desc10_1=0,0,
IF(AND(desc_por_ob="Yes",ob10_1&gt;desc10_1),"wrong data",BW7-BW8-BW9))</f>
        <v>0</v>
      </c>
      <c r="BX10" s="315">
        <f>IF(desc10_1=0,0,
IF(AND(desc_por_ob="Yes",ob10_1&gt;desc10_1),"wrong data",BX7-BX8-BX9))</f>
        <v>0</v>
      </c>
      <c r="BY10" s="315">
        <f>IF(desc10_1=0,0,
IF(AND(desc_por_ob="Yes",ob10_1&gt;desc10_1),"wrong data",BY7-BY8-BY9))</f>
        <v>0</v>
      </c>
      <c r="BZ10" s="315">
        <f>IF(desc10_1=0,0,
IF(AND(desc_por_ob="Yes",ob10_1&gt;desc10_1),"wrong data",BZ7-BZ8-BZ9))</f>
        <v>0</v>
      </c>
      <c r="CA10" s="315" t="s">
        <v>7</v>
      </c>
      <c r="CB10" s="512"/>
      <c r="CC10" s="96"/>
      <c r="CD10" s="100" t="s">
        <v>208</v>
      </c>
      <c r="CE10" s="315">
        <f>IF(desc11_1=0,0,
IF(AND(desc_por_ob="Yes",ob11_1&gt;desc11_1),"wrong data",CE7-CE8-CE9))</f>
        <v>0</v>
      </c>
      <c r="CF10" s="315">
        <f>IF(desc11_1=0,0,
IF(AND(desc_por_ob="Yes",ob11_1&gt;desc11_1),"wrong data",CF7-CF8-CF9))</f>
        <v>0</v>
      </c>
      <c r="CG10" s="315">
        <f>IF(desc11_1=0,0,
IF(AND(desc_por_ob="Yes",ob11_1&gt;desc11_1),"wrong data",CG7-CG8-CG9))</f>
        <v>0</v>
      </c>
      <c r="CH10" s="315">
        <f>IF(desc11_1=0,0,
IF(AND(desc_por_ob="Yes",ob11_1&gt;desc11_1),"wrong data",CH7-CH8-CH9))</f>
        <v>0</v>
      </c>
      <c r="CI10" s="315" t="s">
        <v>7</v>
      </c>
      <c r="CJ10" s="512"/>
      <c r="CK10" s="96"/>
      <c r="CL10" s="100" t="s">
        <v>208</v>
      </c>
      <c r="CM10" s="315">
        <f>IF(desc12_1=0,0,
IF(AND(desc_por_ob="Yes",ob12_1&gt;desc12_1),"wrong data",CM7-CM8-CM9))</f>
        <v>0</v>
      </c>
      <c r="CN10" s="315">
        <f>IF(desc12_1=0,0,
IF(AND(desc_por_ob="Yes",ob12_1&gt;desc12_1),"wrong data",CN7-CN8-CN9))</f>
        <v>0</v>
      </c>
      <c r="CO10" s="315">
        <f>IF(desc12_1=0,0,
IF(AND(desc_por_ob="Yes",ob12_1&gt;desc12_1),"wrong data",CO7-CO8-CO9))</f>
        <v>0</v>
      </c>
      <c r="CP10" s="315">
        <f>IF(desc12_1=0,0,
IF(AND(desc_por_ob="Yes",ob12_1&gt;desc12_1),"wrong data",CP7-CP8-CP9))</f>
        <v>0</v>
      </c>
      <c r="CQ10" s="315" t="s">
        <v>7</v>
      </c>
      <c r="CR10" s="512"/>
      <c r="CS10" s="96"/>
      <c r="CT10" s="100" t="s">
        <v>208</v>
      </c>
      <c r="CU10" s="315">
        <f>IF(desc13_1=0,0,
IF(AND(desc_por_ob="Yes",ob13_1&gt;desc13_1),"wrong data",CU7-CU8-CU9))</f>
        <v>0</v>
      </c>
      <c r="CV10" s="315">
        <f>IF(desc13_1=0,0,
IF(AND(desc_por_ob="Yes",ob13_1&gt;desc13_1),"wrong data",CV7-CV8-CV9))</f>
        <v>0</v>
      </c>
      <c r="CW10" s="315">
        <f>IF(desc13_1=0,0,
IF(AND(desc_por_ob="Yes",ob13_1&gt;desc13_1),"wrong data",CW7-CW8-CW9))</f>
        <v>0</v>
      </c>
      <c r="CX10" s="315">
        <f>IF(desc13_1=0,0,
IF(AND(desc_por_ob="Yes",ob13_1&gt;desc13_1),"wrong data",CX7-CX8-CX9))</f>
        <v>0</v>
      </c>
      <c r="CY10" s="315" t="s">
        <v>7</v>
      </c>
      <c r="CZ10" s="512"/>
      <c r="DA10" s="96"/>
      <c r="DB10" s="100" t="s">
        <v>208</v>
      </c>
      <c r="DC10" s="315">
        <f>IF(desc14_1=0,0,
IF(AND(desc_por_ob="Yes",ob14_1&gt;desc14_1),"wrong data",DC7-DC8-DC9))</f>
        <v>0</v>
      </c>
      <c r="DD10" s="315">
        <f>IF(desc14_1=0,0,
IF(AND(desc_por_ob="Yes",ob14_1&gt;desc14_1),"wrong data",DD7-DD8-DD9))</f>
        <v>0</v>
      </c>
      <c r="DE10" s="315">
        <f>IF(desc14_1=0,0,
IF(AND(desc_por_ob="Yes",ob14_1&gt;desc14_1),"wrong data",DE7-DE8-DE9))</f>
        <v>0</v>
      </c>
      <c r="DF10" s="315">
        <f>IF(desc14_1=0,0,
IF(AND(desc_por_ob="Yes",ob14_1&gt;desc14_1),"wrong data",DF7-DF8-DF9))</f>
        <v>0</v>
      </c>
      <c r="DG10" s="315" t="s">
        <v>7</v>
      </c>
      <c r="DH10" s="512"/>
      <c r="DI10" s="96"/>
    </row>
    <row r="11" spans="2:113" s="97" customFormat="1" ht="15" customHeight="1">
      <c r="B11" s="98" t="str">
        <f>IF(OR(uso=3,uso=4),"Progression-free","On treatment")</f>
        <v>On treatment</v>
      </c>
      <c r="C11" s="314">
        <f>IF(AND(desc1_2=0,ob1_2=0),C8,
IF(AND(desc1_2=0,ob1_2&gt;0),C7*(1-ob1_2),C7*(1-desc1_2)))</f>
        <v>10517610.166747084</v>
      </c>
      <c r="D11" s="314">
        <f>IF(AND(desc1_2=0,ob1_2=0),D8,
IF(AND(desc1_2=0,ob1_2&gt;0),D7*(1-ob1_2),D7*(1-desc1_2)))</f>
        <v>86265.443560933694</v>
      </c>
      <c r="E11" s="314">
        <f>IF(AND(desc1_2=0,ob1_2=0),E8,
IF(AND(desc1_2=0,ob1_2&gt;0),E7*(1-ob1_2),E7*(1-desc1_2)))</f>
        <v>82650.795493863523</v>
      </c>
      <c r="F11" s="314" t="s">
        <v>7</v>
      </c>
      <c r="G11" s="314" t="s">
        <v>7</v>
      </c>
      <c r="H11" s="510" t="s">
        <v>306</v>
      </c>
      <c r="I11" s="96"/>
      <c r="J11" s="98" t="str">
        <f>IF(OR(uso=3,uso=4),"Progression-free","On treatment")</f>
        <v>On treatment</v>
      </c>
      <c r="K11" s="314">
        <f>IF(AND(desc2_2=0,ob2_2=0),K8,
IF(AND(desc2_2=0,ob2_2&gt;0),K7*(1-ob2_2),K7*(1-desc2_2)))</f>
        <v>10517610.166747084</v>
      </c>
      <c r="L11" s="314">
        <f>IF(AND(desc2_2=0,ob2_2=0),L8,
IF(AND(desc2_2=0,ob2_2&gt;0),L7*(1-ob2_2),L7*(1-desc2_2)))</f>
        <v>86265.443560933694</v>
      </c>
      <c r="M11" s="314">
        <f>IF(AND(desc2_2=0,ob2_2=0),M8,
IF(AND(desc2_2=0,ob2_2&gt;0),M7*(1-ob2_2),M7*(1-desc2_2)))</f>
        <v>82650.795493863523</v>
      </c>
      <c r="N11" s="314" t="s">
        <v>7</v>
      </c>
      <c r="O11" s="314" t="s">
        <v>7</v>
      </c>
      <c r="P11" s="510" t="s">
        <v>306</v>
      </c>
      <c r="Q11" s="96"/>
      <c r="R11" s="98" t="s">
        <v>206</v>
      </c>
      <c r="S11" s="314">
        <f>IF(AND(desc3_2=0,ob3_2=0),S8,
IF(AND(desc3_2=0,ob3_2&gt;0),S7*(1-ob3_2),S7*(1-desc3_2)))</f>
        <v>10517610.166747084</v>
      </c>
      <c r="T11" s="314">
        <f>IF(AND(desc3_2=0,ob3_2=0),T8,
IF(AND(desc3_2=0,ob3_2&gt;0),T7*(1-ob3_2),T7*(1-desc3_2)))</f>
        <v>86265.443560933694</v>
      </c>
      <c r="U11" s="314">
        <f>IF(AND(desc3_2=0,ob3_2=0),U8,
IF(AND(desc3_2=0,ob3_2&gt;0),U7*(1-ob3_2),U7*(1-desc3_2)))</f>
        <v>82650.795493863523</v>
      </c>
      <c r="V11" s="314" t="s">
        <v>7</v>
      </c>
      <c r="W11" s="314" t="s">
        <v>7</v>
      </c>
      <c r="X11" s="510" t="s">
        <v>306</v>
      </c>
      <c r="Y11" s="96"/>
      <c r="Z11" s="98" t="s">
        <v>206</v>
      </c>
      <c r="AA11" s="314">
        <f>IF(AND(desc4_2=0,ob4_2=0),AA8,
IF(AND(desc4_2=0,ob4_2&gt;0),AA7*(1-ob4_2),AA7*(1-desc4_2)))</f>
        <v>10517610.166747084</v>
      </c>
      <c r="AB11" s="314">
        <f>IF(AND(desc4_2=0,ob4_2=0),AB8,
IF(AND(desc4_2=0,ob4_2&gt;0),AB7*(1-ob4_2),AB7*(1-desc4_2)))</f>
        <v>86265.443560933694</v>
      </c>
      <c r="AC11" s="314">
        <f>IF(AND(desc4_2=0,ob4_2=0),AC8,
IF(AND(desc4_2=0,ob4_2&gt;0),AC7*(1-ob4_2),AC7*(1-desc4_2)))</f>
        <v>82650.795493863523</v>
      </c>
      <c r="AD11" s="314" t="s">
        <v>7</v>
      </c>
      <c r="AE11" s="314" t="s">
        <v>7</v>
      </c>
      <c r="AF11" s="510" t="s">
        <v>306</v>
      </c>
      <c r="AG11" s="96"/>
      <c r="AH11" s="98" t="s">
        <v>206</v>
      </c>
      <c r="AI11" s="314">
        <f>IF(AND(desc5_2=0,ob5_2=0),AI8,
IF(AND(desc5_2=0,ob5_2&gt;0),AI7*(1-ob5_2),AI7*(1-desc5_2)))</f>
        <v>10517610.166747084</v>
      </c>
      <c r="AJ11" s="314">
        <f>IF(AND(desc5_2=0,ob5_2=0),AJ8,
IF(AND(desc5_2=0,ob5_2&gt;0),AJ7*(1-ob5_2),AJ7*(1-desc5_2)))</f>
        <v>86265.443560933694</v>
      </c>
      <c r="AK11" s="314">
        <f>IF(AND(desc5_2=0,ob5_2=0),AK8,
IF(AND(desc5_2=0,ob5_2&gt;0),AK7*(1-ob5_2),AK7*(1-desc5_2)))</f>
        <v>82650.795493863523</v>
      </c>
      <c r="AL11" s="314" t="s">
        <v>7</v>
      </c>
      <c r="AM11" s="314" t="s">
        <v>7</v>
      </c>
      <c r="AN11" s="510" t="s">
        <v>306</v>
      </c>
      <c r="AO11" s="96"/>
      <c r="AP11" s="98" t="s">
        <v>206</v>
      </c>
      <c r="AQ11" s="314">
        <f>IF(AND(desc6_2=0,ob6_2=0),AQ8,
IF(AND(desc6_2=0,ob6_2&gt;0),AQ7*(1-ob6_2),AQ7*(1-desc6_2)))</f>
        <v>10517610.166747084</v>
      </c>
      <c r="AR11" s="314">
        <f>IF(AND(desc6_2=0,ob6_2=0),AR8,
IF(AND(desc6_2=0,ob6_2&gt;0),AR7*(1-ob6_2),AR7*(1-desc6_2)))</f>
        <v>86265.443560933694</v>
      </c>
      <c r="AS11" s="314">
        <f>IF(AND(desc6_2=0,ob6_2=0),AS8,
IF(AND(desc6_2=0,ob6_2&gt;0),AS7*(1-ob6_2),AS7*(1-desc6_2)))</f>
        <v>82650.795493863523</v>
      </c>
      <c r="AT11" s="314" t="s">
        <v>7</v>
      </c>
      <c r="AU11" s="314" t="s">
        <v>7</v>
      </c>
      <c r="AV11" s="510" t="s">
        <v>306</v>
      </c>
      <c r="AW11" s="96"/>
      <c r="AX11" s="98" t="s">
        <v>206</v>
      </c>
      <c r="AY11" s="314">
        <f>IF(AND(desc7_2=0,ob7_2=0),AY8,
IF(AND(desc7_2=0,ob7_2&gt;0),AY7*(1-ob7_2),AY7*(1-desc7_2)))</f>
        <v>10517610.166747084</v>
      </c>
      <c r="AZ11" s="314">
        <f>IF(AND(desc7_2=0,ob7_2=0),AZ8,
IF(AND(desc7_2=0,ob7_2&gt;0),AZ7*(1-ob7_2),AZ7*(1-desc7_2)))</f>
        <v>86265.443560933694</v>
      </c>
      <c r="BA11" s="314">
        <f>IF(AND(desc7_2=0,ob7_2=0),BA8,
IF(AND(desc7_2=0,ob7_2&gt;0),BA7*(1-ob7_2),BA7*(1-desc7_2)))</f>
        <v>82650.795493863523</v>
      </c>
      <c r="BB11" s="314" t="s">
        <v>7</v>
      </c>
      <c r="BC11" s="314" t="s">
        <v>7</v>
      </c>
      <c r="BD11" s="510" t="s">
        <v>306</v>
      </c>
      <c r="BE11" s="96"/>
      <c r="BF11" s="98" t="s">
        <v>206</v>
      </c>
      <c r="BG11" s="314">
        <f>IF(AND(desc8_2=0,ob8_2=0),BG8,
IF(AND(desc8_2=0,ob8_2&gt;0),BG7*(1-ob8_2),BG7*(1-desc8_2)))</f>
        <v>10517610.166747084</v>
      </c>
      <c r="BH11" s="314">
        <f>IF(AND(desc8_2=0,ob8_2=0),BH8,
IF(AND(desc8_2=0,ob8_2&gt;0),BH7*(1-ob8_2),BH7*(1-desc8_2)))</f>
        <v>86265.443560933694</v>
      </c>
      <c r="BI11" s="314">
        <f>IF(AND(desc8_2=0,ob8_2=0),BI8,
IF(AND(desc8_2=0,ob8_2&gt;0),BI7*(1-ob8_2),BI7*(1-desc8_2)))</f>
        <v>82650.795493863523</v>
      </c>
      <c r="BJ11" s="314" t="s">
        <v>7</v>
      </c>
      <c r="BK11" s="314" t="s">
        <v>7</v>
      </c>
      <c r="BL11" s="510" t="s">
        <v>306</v>
      </c>
      <c r="BM11" s="96"/>
      <c r="BN11" s="98" t="s">
        <v>206</v>
      </c>
      <c r="BO11" s="314">
        <f>IF(AND(desc9_2=0,ob9_2=0),BO8,
IF(AND(desc9_2=0,ob9_2&gt;0),BO7*(1-ob9_2),BO7*(1-desc9_2)))</f>
        <v>10517610.166747084</v>
      </c>
      <c r="BP11" s="314">
        <f>IF(AND(desc9_2=0,ob9_2=0),BP8,
IF(AND(desc9_2=0,ob9_2&gt;0),BP7*(1-ob9_2),BP7*(1-desc9_2)))</f>
        <v>86265.443560933694</v>
      </c>
      <c r="BQ11" s="314">
        <f>IF(AND(desc9_2=0,ob9_2=0),BQ8,
IF(AND(desc9_2=0,ob9_2&gt;0),BQ7*(1-ob9_2),BQ7*(1-desc9_2)))</f>
        <v>82650.795493863523</v>
      </c>
      <c r="BR11" s="314" t="s">
        <v>7</v>
      </c>
      <c r="BS11" s="314" t="s">
        <v>7</v>
      </c>
      <c r="BT11" s="510" t="s">
        <v>306</v>
      </c>
      <c r="BU11" s="96"/>
      <c r="BV11" s="98" t="s">
        <v>206</v>
      </c>
      <c r="BW11" s="314">
        <f>IF(AND(desc10_2=0,ob10_2=0),BW8,
IF(AND(desc10_2=0,ob10_2&gt;0),BW7*(1-ob10_2),BW7*(1-desc10_2)))</f>
        <v>10517610.166747084</v>
      </c>
      <c r="BX11" s="314">
        <f>IF(AND(desc10_2=0,ob10_2=0),BX8,
IF(AND(desc10_2=0,ob10_2&gt;0),BX7*(1-ob10_2),BX7*(1-desc10_2)))</f>
        <v>86265.443560933694</v>
      </c>
      <c r="BY11" s="314">
        <f>IF(AND(desc10_2=0,ob10_2=0),BY8,
IF(AND(desc10_2=0,ob10_2&gt;0),BY7*(1-ob10_2),BY7*(1-desc10_2)))</f>
        <v>82650.795493863523</v>
      </c>
      <c r="BZ11" s="314" t="s">
        <v>7</v>
      </c>
      <c r="CA11" s="314" t="s">
        <v>7</v>
      </c>
      <c r="CB11" s="510" t="s">
        <v>306</v>
      </c>
      <c r="CC11" s="96"/>
      <c r="CD11" s="98" t="s">
        <v>206</v>
      </c>
      <c r="CE11" s="314">
        <f>IF(AND(desc11_2=0,ob11_2=0),CE8,
IF(AND(desc11_2=0,ob11_2&gt;0),CE7*(1-ob11_2),CE7*(1-desc11_2)))</f>
        <v>10517610.166747084</v>
      </c>
      <c r="CF11" s="314">
        <f>IF(AND(desc11_2=0,ob11_2=0),CF8,
IF(AND(desc11_2=0,ob11_2&gt;0),CF7*(1-ob11_2),CF7*(1-desc11_2)))</f>
        <v>86265.443560933694</v>
      </c>
      <c r="CG11" s="314">
        <f>IF(AND(desc11_2=0,ob11_2=0),CG8,
IF(AND(desc11_2=0,ob11_2&gt;0),CG7*(1-ob11_2),CG7*(1-desc11_2)))</f>
        <v>82650.795493863523</v>
      </c>
      <c r="CH11" s="314" t="s">
        <v>7</v>
      </c>
      <c r="CI11" s="314" t="s">
        <v>7</v>
      </c>
      <c r="CJ11" s="510" t="s">
        <v>306</v>
      </c>
      <c r="CK11" s="96"/>
      <c r="CL11" s="98" t="s">
        <v>206</v>
      </c>
      <c r="CM11" s="314">
        <f>IF(AND(desc12_2=0,ob12_2=0),CM8,
IF(AND(desc12_2=0,ob12_2&gt;0),CM7*(1-ob12_2),CM7*(1-desc12_2)))</f>
        <v>10517610.166747084</v>
      </c>
      <c r="CN11" s="314">
        <f>IF(AND(desc12_2=0,ob12_2=0),CN8,
IF(AND(desc12_2=0,ob12_2&gt;0),CN7*(1-ob12_2),CN7*(1-desc12_2)))</f>
        <v>86265.443560933694</v>
      </c>
      <c r="CO11" s="314">
        <f>IF(AND(desc12_2=0,ob12_2=0),CO8,
IF(AND(desc12_2=0,ob12_2&gt;0),CO7*(1-ob12_2),CO7*(1-desc12_2)))</f>
        <v>82650.795493863523</v>
      </c>
      <c r="CP11" s="314" t="s">
        <v>7</v>
      </c>
      <c r="CQ11" s="314" t="s">
        <v>7</v>
      </c>
      <c r="CR11" s="510" t="s">
        <v>306</v>
      </c>
      <c r="CS11" s="96"/>
      <c r="CT11" s="98" t="s">
        <v>206</v>
      </c>
      <c r="CU11" s="314">
        <f>IF(AND(desc13_2=0,ob13_2=0),CU8,
IF(AND(desc13_2=0,ob13_2&gt;0),CU7*(1-ob13_2),CU7*(1-desc13_2)))</f>
        <v>10517610.166747084</v>
      </c>
      <c r="CV11" s="314">
        <f>IF(AND(desc13_2=0,ob13_2=0),CV8,
IF(AND(desc13_2=0,ob13_2&gt;0),CV7*(1-ob13_2),CV7*(1-desc13_2)))</f>
        <v>86265.443560933694</v>
      </c>
      <c r="CW11" s="314">
        <f>IF(AND(desc13_2=0,ob13_2=0),CW8,
IF(AND(desc13_2=0,ob13_2&gt;0),CW7*(1-ob13_2),CW7*(1-desc13_2)))</f>
        <v>82650.795493863523</v>
      </c>
      <c r="CX11" s="314" t="s">
        <v>7</v>
      </c>
      <c r="CY11" s="314" t="s">
        <v>7</v>
      </c>
      <c r="CZ11" s="510" t="s">
        <v>306</v>
      </c>
      <c r="DA11" s="96"/>
      <c r="DB11" s="98" t="s">
        <v>206</v>
      </c>
      <c r="DC11" s="314">
        <f>IF(AND(desc14_2=0,ob14_2=0),DC8,
IF(AND(desc14_2=0,ob14_2&gt;0),DC7*(1-ob14_2),DC7*(1-desc14_2)))</f>
        <v>10517610.166747084</v>
      </c>
      <c r="DD11" s="314">
        <f>IF(AND(desc14_2=0,ob14_2=0),DD8,
IF(AND(desc14_2=0,ob14_2&gt;0),DD7*(1-ob14_2),DD7*(1-desc14_2)))</f>
        <v>86265.443560933694</v>
      </c>
      <c r="DE11" s="314">
        <f>IF(AND(desc14_2=0,ob14_2=0),DE8,
IF(AND(desc14_2=0,ob14_2&gt;0),DE7*(1-ob14_2),DE7*(1-desc14_2)))</f>
        <v>82650.795493863523</v>
      </c>
      <c r="DF11" s="314" t="s">
        <v>7</v>
      </c>
      <c r="DG11" s="314" t="s">
        <v>7</v>
      </c>
      <c r="DH11" s="510" t="s">
        <v>306</v>
      </c>
      <c r="DI11" s="96"/>
    </row>
    <row r="12" spans="2:113" s="97" customFormat="1">
      <c r="B12" s="99" t="s">
        <v>207</v>
      </c>
      <c r="C12" s="80">
        <f>IF(ob1_2=0,0,
IF(desc1_2=0,C7*ob1_2,
IF(desc_por_ob="No",0,
IF(AND(desc_por_ob="Yes",ob1_2&gt;desc1_2),"wrong data",(C7*ob1_2)))))</f>
        <v>0</v>
      </c>
      <c r="D12" s="80">
        <f>IF(ob1_2=0,0,
IF(desc1_2=0,D7*ob1_2,
IF(desc_por_ob="No",0,
IF(AND(desc_por_ob="Yes",ob1_2&gt;desc1_2),"wrong data",(D7*ob1_2)))))</f>
        <v>0</v>
      </c>
      <c r="E12" s="80">
        <f>IF(ob1_2=0,0,
IF(desc1_2=0,E7*ob1_2,
IF(desc_por_ob="No",0,
IF(AND(desc_por_ob="Yes",ob1_2&gt;desc1_2),"wrong data",(E7*ob1_2)))))</f>
        <v>0</v>
      </c>
      <c r="F12" s="80" t="s">
        <v>7</v>
      </c>
      <c r="G12" s="80" t="s">
        <v>7</v>
      </c>
      <c r="H12" s="511"/>
      <c r="I12" s="96"/>
      <c r="J12" s="99" t="s">
        <v>207</v>
      </c>
      <c r="K12" s="80">
        <f>IF(ob2_2=0,0,
IF(desc2_2=0,K7*ob2_2,
IF(desc_por_ob="No",0,
IF(AND(desc_por_ob="Yes",ob2_2&gt;desc2_2),"wrong data",(K7*ob2_2)))))</f>
        <v>0</v>
      </c>
      <c r="L12" s="80">
        <f>IF(ob2_2=0,0,
IF(desc2_2=0,L7*ob2_2,
IF(desc_por_ob="No",0,
IF(AND(desc_por_ob="Yes",ob2_2&gt;desc2_2),"wrong data",(L7*ob2_2)))))</f>
        <v>0</v>
      </c>
      <c r="M12" s="80">
        <f>IF(ob2_2=0,0,
IF(desc2_2=0,M7*ob2_2,
IF(desc_por_ob="No",0,
IF(AND(desc_por_ob="Yes",ob2_2&gt;desc2_2),"wrong data",(M7*ob2_2)))))</f>
        <v>0</v>
      </c>
      <c r="N12" s="80" t="s">
        <v>7</v>
      </c>
      <c r="O12" s="80" t="s">
        <v>7</v>
      </c>
      <c r="P12" s="511"/>
      <c r="Q12" s="96"/>
      <c r="R12" s="99" t="s">
        <v>207</v>
      </c>
      <c r="S12" s="80">
        <f>IF(ob3_2=0,0,
IF(desc3_2=0,S7*ob3_2,
IF(desc_por_ob="No",0,
IF(AND(desc_por_ob="Yes",ob3_2&gt;desc3_2),"wrong data",(S7*ob3_2)))))</f>
        <v>0</v>
      </c>
      <c r="T12" s="80">
        <f>IF(ob3_2=0,0,
IF(desc3_2=0,T7*ob3_2,
IF(desc_por_ob="No",0,
IF(AND(desc_por_ob="Yes",ob3_2&gt;desc3_2),"wrong data",(T7*ob3_2)))))</f>
        <v>0</v>
      </c>
      <c r="U12" s="80">
        <f>IF(ob3_2=0,0,
IF(desc3_2=0,U7*ob3_2,
IF(desc_por_ob="No",0,
IF(AND(desc_por_ob="Yes",ob3_2&gt;desc3_2),"wrong data",(U7*ob3_2)))))</f>
        <v>0</v>
      </c>
      <c r="V12" s="80" t="s">
        <v>7</v>
      </c>
      <c r="W12" s="80" t="s">
        <v>7</v>
      </c>
      <c r="X12" s="511"/>
      <c r="Y12" s="96"/>
      <c r="Z12" s="99" t="s">
        <v>207</v>
      </c>
      <c r="AA12" s="80">
        <f>IF(ob4_2=0,0,
IF(desc4_2=0,AA7*ob4_2,
IF(desc_por_ob="No",0,
IF(AND(desc_por_ob="Yes",ob4_2&gt;desc4_2),"wrong data",(AA7*ob4_2)))))</f>
        <v>0</v>
      </c>
      <c r="AB12" s="80">
        <f>IF(ob4_2=0,0,
IF(desc4_2=0,AB7*ob4_2,
IF(desc_por_ob="No",0,
IF(AND(desc_por_ob="Yes",ob4_2&gt;desc4_2),"wrong data",(AB7*ob4_2)))))</f>
        <v>0</v>
      </c>
      <c r="AC12" s="80">
        <f>IF(ob4_2=0,0,
IF(desc4_2=0,AC7*ob4_2,
IF(desc_por_ob="No",0,
IF(AND(desc_por_ob="Yes",ob4_2&gt;desc4_2),"wrong data",(AC7*ob4_2)))))</f>
        <v>0</v>
      </c>
      <c r="AD12" s="80" t="s">
        <v>7</v>
      </c>
      <c r="AE12" s="80" t="s">
        <v>7</v>
      </c>
      <c r="AF12" s="511"/>
      <c r="AG12" s="96"/>
      <c r="AH12" s="99" t="s">
        <v>207</v>
      </c>
      <c r="AI12" s="80">
        <f>IF(ob5_2=0,0,
IF(desc5_2=0,AI7*ob5_2,
IF(desc_por_ob="No",0,
IF(AND(desc_por_ob="Yes",ob5_2&gt;desc5_2),"wrong data",(AI7*ob5_2)))))</f>
        <v>0</v>
      </c>
      <c r="AJ12" s="80">
        <f>IF(ob5_2=0,0,
IF(desc5_2=0,AJ7*ob5_2,
IF(desc_por_ob="No",0,
IF(AND(desc_por_ob="Yes",ob5_2&gt;desc5_2),"wrong data",(AJ7*ob5_2)))))</f>
        <v>0</v>
      </c>
      <c r="AK12" s="80">
        <f>IF(ob5_2=0,0,
IF(desc5_2=0,AK7*ob5_2,
IF(desc_por_ob="No",0,
IF(AND(desc_por_ob="Yes",ob5_2&gt;desc5_2),"wrong data",(AK7*ob5_2)))))</f>
        <v>0</v>
      </c>
      <c r="AL12" s="80" t="s">
        <v>7</v>
      </c>
      <c r="AM12" s="80" t="s">
        <v>7</v>
      </c>
      <c r="AN12" s="511"/>
      <c r="AO12" s="96"/>
      <c r="AP12" s="99" t="s">
        <v>207</v>
      </c>
      <c r="AQ12" s="80">
        <f>IF(ob6_2=0,0,
IF(desc6_2=0,AQ7*ob6_2,
IF(desc_por_ob="No",0,
IF(AND(desc_por_ob="Yes",ob6_2&gt;desc6_2),"wrong data",(AQ7*ob6_2)))))</f>
        <v>0</v>
      </c>
      <c r="AR12" s="80">
        <f>IF(ob6_2=0,0,
IF(desc6_2=0,AR7*ob6_2,
IF(desc_por_ob="No",0,
IF(AND(desc_por_ob="Yes",ob6_2&gt;desc6_2),"wrong data",(AR7*ob6_2)))))</f>
        <v>0</v>
      </c>
      <c r="AS12" s="80">
        <f>IF(ob6_2=0,0,
IF(desc6_2=0,AS7*ob6_2,
IF(desc_por_ob="No",0,
IF(AND(desc_por_ob="Yes",ob6_2&gt;desc6_2),"wrong data",(AS7*ob6_2)))))</f>
        <v>0</v>
      </c>
      <c r="AT12" s="80" t="s">
        <v>7</v>
      </c>
      <c r="AU12" s="80" t="s">
        <v>7</v>
      </c>
      <c r="AV12" s="511"/>
      <c r="AW12" s="96"/>
      <c r="AX12" s="99" t="s">
        <v>207</v>
      </c>
      <c r="AY12" s="80">
        <f>IF(ob7_2=0,0,
IF(desc7_2=0,AY7*ob7_2,
IF(desc_por_ob="No",0,
IF(AND(desc_por_ob="Yes",ob7_2&gt;desc7_2),"wrong data",(AY7*ob7_2)))))</f>
        <v>0</v>
      </c>
      <c r="AZ12" s="80">
        <f>IF(ob7_2=0,0,
IF(desc7_2=0,AZ7*ob7_2,
IF(desc_por_ob="No",0,
IF(AND(desc_por_ob="Yes",ob7_2&gt;desc7_2),"wrong data",(AZ7*ob7_2)))))</f>
        <v>0</v>
      </c>
      <c r="BA12" s="80">
        <f>IF(ob7_2=0,0,
IF(desc7_2=0,BA7*ob7_2,
IF(desc_por_ob="No",0,
IF(AND(desc_por_ob="Yes",ob7_2&gt;desc7_2),"wrong data",(BA7*ob7_2)))))</f>
        <v>0</v>
      </c>
      <c r="BB12" s="80" t="s">
        <v>7</v>
      </c>
      <c r="BC12" s="80" t="s">
        <v>7</v>
      </c>
      <c r="BD12" s="511"/>
      <c r="BE12" s="96"/>
      <c r="BF12" s="99" t="s">
        <v>207</v>
      </c>
      <c r="BG12" s="80">
        <f>IF(ob8_2=0,0,
IF(desc8_2=0,BG7*ob8_2,
IF(desc_por_ob="No",0,
IF(AND(desc_por_ob="Yes",ob8_2&gt;desc8_2),"wrong data",(BG7*ob8_2)))))</f>
        <v>0</v>
      </c>
      <c r="BH12" s="80">
        <f>IF(ob8_2=0,0,
IF(desc8_2=0,BH7*ob8_2,
IF(desc_por_ob="No",0,
IF(AND(desc_por_ob="Yes",ob8_2&gt;desc8_2),"wrong data",(BH7*ob8_2)))))</f>
        <v>0</v>
      </c>
      <c r="BI12" s="80">
        <f>IF(ob8_2=0,0,
IF(desc8_2=0,BI7*ob8_2,
IF(desc_por_ob="No",0,
IF(AND(desc_por_ob="Yes",ob8_2&gt;desc8_2),"wrong data",(BI7*ob8_2)))))</f>
        <v>0</v>
      </c>
      <c r="BJ12" s="80" t="s">
        <v>7</v>
      </c>
      <c r="BK12" s="80" t="s">
        <v>7</v>
      </c>
      <c r="BL12" s="511"/>
      <c r="BM12" s="96"/>
      <c r="BN12" s="99" t="s">
        <v>207</v>
      </c>
      <c r="BO12" s="80">
        <f>IF(ob9_2=0,0,
IF(desc9_2=0,BO7*ob9_2,
IF(desc_por_ob="No",0,
IF(AND(desc_por_ob="Yes",ob9_2&gt;desc9_2),"wrong data",(BO7*ob9_2)))))</f>
        <v>0</v>
      </c>
      <c r="BP12" s="80">
        <f>IF(ob9_2=0,0,
IF(desc9_2=0,BP7*ob9_2,
IF(desc_por_ob="No",0,
IF(AND(desc_por_ob="Yes",ob9_2&gt;desc9_2),"wrong data",(BP7*ob9_2)))))</f>
        <v>0</v>
      </c>
      <c r="BQ12" s="80">
        <f>IF(ob9_2=0,0,
IF(desc9_2=0,BQ7*ob9_2,
IF(desc_por_ob="No",0,
IF(AND(desc_por_ob="Yes",ob9_2&gt;desc9_2),"wrong data",(BQ7*ob9_2)))))</f>
        <v>0</v>
      </c>
      <c r="BR12" s="80" t="s">
        <v>7</v>
      </c>
      <c r="BS12" s="80" t="s">
        <v>7</v>
      </c>
      <c r="BT12" s="511"/>
      <c r="BU12" s="96"/>
      <c r="BV12" s="99" t="s">
        <v>207</v>
      </c>
      <c r="BW12" s="80">
        <f>IF(ob10_2=0,0,
IF(desc10_2=0,BW7*ob10_2,
IF(desc_por_ob="No",0,
IF(AND(desc_por_ob="Yes",ob10_2&gt;desc10_2),"wrong data",(BW7*ob10_2)))))</f>
        <v>0</v>
      </c>
      <c r="BX12" s="80">
        <f>IF(ob10_2=0,0,
IF(desc10_2=0,BX7*ob10_2,
IF(desc_por_ob="No",0,
IF(AND(desc_por_ob="Yes",ob10_2&gt;desc10_2),"wrong data",(BX7*ob10_2)))))</f>
        <v>0</v>
      </c>
      <c r="BY12" s="80">
        <f>IF(ob10_2=0,0,
IF(desc10_2=0,BY7*ob10_2,
IF(desc_por_ob="No",0,
IF(AND(desc_por_ob="Yes",ob10_2&gt;desc10_2),"wrong data",(BY7*ob10_2)))))</f>
        <v>0</v>
      </c>
      <c r="BZ12" s="80" t="s">
        <v>7</v>
      </c>
      <c r="CA12" s="80" t="s">
        <v>7</v>
      </c>
      <c r="CB12" s="511"/>
      <c r="CC12" s="96"/>
      <c r="CD12" s="99" t="s">
        <v>207</v>
      </c>
      <c r="CE12" s="80">
        <f>IF(ob11_2=0,0,
IF(desc11_2=0,CE7*ob11_2,
IF(desc_por_ob="No",0,
IF(AND(desc_por_ob="Yes",ob11_2&gt;desc11_2),"wrong data",(CE7*ob11_2)))))</f>
        <v>0</v>
      </c>
      <c r="CF12" s="80">
        <f>IF(ob11_2=0,0,
IF(desc11_2=0,CF7*ob11_2,
IF(desc_por_ob="No",0,
IF(AND(desc_por_ob="Yes",ob11_2&gt;desc11_2),"wrong data",(CF7*ob11_2)))))</f>
        <v>0</v>
      </c>
      <c r="CG12" s="80">
        <f>IF(ob11_2=0,0,
IF(desc11_2=0,CG7*ob11_2,
IF(desc_por_ob="No",0,
IF(AND(desc_por_ob="Yes",ob11_2&gt;desc11_2),"wrong data",(CG7*ob11_2)))))</f>
        <v>0</v>
      </c>
      <c r="CH12" s="80" t="s">
        <v>7</v>
      </c>
      <c r="CI12" s="80" t="s">
        <v>7</v>
      </c>
      <c r="CJ12" s="511"/>
      <c r="CK12" s="96"/>
      <c r="CL12" s="99" t="s">
        <v>207</v>
      </c>
      <c r="CM12" s="80">
        <f>IF(ob12_2=0,0,
IF(desc12_2=0,CM7*ob12_2,
IF(desc_por_ob="No",0,
IF(AND(desc_por_ob="Yes",ob12_2&gt;desc12_2),"wrong data",(CM7*ob12_2)))))</f>
        <v>0</v>
      </c>
      <c r="CN12" s="80">
        <f>IF(ob12_2=0,0,
IF(desc12_2=0,CN7*ob12_2,
IF(desc_por_ob="No",0,
IF(AND(desc_por_ob="Yes",ob12_2&gt;desc12_2),"wrong data",(CN7*ob12_2)))))</f>
        <v>0</v>
      </c>
      <c r="CO12" s="80">
        <f>IF(ob12_2=0,0,
IF(desc12_2=0,CO7*ob12_2,
IF(desc_por_ob="No",0,
IF(AND(desc_por_ob="Yes",ob12_2&gt;desc12_2),"wrong data",(CO7*ob12_2)))))</f>
        <v>0</v>
      </c>
      <c r="CP12" s="80" t="s">
        <v>7</v>
      </c>
      <c r="CQ12" s="80" t="s">
        <v>7</v>
      </c>
      <c r="CR12" s="511"/>
      <c r="CS12" s="96"/>
      <c r="CT12" s="99" t="s">
        <v>207</v>
      </c>
      <c r="CU12" s="80">
        <f>IF(ob13_2=0,0,
IF(desc13_2=0,CU7*ob13_2,
IF(desc_por_ob="No",0,
IF(AND(desc_por_ob="Yes",ob13_2&gt;desc13_2),"wrong data",(CU7*ob13_2)))))</f>
        <v>0</v>
      </c>
      <c r="CV12" s="80">
        <f>IF(ob13_2=0,0,
IF(desc13_2=0,CV7*ob13_2,
IF(desc_por_ob="No",0,
IF(AND(desc_por_ob="Yes",ob13_2&gt;desc13_2),"wrong data",(CV7*ob13_2)))))</f>
        <v>0</v>
      </c>
      <c r="CW12" s="80">
        <f>IF(ob13_2=0,0,
IF(desc13_2=0,CW7*ob13_2,
IF(desc_por_ob="No",0,
IF(AND(desc_por_ob="Yes",ob13_2&gt;desc13_2),"wrong data",(CW7*ob13_2)))))</f>
        <v>0</v>
      </c>
      <c r="CX12" s="80" t="s">
        <v>7</v>
      </c>
      <c r="CY12" s="80" t="s">
        <v>7</v>
      </c>
      <c r="CZ12" s="511"/>
      <c r="DA12" s="96"/>
      <c r="DB12" s="99" t="s">
        <v>207</v>
      </c>
      <c r="DC12" s="80">
        <f>IF(ob14_2=0,0,
IF(desc14_2=0,DC7*ob14_2,
IF(desc_por_ob="No",0,
IF(AND(desc_por_ob="Yes",ob14_2&gt;desc14_2),"wrong data",(DC7*ob14_2)))))</f>
        <v>0</v>
      </c>
      <c r="DD12" s="80">
        <f>IF(ob14_2=0,0,
IF(desc14_2=0,DD7*ob14_2,
IF(desc_por_ob="No",0,
IF(AND(desc_por_ob="Yes",ob14_2&gt;desc14_2),"wrong data",(DD7*ob14_2)))))</f>
        <v>0</v>
      </c>
      <c r="DE12" s="80">
        <f>IF(ob14_2=0,0,
IF(desc14_2=0,DE7*ob14_2,
IF(desc_por_ob="No",0,
IF(AND(desc_por_ob="Yes",ob14_2&gt;desc14_2),"wrong data",(DE7*ob14_2)))))</f>
        <v>0</v>
      </c>
      <c r="DF12" s="80" t="s">
        <v>7</v>
      </c>
      <c r="DG12" s="80" t="s">
        <v>7</v>
      </c>
      <c r="DH12" s="511"/>
      <c r="DI12" s="96"/>
    </row>
    <row r="13" spans="2:113" s="97" customFormat="1" ht="15" thickBot="1">
      <c r="B13" s="100" t="str">
        <f>IF(OR(uso=3,uso=4),"Progressed","Discontinued")</f>
        <v>Discontinued</v>
      </c>
      <c r="C13" s="315">
        <f>IF(desc1_2=0,0,
IF(AND(desc_por_ob="Yes",ob1_2&gt;desc1_2),"wrong data",C7-C11-C12))</f>
        <v>0</v>
      </c>
      <c r="D13" s="315">
        <f>IF(desc1_2=0,0,
IF(AND(desc_por_ob="Yes",ob1_2&gt;desc1_2),"wrong data",D7-D11-D12))</f>
        <v>0</v>
      </c>
      <c r="E13" s="315">
        <f>IF(desc1_2=0,0,
IF(AND(desc_por_ob="Yes",ob1_2&gt;desc1_2),"wrong data",E7-E11-E12))</f>
        <v>0</v>
      </c>
      <c r="F13" s="315" t="s">
        <v>7</v>
      </c>
      <c r="G13" s="315" t="s">
        <v>7</v>
      </c>
      <c r="H13" s="512"/>
      <c r="I13" s="96"/>
      <c r="J13" s="100" t="str">
        <f>IF(OR(uso=3,uso=4),"Progressed","Discontinued")</f>
        <v>Discontinued</v>
      </c>
      <c r="K13" s="315">
        <f>IF(desc2_2=0,0,
IF(AND(desc_por_ob="Yes",ob2_2&gt;desc2_2),"wrong data",K7-K11-K12))</f>
        <v>0</v>
      </c>
      <c r="L13" s="315">
        <f>IF(desc2_2=0,0,
IF(AND(desc_por_ob="Yes",ob2_2&gt;desc2_2),"wrong data",L7-L11-L12))</f>
        <v>0</v>
      </c>
      <c r="M13" s="315">
        <f>IF(desc2_2=0,0,
IF(AND(desc_por_ob="Yes",ob2_2&gt;desc2_2),"wrong data",M7-M11-M12))</f>
        <v>0</v>
      </c>
      <c r="N13" s="315" t="s">
        <v>7</v>
      </c>
      <c r="O13" s="315" t="s">
        <v>7</v>
      </c>
      <c r="P13" s="512"/>
      <c r="Q13" s="96"/>
      <c r="R13" s="100" t="s">
        <v>208</v>
      </c>
      <c r="S13" s="315">
        <f>IF(desc3_2=0,0,
IF(AND(desc_por_ob="Yes",ob3_2&gt;desc3_2),"wrong data",S7-S11-S12))</f>
        <v>0</v>
      </c>
      <c r="T13" s="315">
        <f>IF(desc3_2=0,0,
IF(AND(desc_por_ob="Yes",ob3_2&gt;desc3_2),"wrong data",T7-T11-T12))</f>
        <v>0</v>
      </c>
      <c r="U13" s="315">
        <f>IF(desc3_2=0,0,
IF(AND(desc_por_ob="Yes",ob3_2&gt;desc3_2),"wrong data",U7-U11-U12))</f>
        <v>0</v>
      </c>
      <c r="V13" s="315" t="s">
        <v>7</v>
      </c>
      <c r="W13" s="315" t="s">
        <v>7</v>
      </c>
      <c r="X13" s="512"/>
      <c r="Y13" s="96"/>
      <c r="Z13" s="100" t="s">
        <v>208</v>
      </c>
      <c r="AA13" s="315">
        <f>IF(desc4_2=0,0,
IF(AND(desc_por_ob="Yes",ob4_2&gt;desc4_2),"wrong data",AA7-AA11-AA12))</f>
        <v>0</v>
      </c>
      <c r="AB13" s="315">
        <f>IF(desc4_2=0,0,
IF(AND(desc_por_ob="Yes",ob4_2&gt;desc4_2),"wrong data",AB7-AB11-AB12))</f>
        <v>0</v>
      </c>
      <c r="AC13" s="315">
        <f>IF(desc4_2=0,0,
IF(AND(desc_por_ob="Yes",ob4_2&gt;desc4_2),"wrong data",AC7-AC11-AC12))</f>
        <v>0</v>
      </c>
      <c r="AD13" s="315" t="s">
        <v>7</v>
      </c>
      <c r="AE13" s="315" t="s">
        <v>7</v>
      </c>
      <c r="AF13" s="512"/>
      <c r="AG13" s="96"/>
      <c r="AH13" s="100" t="s">
        <v>208</v>
      </c>
      <c r="AI13" s="315">
        <f>IF(desc5_2=0,0,
IF(AND(desc_por_ob="Yes",ob5_2&gt;desc5_2),"wrong data",AI7-AI11-AI12))</f>
        <v>0</v>
      </c>
      <c r="AJ13" s="315">
        <f>IF(desc5_2=0,0,
IF(AND(desc_por_ob="Yes",ob5_2&gt;desc5_2),"wrong data",AJ7-AJ11-AJ12))</f>
        <v>0</v>
      </c>
      <c r="AK13" s="315">
        <f>IF(desc5_2=0,0,
IF(AND(desc_por_ob="Yes",ob5_2&gt;desc5_2),"wrong data",AK7-AK11-AK12))</f>
        <v>0</v>
      </c>
      <c r="AL13" s="315" t="s">
        <v>7</v>
      </c>
      <c r="AM13" s="315" t="s">
        <v>7</v>
      </c>
      <c r="AN13" s="512"/>
      <c r="AO13" s="96"/>
      <c r="AP13" s="100" t="s">
        <v>208</v>
      </c>
      <c r="AQ13" s="315">
        <f>IF(desc6_2=0,0,
IF(AND(desc_por_ob="Yes",ob6_2&gt;desc6_2),"wrong data",AQ7-AQ11-AQ12))</f>
        <v>0</v>
      </c>
      <c r="AR13" s="315">
        <f>IF(desc6_2=0,0,
IF(AND(desc_por_ob="Yes",ob6_2&gt;desc6_2),"wrong data",AR7-AR11-AR12))</f>
        <v>0</v>
      </c>
      <c r="AS13" s="315">
        <f>IF(desc6_2=0,0,
IF(AND(desc_por_ob="Yes",ob6_2&gt;desc6_2),"wrong data",AS7-AS11-AS12))</f>
        <v>0</v>
      </c>
      <c r="AT13" s="315" t="s">
        <v>7</v>
      </c>
      <c r="AU13" s="315" t="s">
        <v>7</v>
      </c>
      <c r="AV13" s="512"/>
      <c r="AW13" s="96"/>
      <c r="AX13" s="100" t="s">
        <v>208</v>
      </c>
      <c r="AY13" s="315">
        <f>IF(desc7_2=0,0,
IF(AND(desc_por_ob="Yes",ob7_2&gt;desc7_2),"wrong data",AY7-AY11-AY12))</f>
        <v>0</v>
      </c>
      <c r="AZ13" s="315">
        <f>IF(desc7_2=0,0,
IF(AND(desc_por_ob="Yes",ob7_2&gt;desc7_2),"wrong data",AZ7-AZ11-AZ12))</f>
        <v>0</v>
      </c>
      <c r="BA13" s="315">
        <f>IF(desc7_2=0,0,
IF(AND(desc_por_ob="Yes",ob7_2&gt;desc7_2),"wrong data",BA7-BA11-BA12))</f>
        <v>0</v>
      </c>
      <c r="BB13" s="315" t="s">
        <v>7</v>
      </c>
      <c r="BC13" s="315" t="s">
        <v>7</v>
      </c>
      <c r="BD13" s="512"/>
      <c r="BE13" s="96"/>
      <c r="BF13" s="100" t="s">
        <v>208</v>
      </c>
      <c r="BG13" s="315">
        <f>IF(desc8_2=0,0,
IF(AND(desc_por_ob="Yes",ob8_2&gt;desc8_2),"wrong data",BG7-BG11-BG12))</f>
        <v>0</v>
      </c>
      <c r="BH13" s="315">
        <f>IF(desc8_2=0,0,
IF(AND(desc_por_ob="Yes",ob8_2&gt;desc8_2),"wrong data",BH7-BH11-BH12))</f>
        <v>0</v>
      </c>
      <c r="BI13" s="315">
        <f>IF(desc8_2=0,0,
IF(AND(desc_por_ob="Yes",ob8_2&gt;desc8_2),"wrong data",BI7-BI11-BI12))</f>
        <v>0</v>
      </c>
      <c r="BJ13" s="315" t="s">
        <v>7</v>
      </c>
      <c r="BK13" s="315" t="s">
        <v>7</v>
      </c>
      <c r="BL13" s="512"/>
      <c r="BM13" s="96"/>
      <c r="BN13" s="100" t="s">
        <v>208</v>
      </c>
      <c r="BO13" s="315">
        <f>IF(desc9_2=0,0,
IF(AND(desc_por_ob="Yes",ob9_2&gt;desc9_2),"wrong data",BO7-BO11-BO12))</f>
        <v>0</v>
      </c>
      <c r="BP13" s="315">
        <f>IF(desc9_2=0,0,
IF(AND(desc_por_ob="Yes",ob9_2&gt;desc9_2),"wrong data",BP7-BP11-BP12))</f>
        <v>0</v>
      </c>
      <c r="BQ13" s="315">
        <f>IF(desc9_2=0,0,
IF(AND(desc_por_ob="Yes",ob9_2&gt;desc9_2),"wrong data",BQ7-BQ11-BQ12))</f>
        <v>0</v>
      </c>
      <c r="BR13" s="315" t="s">
        <v>7</v>
      </c>
      <c r="BS13" s="315" t="s">
        <v>7</v>
      </c>
      <c r="BT13" s="512"/>
      <c r="BU13" s="96"/>
      <c r="BV13" s="100" t="s">
        <v>208</v>
      </c>
      <c r="BW13" s="315">
        <f>IF(desc10_2=0,0,
IF(AND(desc_por_ob="Yes",ob10_2&gt;desc10_2),"wrong data",BW7-BW11-BW12))</f>
        <v>0</v>
      </c>
      <c r="BX13" s="315">
        <f>IF(desc10_2=0,0,
IF(AND(desc_por_ob="Yes",ob10_2&gt;desc10_2),"wrong data",BX7-BX11-BX12))</f>
        <v>0</v>
      </c>
      <c r="BY13" s="315">
        <f>IF(desc10_2=0,0,
IF(AND(desc_por_ob="Yes",ob10_2&gt;desc10_2),"wrong data",BY7-BY11-BY12))</f>
        <v>0</v>
      </c>
      <c r="BZ13" s="315" t="s">
        <v>7</v>
      </c>
      <c r="CA13" s="315" t="s">
        <v>7</v>
      </c>
      <c r="CB13" s="512"/>
      <c r="CC13" s="96"/>
      <c r="CD13" s="100" t="s">
        <v>208</v>
      </c>
      <c r="CE13" s="315">
        <f>IF(desc11_2=0,0,
IF(AND(desc_por_ob="Yes",ob11_2&gt;desc11_2),"wrong data",CE7-CE11-CE12))</f>
        <v>0</v>
      </c>
      <c r="CF13" s="315">
        <f>IF(desc11_2=0,0,
IF(AND(desc_por_ob="Yes",ob11_2&gt;desc11_2),"wrong data",CF7-CF11-CF12))</f>
        <v>0</v>
      </c>
      <c r="CG13" s="315">
        <f>IF(desc11_2=0,0,
IF(AND(desc_por_ob="Yes",ob11_2&gt;desc11_2),"wrong data",CG7-CG11-CG12))</f>
        <v>0</v>
      </c>
      <c r="CH13" s="315" t="s">
        <v>7</v>
      </c>
      <c r="CI13" s="315" t="s">
        <v>7</v>
      </c>
      <c r="CJ13" s="512"/>
      <c r="CK13" s="96"/>
      <c r="CL13" s="100" t="s">
        <v>208</v>
      </c>
      <c r="CM13" s="315">
        <f>IF(desc12_2=0,0,
IF(AND(desc_por_ob="Yes",ob12_2&gt;desc12_2),"wrong data",CM7-CM11-CM12))</f>
        <v>0</v>
      </c>
      <c r="CN13" s="315">
        <f>IF(desc12_2=0,0,
IF(AND(desc_por_ob="Yes",ob12_2&gt;desc12_2),"wrong data",CN7-CN11-CN12))</f>
        <v>0</v>
      </c>
      <c r="CO13" s="315">
        <f>IF(desc12_2=0,0,
IF(AND(desc_por_ob="Yes",ob12_2&gt;desc12_2),"wrong data",CO7-CO11-CO12))</f>
        <v>0</v>
      </c>
      <c r="CP13" s="315" t="s">
        <v>7</v>
      </c>
      <c r="CQ13" s="315" t="s">
        <v>7</v>
      </c>
      <c r="CR13" s="512"/>
      <c r="CS13" s="96"/>
      <c r="CT13" s="100" t="s">
        <v>208</v>
      </c>
      <c r="CU13" s="315">
        <f>IF(desc13_2=0,0,
IF(AND(desc_por_ob="Yes",ob13_2&gt;desc13_2),"wrong data",CU7-CU11-CU12))</f>
        <v>0</v>
      </c>
      <c r="CV13" s="315">
        <f>IF(desc13_2=0,0,
IF(AND(desc_por_ob="Yes",ob13_2&gt;desc13_2),"wrong data",CV7-CV11-CV12))</f>
        <v>0</v>
      </c>
      <c r="CW13" s="315">
        <f>IF(desc13_2=0,0,
IF(AND(desc_por_ob="Yes",ob13_2&gt;desc13_2),"wrong data",CW7-CW11-CW12))</f>
        <v>0</v>
      </c>
      <c r="CX13" s="315" t="s">
        <v>7</v>
      </c>
      <c r="CY13" s="315" t="s">
        <v>7</v>
      </c>
      <c r="CZ13" s="512"/>
      <c r="DA13" s="96"/>
      <c r="DB13" s="100" t="s">
        <v>208</v>
      </c>
      <c r="DC13" s="315">
        <f>IF(desc14_2=0,0,
IF(AND(desc_por_ob="Yes",ob14_2&gt;desc14_2),"wrong data",DC7-DC11-DC12))</f>
        <v>0</v>
      </c>
      <c r="DD13" s="315">
        <f>IF(desc14_2=0,0,
IF(AND(desc_por_ob="Yes",ob14_2&gt;desc14_2),"wrong data",DD7-DD11-DD12))</f>
        <v>0</v>
      </c>
      <c r="DE13" s="315">
        <f>IF(desc14_2=0,0,
IF(AND(desc_por_ob="Yes",ob14_2&gt;desc14_2),"wrong data",DE7-DE11-DE12))</f>
        <v>0</v>
      </c>
      <c r="DF13" s="315" t="s">
        <v>7</v>
      </c>
      <c r="DG13" s="315" t="s">
        <v>7</v>
      </c>
      <c r="DH13" s="512"/>
      <c r="DI13" s="96"/>
    </row>
    <row r="14" spans="2:113" s="97" customFormat="1" ht="15" customHeight="1">
      <c r="B14" s="98" t="str">
        <f>IF(OR(uso=3,uso=4),"Progression-free","On treatment")</f>
        <v>On treatment</v>
      </c>
      <c r="C14" s="314">
        <f>IF(AND(desc1_3=0,ob1_3=0),C11,
IF(AND(desc1_3=0,ob1_3&gt;0),C7*(1-ob1_3),C7*(1-desc1_3)))</f>
        <v>10517610.166747084</v>
      </c>
      <c r="D14" s="314">
        <f>IF(AND(desc1_3=0,ob1_3=0),D11,
IF(AND(desc1_3=0,ob1_3&gt;0),D7*(1-ob1_3),D7*(1-desc1_3)))</f>
        <v>86265.443560933694</v>
      </c>
      <c r="E14" s="314" t="s">
        <v>7</v>
      </c>
      <c r="F14" s="314" t="s">
        <v>7</v>
      </c>
      <c r="G14" s="314" t="s">
        <v>7</v>
      </c>
      <c r="H14" s="510" t="s">
        <v>307</v>
      </c>
      <c r="I14" s="96"/>
      <c r="J14" s="98" t="str">
        <f>IF(OR(uso=3,uso=4),"Progression-free","On treatment")</f>
        <v>On treatment</v>
      </c>
      <c r="K14" s="314">
        <f>IF(AND(desc2_3=0,ob2_3=0),K11,
IF(AND(desc2_3=0,ob2_3&gt;0),K7*(1-ob2_3),K7*(1-desc2_3)))</f>
        <v>10517610.166747084</v>
      </c>
      <c r="L14" s="314">
        <f>IF(AND(desc2_3=0,ob2_3=0),L11,
IF(AND(desc2_3=0,ob2_3&gt;0),L7*(1-ob2_3),L7*(1-desc2_3)))</f>
        <v>86265.443560933694</v>
      </c>
      <c r="M14" s="314" t="s">
        <v>7</v>
      </c>
      <c r="N14" s="314" t="s">
        <v>7</v>
      </c>
      <c r="O14" s="314" t="s">
        <v>7</v>
      </c>
      <c r="P14" s="510" t="s">
        <v>307</v>
      </c>
      <c r="Q14" s="96"/>
      <c r="R14" s="98" t="s">
        <v>206</v>
      </c>
      <c r="S14" s="314">
        <f>IF(AND(desc3_3=0,ob3_3=0),S11,
IF(AND(desc3_3=0,ob3_3&gt;0),S7*(1-ob3_3),S7*(1-desc3_3)))</f>
        <v>10517610.166747084</v>
      </c>
      <c r="T14" s="314">
        <f>IF(AND(desc3_3=0,ob3_3=0),T11,
IF(AND(desc3_3=0,ob3_3&gt;0),T7*(1-ob3_3),T7*(1-desc3_3)))</f>
        <v>86265.443560933694</v>
      </c>
      <c r="U14" s="314" t="s">
        <v>7</v>
      </c>
      <c r="V14" s="314" t="s">
        <v>7</v>
      </c>
      <c r="W14" s="314" t="s">
        <v>7</v>
      </c>
      <c r="X14" s="510" t="s">
        <v>307</v>
      </c>
      <c r="Y14" s="96"/>
      <c r="Z14" s="98" t="s">
        <v>206</v>
      </c>
      <c r="AA14" s="314">
        <f>IF(AND(desc4_3=0,ob4_3=0),AA11,
IF(AND(desc4_3=0,ob4_3&gt;0),AA7*(1-ob4_3),AA7*(1-desc4_3)))</f>
        <v>10517610.166747084</v>
      </c>
      <c r="AB14" s="314">
        <f>IF(AND(desc4_3=0,ob4_3=0),AB11,
IF(AND(desc4_3=0,ob4_3&gt;0),AB7*(1-ob4_3),AB7*(1-desc4_3)))</f>
        <v>86265.443560933694</v>
      </c>
      <c r="AC14" s="314" t="s">
        <v>7</v>
      </c>
      <c r="AD14" s="314" t="s">
        <v>7</v>
      </c>
      <c r="AE14" s="314" t="s">
        <v>7</v>
      </c>
      <c r="AF14" s="510" t="s">
        <v>307</v>
      </c>
      <c r="AG14" s="96"/>
      <c r="AH14" s="98" t="s">
        <v>206</v>
      </c>
      <c r="AI14" s="314">
        <f>IF(AND(desc5_3=0,ob5_3=0),AI11,
IF(AND(desc5_3=0,ob5_3&gt;0),AI7*(1-ob5_3),AI7*(1-desc5_3)))</f>
        <v>10517610.166747084</v>
      </c>
      <c r="AJ14" s="314">
        <f>IF(AND(desc5_3=0,ob5_3=0),AJ11,
IF(AND(desc5_3=0,ob5_3&gt;0),AJ7*(1-ob5_3),AJ7*(1-desc5_3)))</f>
        <v>86265.443560933694</v>
      </c>
      <c r="AK14" s="314" t="s">
        <v>7</v>
      </c>
      <c r="AL14" s="314" t="s">
        <v>7</v>
      </c>
      <c r="AM14" s="314" t="s">
        <v>7</v>
      </c>
      <c r="AN14" s="510" t="s">
        <v>307</v>
      </c>
      <c r="AO14" s="96"/>
      <c r="AP14" s="98" t="s">
        <v>206</v>
      </c>
      <c r="AQ14" s="314">
        <f>IF(AND(desc6_3=0,ob6_3=0),AQ11,
IF(AND(desc6_3=0,ob6_3&gt;0),AQ7*(1-ob6_3),AQ7*(1-desc6_3)))</f>
        <v>10517610.166747084</v>
      </c>
      <c r="AR14" s="314">
        <f>IF(AND(desc6_3=0,ob6_3=0),AR11,
IF(AND(desc6_3=0,ob6_3&gt;0),AR7*(1-ob6_3),AR7*(1-desc6_3)))</f>
        <v>86265.443560933694</v>
      </c>
      <c r="AS14" s="314" t="s">
        <v>7</v>
      </c>
      <c r="AT14" s="314" t="s">
        <v>7</v>
      </c>
      <c r="AU14" s="314" t="s">
        <v>7</v>
      </c>
      <c r="AV14" s="510" t="s">
        <v>307</v>
      </c>
      <c r="AW14" s="96"/>
      <c r="AX14" s="98" t="s">
        <v>206</v>
      </c>
      <c r="AY14" s="314">
        <f>IF(AND(desc7_3=0,ob7_3=0),AY11,
IF(AND(desc7_3=0,ob7_3&gt;0),AY7*(1-ob7_3),AY7*(1-desc7_3)))</f>
        <v>10517610.166747084</v>
      </c>
      <c r="AZ14" s="314">
        <f>IF(AND(desc7_3=0,ob7_3=0),AZ11,
IF(AND(desc7_3=0,ob7_3&gt;0),AZ7*(1-ob7_3),AZ7*(1-desc7_3)))</f>
        <v>86265.443560933694</v>
      </c>
      <c r="BA14" s="314" t="s">
        <v>7</v>
      </c>
      <c r="BB14" s="314" t="s">
        <v>7</v>
      </c>
      <c r="BC14" s="314" t="s">
        <v>7</v>
      </c>
      <c r="BD14" s="510" t="s">
        <v>307</v>
      </c>
      <c r="BE14" s="96"/>
      <c r="BF14" s="98" t="s">
        <v>206</v>
      </c>
      <c r="BG14" s="314">
        <f>IF(AND(desc8_3=0,ob8_3=0),BG11,
IF(AND(desc8_3=0,ob8_3&gt;0),BG7*(1-ob8_3),BG7*(1-desc8_3)))</f>
        <v>10517610.166747084</v>
      </c>
      <c r="BH14" s="314">
        <f>IF(AND(desc8_3=0,ob8_3=0),BH11,
IF(AND(desc8_3=0,ob8_3&gt;0),BH7*(1-ob8_3),BH7*(1-desc8_3)))</f>
        <v>86265.443560933694</v>
      </c>
      <c r="BI14" s="314" t="s">
        <v>7</v>
      </c>
      <c r="BJ14" s="314" t="s">
        <v>7</v>
      </c>
      <c r="BK14" s="314" t="s">
        <v>7</v>
      </c>
      <c r="BL14" s="510" t="s">
        <v>307</v>
      </c>
      <c r="BM14" s="96"/>
      <c r="BN14" s="98" t="s">
        <v>206</v>
      </c>
      <c r="BO14" s="314">
        <f>IF(AND(desc9_3=0,ob9_3=0),BO11,
IF(AND(desc9_3=0,ob9_3&gt;0),BO7*(1-ob9_3),BO7*(1-desc9_3)))</f>
        <v>10517610.166747084</v>
      </c>
      <c r="BP14" s="314">
        <f>IF(AND(desc9_3=0,ob9_3=0),BP11,
IF(AND(desc9_3=0,ob9_3&gt;0),BP7*(1-ob9_3),BP7*(1-desc9_3)))</f>
        <v>86265.443560933694</v>
      </c>
      <c r="BQ14" s="314" t="s">
        <v>7</v>
      </c>
      <c r="BR14" s="314" t="s">
        <v>7</v>
      </c>
      <c r="BS14" s="314" t="s">
        <v>7</v>
      </c>
      <c r="BT14" s="510" t="s">
        <v>307</v>
      </c>
      <c r="BU14" s="96"/>
      <c r="BV14" s="98" t="s">
        <v>206</v>
      </c>
      <c r="BW14" s="314">
        <f>IF(AND(desc10_3=0,ob10_3=0),BW11,
IF(AND(desc10_3=0,ob10_3&gt;0),BW7*(1-ob10_3),BW7*(1-desc10_3)))</f>
        <v>10517610.166747084</v>
      </c>
      <c r="BX14" s="314">
        <f>IF(AND(desc10_3=0,ob10_3=0),BX11,
IF(AND(desc10_3=0,ob10_3&gt;0),BX7*(1-ob10_3),BX7*(1-desc10_3)))</f>
        <v>86265.443560933694</v>
      </c>
      <c r="BY14" s="314" t="s">
        <v>7</v>
      </c>
      <c r="BZ14" s="314" t="s">
        <v>7</v>
      </c>
      <c r="CA14" s="314" t="s">
        <v>7</v>
      </c>
      <c r="CB14" s="510" t="s">
        <v>307</v>
      </c>
      <c r="CC14" s="96"/>
      <c r="CD14" s="98" t="s">
        <v>206</v>
      </c>
      <c r="CE14" s="314">
        <f>IF(AND(desc11_3=0,ob11_3=0),CE11,
IF(AND(desc11_3=0,ob11_3&gt;0),CE7*(1-ob11_3),CE7*(1-desc11_3)))</f>
        <v>10517610.166747084</v>
      </c>
      <c r="CF14" s="314">
        <f>IF(AND(desc11_3=0,ob11_3=0),CF11,
IF(AND(desc11_3=0,ob11_3&gt;0),CF7*(1-ob11_3),CF7*(1-desc11_3)))</f>
        <v>86265.443560933694</v>
      </c>
      <c r="CG14" s="314" t="s">
        <v>7</v>
      </c>
      <c r="CH14" s="314" t="s">
        <v>7</v>
      </c>
      <c r="CI14" s="314" t="s">
        <v>7</v>
      </c>
      <c r="CJ14" s="510" t="s">
        <v>307</v>
      </c>
      <c r="CK14" s="96"/>
      <c r="CL14" s="98" t="s">
        <v>206</v>
      </c>
      <c r="CM14" s="314">
        <f>IF(AND(desc12_3=0,ob12_3=0),CM11,
IF(AND(desc12_3=0,ob12_3&gt;0),CM7*(1-ob12_3),CM7*(1-desc12_3)))</f>
        <v>10517610.166747084</v>
      </c>
      <c r="CN14" s="314">
        <f>IF(AND(desc12_3=0,ob12_3=0),CN11,
IF(AND(desc12_3=0,ob12_3&gt;0),CN7*(1-ob12_3),CN7*(1-desc12_3)))</f>
        <v>86265.443560933694</v>
      </c>
      <c r="CO14" s="314" t="s">
        <v>7</v>
      </c>
      <c r="CP14" s="314" t="s">
        <v>7</v>
      </c>
      <c r="CQ14" s="314" t="s">
        <v>7</v>
      </c>
      <c r="CR14" s="510" t="s">
        <v>307</v>
      </c>
      <c r="CS14" s="96"/>
      <c r="CT14" s="98" t="s">
        <v>206</v>
      </c>
      <c r="CU14" s="314">
        <f>IF(AND(desc13_3=0,ob13_3=0),CU11,
IF(AND(desc13_3=0,ob13_3&gt;0),CU7*(1-ob13_3),CU7*(1-desc13_3)))</f>
        <v>10517610.166747084</v>
      </c>
      <c r="CV14" s="314">
        <f>IF(AND(desc13_3=0,ob13_3=0),CV11,
IF(AND(desc13_3=0,ob13_3&gt;0),CV7*(1-ob13_3),CV7*(1-desc13_3)))</f>
        <v>86265.443560933694</v>
      </c>
      <c r="CW14" s="314" t="s">
        <v>7</v>
      </c>
      <c r="CX14" s="314" t="s">
        <v>7</v>
      </c>
      <c r="CY14" s="314" t="s">
        <v>7</v>
      </c>
      <c r="CZ14" s="510" t="s">
        <v>307</v>
      </c>
      <c r="DA14" s="96"/>
      <c r="DB14" s="98" t="s">
        <v>206</v>
      </c>
      <c r="DC14" s="314">
        <f>IF(AND(desc14_3=0,ob14_3=0),DC11,
IF(AND(desc14_3=0,ob14_3&gt;0),DC7*(1-ob14_3),DC7*(1-desc14_3)))</f>
        <v>10517610.166747084</v>
      </c>
      <c r="DD14" s="314">
        <f>IF(AND(desc14_3=0,ob14_3=0),DD11,
IF(AND(desc14_3=0,ob14_3&gt;0),DD7*(1-ob14_3),DD7*(1-desc14_3)))</f>
        <v>86265.443560933694</v>
      </c>
      <c r="DE14" s="314" t="s">
        <v>7</v>
      </c>
      <c r="DF14" s="314" t="s">
        <v>7</v>
      </c>
      <c r="DG14" s="314" t="s">
        <v>7</v>
      </c>
      <c r="DH14" s="510" t="s">
        <v>307</v>
      </c>
      <c r="DI14" s="96"/>
    </row>
    <row r="15" spans="2:113" s="97" customFormat="1">
      <c r="B15" s="99" t="s">
        <v>207</v>
      </c>
      <c r="C15" s="80">
        <f>IF(ob1_3=0,0,
IF(desc1_3=0,C7*ob1_3,
IF(desc_por_ob="No",0,
IF(AND(desc_por_ob="Yes",ob1_3&gt;desc1_3),"wrong data",(C7*ob1_3)))))</f>
        <v>0</v>
      </c>
      <c r="D15" s="80">
        <f>IF(ob1_3=0,0,
IF(desc1_3=0,D7*ob1_3,
IF(desc_por_ob="No",0,
IF(AND(desc_por_ob="Yes",ob1_3&gt;desc1_3),"wrong data",(D7*ob1_3)))))</f>
        <v>0</v>
      </c>
      <c r="E15" s="80" t="s">
        <v>7</v>
      </c>
      <c r="F15" s="80" t="s">
        <v>7</v>
      </c>
      <c r="G15" s="80" t="s">
        <v>7</v>
      </c>
      <c r="H15" s="511"/>
      <c r="I15" s="96"/>
      <c r="J15" s="99" t="s">
        <v>207</v>
      </c>
      <c r="K15" s="80">
        <f>IF(ob2_3=0,0,
IF(desc2_3=0,K7*ob2_3,
IF(desc_por_ob="No",0,
IF(AND(desc_por_ob="Yes",ob2_3&gt;desc2_3),"wrong data",(K7*ob2_3)))))</f>
        <v>0</v>
      </c>
      <c r="L15" s="80">
        <f>IF(ob2_3=0,0,
IF(desc2_3=0,L7*ob2_3,
IF(desc_por_ob="No",0,
IF(AND(desc_por_ob="Yes",ob2_3&gt;desc2_3),"wrong data",(L7*ob2_3)))))</f>
        <v>0</v>
      </c>
      <c r="M15" s="80" t="s">
        <v>7</v>
      </c>
      <c r="N15" s="80" t="s">
        <v>7</v>
      </c>
      <c r="O15" s="80" t="s">
        <v>7</v>
      </c>
      <c r="P15" s="511"/>
      <c r="Q15" s="96"/>
      <c r="R15" s="99" t="s">
        <v>207</v>
      </c>
      <c r="S15" s="80">
        <f>IF(ob3_3=0,0,
IF(desc3_3=0,S7*ob3_3,
IF(desc_por_ob="No",0,
IF(AND(desc_por_ob="Yes",ob3_3&gt;desc3_3),"wrong data",(S7*ob3_3)))))</f>
        <v>0</v>
      </c>
      <c r="T15" s="80">
        <f>IF(ob3_3=0,0,
IF(desc3_3=0,T7*ob3_3,
IF(desc_por_ob="No",0,
IF(AND(desc_por_ob="Yes",ob3_3&gt;desc3_3),"wrong data",(T7*ob3_3)))))</f>
        <v>0</v>
      </c>
      <c r="U15" s="80" t="s">
        <v>7</v>
      </c>
      <c r="V15" s="80" t="s">
        <v>7</v>
      </c>
      <c r="W15" s="80" t="s">
        <v>7</v>
      </c>
      <c r="X15" s="511"/>
      <c r="Y15" s="96"/>
      <c r="Z15" s="99" t="s">
        <v>207</v>
      </c>
      <c r="AA15" s="80">
        <f>IF(ob4_3=0,0,
IF(desc4_3=0,AA7*ob4_3,
IF(desc_por_ob="No",0,
IF(AND(desc_por_ob="Yes",ob4_3&gt;desc4_3),"wrong data",(AA7*ob4_3)))))</f>
        <v>0</v>
      </c>
      <c r="AB15" s="80">
        <f>IF(ob4_3=0,0,
IF(desc4_3=0,AB7*ob4_3,
IF(desc_por_ob="No",0,
IF(AND(desc_por_ob="Yes",ob4_3&gt;desc4_3),"wrong data",(AB7*ob4_3)))))</f>
        <v>0</v>
      </c>
      <c r="AC15" s="80" t="s">
        <v>7</v>
      </c>
      <c r="AD15" s="80" t="s">
        <v>7</v>
      </c>
      <c r="AE15" s="80" t="s">
        <v>7</v>
      </c>
      <c r="AF15" s="511"/>
      <c r="AG15" s="96"/>
      <c r="AH15" s="99" t="s">
        <v>207</v>
      </c>
      <c r="AI15" s="80">
        <f>IF(ob5_3=0,0,
IF(desc5_3=0,AI7*ob5_3,
IF(desc_por_ob="No",0,
IF(AND(desc_por_ob="Yes",ob5_3&gt;desc5_3),"wrong data",(AI7*ob5_3)))))</f>
        <v>0</v>
      </c>
      <c r="AJ15" s="80">
        <f>IF(ob5_3=0,0,
IF(desc5_3=0,AJ7*ob5_3,
IF(desc_por_ob="No",0,
IF(AND(desc_por_ob="Yes",ob5_3&gt;desc5_3),"wrong data",(AJ7*ob5_3)))))</f>
        <v>0</v>
      </c>
      <c r="AK15" s="80" t="s">
        <v>7</v>
      </c>
      <c r="AL15" s="80" t="s">
        <v>7</v>
      </c>
      <c r="AM15" s="80" t="s">
        <v>7</v>
      </c>
      <c r="AN15" s="511"/>
      <c r="AO15" s="96"/>
      <c r="AP15" s="99" t="s">
        <v>207</v>
      </c>
      <c r="AQ15" s="80">
        <f>IF(ob6_3=0,0,
IF(desc6_3=0,AQ7*ob6_3,
IF(desc_por_ob="No",0,
IF(AND(desc_por_ob="Yes",ob6_3&gt;desc6_3),"wrong data",(AQ7*ob6_3)))))</f>
        <v>0</v>
      </c>
      <c r="AR15" s="80">
        <f>IF(ob6_3=0,0,
IF(desc6_3=0,AR7*ob6_3,
IF(desc_por_ob="No",0,
IF(AND(desc_por_ob="Yes",ob6_3&gt;desc6_3),"wrong data",(AR7*ob6_3)))))</f>
        <v>0</v>
      </c>
      <c r="AS15" s="80" t="s">
        <v>7</v>
      </c>
      <c r="AT15" s="80" t="s">
        <v>7</v>
      </c>
      <c r="AU15" s="80" t="s">
        <v>7</v>
      </c>
      <c r="AV15" s="511"/>
      <c r="AW15" s="96"/>
      <c r="AX15" s="99" t="s">
        <v>207</v>
      </c>
      <c r="AY15" s="80">
        <f>IF(ob7_3=0,0,
IF(desc7_3=0,AY7*ob7_3,
IF(desc_por_ob="No",0,
IF(AND(desc_por_ob="Yes",ob7_3&gt;desc7_3),"wrong data",(AY7*ob7_3)))))</f>
        <v>0</v>
      </c>
      <c r="AZ15" s="80">
        <f>IF(ob7_3=0,0,
IF(desc7_3=0,AZ7*ob7_3,
IF(desc_por_ob="No",0,
IF(AND(desc_por_ob="Yes",ob7_3&gt;desc7_3),"wrong data",(AZ7*ob7_3)))))</f>
        <v>0</v>
      </c>
      <c r="BA15" s="80" t="s">
        <v>7</v>
      </c>
      <c r="BB15" s="80" t="s">
        <v>7</v>
      </c>
      <c r="BC15" s="80" t="s">
        <v>7</v>
      </c>
      <c r="BD15" s="511"/>
      <c r="BE15" s="96"/>
      <c r="BF15" s="99" t="s">
        <v>207</v>
      </c>
      <c r="BG15" s="80">
        <f>IF(ob8_3=0,0,
IF(desc8_3=0,BG7*ob8_3,
IF(desc_por_ob="No",0,
IF(AND(desc_por_ob="Yes",ob8_3&gt;desc8_3),"wrong data",(BG7*ob8_3)))))</f>
        <v>0</v>
      </c>
      <c r="BH15" s="80">
        <f>IF(ob8_3=0,0,
IF(desc8_3=0,BH7*ob8_3,
IF(desc_por_ob="No",0,
IF(AND(desc_por_ob="Yes",ob8_3&gt;desc8_3),"wrong data",(BH7*ob8_3)))))</f>
        <v>0</v>
      </c>
      <c r="BI15" s="80" t="s">
        <v>7</v>
      </c>
      <c r="BJ15" s="80" t="s">
        <v>7</v>
      </c>
      <c r="BK15" s="80" t="s">
        <v>7</v>
      </c>
      <c r="BL15" s="511"/>
      <c r="BM15" s="96"/>
      <c r="BN15" s="99" t="s">
        <v>207</v>
      </c>
      <c r="BO15" s="80">
        <f>IF(ob9_3=0,0,
IF(desc9_3=0,BO7*ob9_3,
IF(desc_por_ob="No",0,
IF(AND(desc_por_ob="Yes",ob9_3&gt;desc9_3),"wrong data",(BO7*ob9_3)))))</f>
        <v>0</v>
      </c>
      <c r="BP15" s="80">
        <f>IF(ob9_3=0,0,
IF(desc9_3=0,BP7*ob9_3,
IF(desc_por_ob="No",0,
IF(AND(desc_por_ob="Yes",ob9_3&gt;desc9_3),"wrong data",(BP7*ob9_3)))))</f>
        <v>0</v>
      </c>
      <c r="BQ15" s="80" t="s">
        <v>7</v>
      </c>
      <c r="BR15" s="80" t="s">
        <v>7</v>
      </c>
      <c r="BS15" s="80" t="s">
        <v>7</v>
      </c>
      <c r="BT15" s="511"/>
      <c r="BU15" s="96"/>
      <c r="BV15" s="99" t="s">
        <v>207</v>
      </c>
      <c r="BW15" s="80">
        <f>IF(ob10_3=0,0,
IF(desc10_3=0,BW7*ob10_3,
IF(desc_por_ob="No",0,
IF(AND(desc_por_ob="Yes",ob10_3&gt;desc10_3),"wrong data",(BW7*ob10_3)))))</f>
        <v>0</v>
      </c>
      <c r="BX15" s="80">
        <f>IF(ob10_3=0,0,
IF(desc10_3=0,BX7*ob10_3,
IF(desc_por_ob="No",0,
IF(AND(desc_por_ob="Yes",ob10_3&gt;desc10_3),"wrong data",(BX7*ob10_3)))))</f>
        <v>0</v>
      </c>
      <c r="BY15" s="80" t="s">
        <v>7</v>
      </c>
      <c r="BZ15" s="80" t="s">
        <v>7</v>
      </c>
      <c r="CA15" s="80" t="s">
        <v>7</v>
      </c>
      <c r="CB15" s="511"/>
      <c r="CC15" s="96"/>
      <c r="CD15" s="99" t="s">
        <v>207</v>
      </c>
      <c r="CE15" s="80">
        <f>IF(ob11_3=0,0,
IF(desc11_3=0,CE7*ob11_3,
IF(desc_por_ob="No",0,
IF(AND(desc_por_ob="Yes",ob11_3&gt;desc11_3),"wrong data",(CE7*ob11_3)))))</f>
        <v>0</v>
      </c>
      <c r="CF15" s="80">
        <f>IF(ob11_3=0,0,
IF(desc11_3=0,CF7*ob11_3,
IF(desc_por_ob="No",0,
IF(AND(desc_por_ob="Yes",ob11_3&gt;desc11_3),"wrong data",(CF7*ob11_3)))))</f>
        <v>0</v>
      </c>
      <c r="CG15" s="80" t="s">
        <v>7</v>
      </c>
      <c r="CH15" s="80" t="s">
        <v>7</v>
      </c>
      <c r="CI15" s="80" t="s">
        <v>7</v>
      </c>
      <c r="CJ15" s="511"/>
      <c r="CK15" s="96"/>
      <c r="CL15" s="99" t="s">
        <v>207</v>
      </c>
      <c r="CM15" s="80">
        <f>IF(ob12_3=0,0,
IF(desc12_3=0,CM7*ob12_3,
IF(desc_por_ob="No",0,
IF(AND(desc_por_ob="Yes",ob12_3&gt;desc12_3),"wrong data",(CM7*ob12_3)))))</f>
        <v>0</v>
      </c>
      <c r="CN15" s="80">
        <f>IF(ob12_3=0,0,
IF(desc12_3=0,CN7*ob12_3,
IF(desc_por_ob="No",0,
IF(AND(desc_por_ob="Yes",ob12_3&gt;desc12_3),"wrong data",(CN7*ob12_3)))))</f>
        <v>0</v>
      </c>
      <c r="CO15" s="80" t="s">
        <v>7</v>
      </c>
      <c r="CP15" s="80" t="s">
        <v>7</v>
      </c>
      <c r="CQ15" s="80" t="s">
        <v>7</v>
      </c>
      <c r="CR15" s="511"/>
      <c r="CS15" s="96"/>
      <c r="CT15" s="99" t="s">
        <v>207</v>
      </c>
      <c r="CU15" s="80">
        <f>IF(ob13_3=0,0,
IF(desc13_3=0,CU7*ob13_3,
IF(desc_por_ob="No",0,
IF(AND(desc_por_ob="Yes",ob13_3&gt;desc13_3),"wrong data",(CU7*ob13_3)))))</f>
        <v>0</v>
      </c>
      <c r="CV15" s="80">
        <f>IF(ob13_3=0,0,
IF(desc13_3=0,CV7*ob13_3,
IF(desc_por_ob="No",0,
IF(AND(desc_por_ob="Yes",ob13_3&gt;desc13_3),"wrong data",(CV7*ob13_3)))))</f>
        <v>0</v>
      </c>
      <c r="CW15" s="80" t="s">
        <v>7</v>
      </c>
      <c r="CX15" s="80" t="s">
        <v>7</v>
      </c>
      <c r="CY15" s="80" t="s">
        <v>7</v>
      </c>
      <c r="CZ15" s="511"/>
      <c r="DA15" s="96"/>
      <c r="DB15" s="99" t="s">
        <v>207</v>
      </c>
      <c r="DC15" s="80">
        <f>IF(ob14_3=0,0,
IF(desc14_3=0,DC7*ob14_3,
IF(desc_por_ob="No",0,
IF(AND(desc_por_ob="Yes",ob14_3&gt;desc14_3),"wrong data",(DC7*ob14_3)))))</f>
        <v>0</v>
      </c>
      <c r="DD15" s="80">
        <f>IF(ob14_3=0,0,
IF(desc14_3=0,DD7*ob14_3,
IF(desc_por_ob="No",0,
IF(AND(desc_por_ob="Yes",ob14_3&gt;desc14_3),"wrong data",(DD7*ob14_3)))))</f>
        <v>0</v>
      </c>
      <c r="DE15" s="80" t="s">
        <v>7</v>
      </c>
      <c r="DF15" s="80" t="s">
        <v>7</v>
      </c>
      <c r="DG15" s="80" t="s">
        <v>7</v>
      </c>
      <c r="DH15" s="511"/>
      <c r="DI15" s="96"/>
    </row>
    <row r="16" spans="2:113" s="97" customFormat="1" ht="15" thickBot="1">
      <c r="B16" s="100" t="str">
        <f>IF(OR(uso=3,uso=4),"Progressed","Discontinued")</f>
        <v>Discontinued</v>
      </c>
      <c r="C16" s="315">
        <f>IF(desc1_3=0,0,
IF(AND(desc_por_ob="Yes",ob1_3&gt;desc1_3),"wrong data",C7-C14-C15))</f>
        <v>0</v>
      </c>
      <c r="D16" s="315">
        <f>IF(desc1_3=0,0,
IF(AND(desc_por_ob="Yes",ob1_3&gt;desc1_3),"wrong data",D7-D14-D15))</f>
        <v>0</v>
      </c>
      <c r="E16" s="315" t="s">
        <v>7</v>
      </c>
      <c r="F16" s="315" t="s">
        <v>7</v>
      </c>
      <c r="G16" s="315" t="s">
        <v>7</v>
      </c>
      <c r="H16" s="512"/>
      <c r="I16" s="96"/>
      <c r="J16" s="100" t="str">
        <f>IF(OR(uso=3,uso=4),"Progressed","Discontinued")</f>
        <v>Discontinued</v>
      </c>
      <c r="K16" s="315">
        <f>IF(desc2_3=0,0,
IF(AND(desc_por_ob="Yes",ob2_3&gt;desc2_3),"wrong data",K7-K14-K15))</f>
        <v>0</v>
      </c>
      <c r="L16" s="315">
        <f>IF(desc2_3=0,0,
IF(AND(desc_por_ob="Yes",ob2_3&gt;desc2_3),"wrong data",L7-L14-L15))</f>
        <v>0</v>
      </c>
      <c r="M16" s="315" t="s">
        <v>7</v>
      </c>
      <c r="N16" s="315" t="s">
        <v>7</v>
      </c>
      <c r="O16" s="315" t="s">
        <v>7</v>
      </c>
      <c r="P16" s="512"/>
      <c r="Q16" s="96"/>
      <c r="R16" s="100" t="s">
        <v>208</v>
      </c>
      <c r="S16" s="315">
        <f>IF(desc3_3=0,0,
IF(AND(desc_por_ob="Yes",ob3_3&gt;desc3_3),"wrong data",S7-S14-S15))</f>
        <v>0</v>
      </c>
      <c r="T16" s="315">
        <f>IF(desc3_3=0,0,
IF(AND(desc_por_ob="Yes",ob3_3&gt;desc3_3),"wrong data",T7-T14-T15))</f>
        <v>0</v>
      </c>
      <c r="U16" s="315" t="s">
        <v>7</v>
      </c>
      <c r="V16" s="315" t="s">
        <v>7</v>
      </c>
      <c r="W16" s="315" t="s">
        <v>7</v>
      </c>
      <c r="X16" s="512"/>
      <c r="Y16" s="96"/>
      <c r="Z16" s="100" t="s">
        <v>208</v>
      </c>
      <c r="AA16" s="315">
        <f>IF(desc4_3=0,0,
IF(AND(desc_por_ob="Yes",ob4_3&gt;desc4_3),"wrong data",AA7-AA14-AA15))</f>
        <v>0</v>
      </c>
      <c r="AB16" s="315">
        <f>IF(desc4_3=0,0,
IF(AND(desc_por_ob="Yes",ob4_3&gt;desc4_3),"wrong data",AB7-AB14-AB15))</f>
        <v>0</v>
      </c>
      <c r="AC16" s="315" t="s">
        <v>7</v>
      </c>
      <c r="AD16" s="315" t="s">
        <v>7</v>
      </c>
      <c r="AE16" s="315" t="s">
        <v>7</v>
      </c>
      <c r="AF16" s="512"/>
      <c r="AG16" s="96"/>
      <c r="AH16" s="100" t="s">
        <v>208</v>
      </c>
      <c r="AI16" s="315">
        <f>IF(desc5_3=0,0,
IF(AND(desc_por_ob="Yes",ob5_3&gt;desc5_3),"wrong data",AI7-AI14-AI15))</f>
        <v>0</v>
      </c>
      <c r="AJ16" s="315">
        <f>IF(desc5_3=0,0,
IF(AND(desc_por_ob="Yes",ob5_3&gt;desc5_3),"wrong data",AJ7-AJ14-AJ15))</f>
        <v>0</v>
      </c>
      <c r="AK16" s="315" t="s">
        <v>7</v>
      </c>
      <c r="AL16" s="315" t="s">
        <v>7</v>
      </c>
      <c r="AM16" s="315" t="s">
        <v>7</v>
      </c>
      <c r="AN16" s="512"/>
      <c r="AO16" s="96"/>
      <c r="AP16" s="100" t="s">
        <v>208</v>
      </c>
      <c r="AQ16" s="315">
        <f>IF(desc6_3=0,0,
IF(AND(desc_por_ob="Yes",ob6_3&gt;desc6_3),"wrong data",AQ7-AQ14-AQ15))</f>
        <v>0</v>
      </c>
      <c r="AR16" s="315">
        <f>IF(desc6_3=0,0,
IF(AND(desc_por_ob="Yes",ob6_3&gt;desc6_3),"wrong data",AR7-AR14-AR15))</f>
        <v>0</v>
      </c>
      <c r="AS16" s="315" t="s">
        <v>7</v>
      </c>
      <c r="AT16" s="315" t="s">
        <v>7</v>
      </c>
      <c r="AU16" s="315" t="s">
        <v>7</v>
      </c>
      <c r="AV16" s="512"/>
      <c r="AW16" s="96"/>
      <c r="AX16" s="100" t="s">
        <v>208</v>
      </c>
      <c r="AY16" s="315">
        <f>IF(desc7_3=0,0,
IF(AND(desc_por_ob="Yes",ob7_3&gt;desc7_3),"wrong data",AY7-AY14-AY15))</f>
        <v>0</v>
      </c>
      <c r="AZ16" s="315">
        <f>IF(desc7_3=0,0,
IF(AND(desc_por_ob="Yes",ob7_3&gt;desc7_3),"wrong data",AZ7-AZ14-AZ15))</f>
        <v>0</v>
      </c>
      <c r="BA16" s="315" t="s">
        <v>7</v>
      </c>
      <c r="BB16" s="315" t="s">
        <v>7</v>
      </c>
      <c r="BC16" s="315" t="s">
        <v>7</v>
      </c>
      <c r="BD16" s="512"/>
      <c r="BE16" s="96"/>
      <c r="BF16" s="100" t="s">
        <v>208</v>
      </c>
      <c r="BG16" s="315">
        <f>IF(desc8_3=0,0,
IF(AND(desc_por_ob="Yes",ob8_3&gt;desc8_3),"wrong data",BG7-BG14-BG15))</f>
        <v>0</v>
      </c>
      <c r="BH16" s="315">
        <f>IF(desc8_3=0,0,
IF(AND(desc_por_ob="Yes",ob8_3&gt;desc8_3),"wrong data",BH7-BH14-BH15))</f>
        <v>0</v>
      </c>
      <c r="BI16" s="315" t="s">
        <v>7</v>
      </c>
      <c r="BJ16" s="315" t="s">
        <v>7</v>
      </c>
      <c r="BK16" s="315" t="s">
        <v>7</v>
      </c>
      <c r="BL16" s="512"/>
      <c r="BM16" s="96"/>
      <c r="BN16" s="100" t="s">
        <v>208</v>
      </c>
      <c r="BO16" s="315">
        <f>IF(desc9_3=0,0,
IF(AND(desc_por_ob="Yes",ob9_3&gt;desc9_3),"wrong data",BO7-BO14-BO15))</f>
        <v>0</v>
      </c>
      <c r="BP16" s="315">
        <f>IF(desc9_3=0,0,
IF(AND(desc_por_ob="Yes",ob9_3&gt;desc9_3),"wrong data",BP7-BP14-BP15))</f>
        <v>0</v>
      </c>
      <c r="BQ16" s="315" t="s">
        <v>7</v>
      </c>
      <c r="BR16" s="315" t="s">
        <v>7</v>
      </c>
      <c r="BS16" s="315" t="s">
        <v>7</v>
      </c>
      <c r="BT16" s="512"/>
      <c r="BU16" s="96"/>
      <c r="BV16" s="100" t="s">
        <v>208</v>
      </c>
      <c r="BW16" s="315">
        <f>IF(desc10_3=0,0,
IF(AND(desc_por_ob="Yes",ob10_3&gt;desc10_3),"wrong data",BW7-BW14-BW15))</f>
        <v>0</v>
      </c>
      <c r="BX16" s="315">
        <f>IF(desc10_3=0,0,
IF(AND(desc_por_ob="Yes",ob10_3&gt;desc10_3),"wrong data",BX7-BX14-BX15))</f>
        <v>0</v>
      </c>
      <c r="BY16" s="315" t="s">
        <v>7</v>
      </c>
      <c r="BZ16" s="315" t="s">
        <v>7</v>
      </c>
      <c r="CA16" s="315" t="s">
        <v>7</v>
      </c>
      <c r="CB16" s="512"/>
      <c r="CC16" s="96"/>
      <c r="CD16" s="100" t="s">
        <v>208</v>
      </c>
      <c r="CE16" s="315">
        <f>IF(desc11_3=0,0,
IF(AND(desc_por_ob="Yes",ob11_3&gt;desc11_3),"wrong data",CE7-CE14-CE15))</f>
        <v>0</v>
      </c>
      <c r="CF16" s="315">
        <f>IF(desc11_3=0,0,
IF(AND(desc_por_ob="Yes",ob11_3&gt;desc11_3),"wrong data",CF7-CF14-CF15))</f>
        <v>0</v>
      </c>
      <c r="CG16" s="315" t="s">
        <v>7</v>
      </c>
      <c r="CH16" s="315" t="s">
        <v>7</v>
      </c>
      <c r="CI16" s="315" t="s">
        <v>7</v>
      </c>
      <c r="CJ16" s="512"/>
      <c r="CK16" s="96"/>
      <c r="CL16" s="100" t="s">
        <v>208</v>
      </c>
      <c r="CM16" s="315">
        <f>IF(desc12_3=0,0,
IF(AND(desc_por_ob="Yes",ob12_3&gt;desc12_3),"wrong data",CM7-CM14-CM15))</f>
        <v>0</v>
      </c>
      <c r="CN16" s="315">
        <f>IF(desc12_3=0,0,
IF(AND(desc_por_ob="Yes",ob12_3&gt;desc12_3),"wrong data",CN7-CN14-CN15))</f>
        <v>0</v>
      </c>
      <c r="CO16" s="315" t="s">
        <v>7</v>
      </c>
      <c r="CP16" s="315" t="s">
        <v>7</v>
      </c>
      <c r="CQ16" s="315" t="s">
        <v>7</v>
      </c>
      <c r="CR16" s="512"/>
      <c r="CS16" s="96"/>
      <c r="CT16" s="100" t="s">
        <v>208</v>
      </c>
      <c r="CU16" s="315">
        <f>IF(desc13_3=0,0,
IF(AND(desc_por_ob="Yes",ob13_3&gt;desc13_3),"wrong data",CU7-CU14-CU15))</f>
        <v>0</v>
      </c>
      <c r="CV16" s="315">
        <f>IF(desc13_3=0,0,
IF(AND(desc_por_ob="Yes",ob13_3&gt;desc13_3),"wrong data",CV7-CV14-CV15))</f>
        <v>0</v>
      </c>
      <c r="CW16" s="315" t="s">
        <v>7</v>
      </c>
      <c r="CX16" s="315" t="s">
        <v>7</v>
      </c>
      <c r="CY16" s="315" t="s">
        <v>7</v>
      </c>
      <c r="CZ16" s="512"/>
      <c r="DA16" s="96"/>
      <c r="DB16" s="100" t="s">
        <v>208</v>
      </c>
      <c r="DC16" s="315">
        <f>IF(desc14_3=0,0,
IF(AND(desc_por_ob="Yes",ob14_3&gt;desc14_3),"wrong data",DC7-DC14-DC15))</f>
        <v>0</v>
      </c>
      <c r="DD16" s="315">
        <f>IF(desc14_3=0,0,
IF(AND(desc_por_ob="Yes",ob14_3&gt;desc14_3),"wrong data",DD7-DD14-DD15))</f>
        <v>0</v>
      </c>
      <c r="DE16" s="315" t="s">
        <v>7</v>
      </c>
      <c r="DF16" s="315" t="s">
        <v>7</v>
      </c>
      <c r="DG16" s="315" t="s">
        <v>7</v>
      </c>
      <c r="DH16" s="512"/>
      <c r="DI16" s="96"/>
    </row>
    <row r="17" spans="2:113" s="97" customFormat="1" ht="15" customHeight="1">
      <c r="B17" s="98" t="str">
        <f>IF(OR(uso=3,uso=4),"Progression-free","On treatment")</f>
        <v>On treatment</v>
      </c>
      <c r="C17" s="314">
        <f>IF(AND(desc1_4=0,ob1_4=0),C14,
IF(AND(desc1_4=0,ob1_4&gt;0),C7*(1-ob1_4),C7*(1-desc1_4)))</f>
        <v>10517610.166747084</v>
      </c>
      <c r="D17" s="314" t="s">
        <v>7</v>
      </c>
      <c r="E17" s="314" t="s">
        <v>7</v>
      </c>
      <c r="F17" s="314" t="s">
        <v>7</v>
      </c>
      <c r="G17" s="314" t="s">
        <v>7</v>
      </c>
      <c r="H17" s="510" t="s">
        <v>308</v>
      </c>
      <c r="I17" s="96"/>
      <c r="J17" s="98" t="str">
        <f>IF(OR(uso=3,uso=4),"Progression-free","On treatment")</f>
        <v>On treatment</v>
      </c>
      <c r="K17" s="314">
        <f>IF(AND(desc2_4=0,ob2_4=0),K14,
IF(AND(desc2_4=0,ob2_4&gt;0),K7*(1-ob2_4),K7*(1-desc2_4)))</f>
        <v>10517610.166747084</v>
      </c>
      <c r="L17" s="314" t="s">
        <v>7</v>
      </c>
      <c r="M17" s="314" t="s">
        <v>7</v>
      </c>
      <c r="N17" s="314" t="s">
        <v>7</v>
      </c>
      <c r="O17" s="314" t="s">
        <v>7</v>
      </c>
      <c r="P17" s="510" t="s">
        <v>308</v>
      </c>
      <c r="Q17" s="96"/>
      <c r="R17" s="98" t="s">
        <v>206</v>
      </c>
      <c r="S17" s="314">
        <f>IF(AND(desc3_4=0,ob3_4=0),S14,
IF(AND(desc3_4=0,ob3_4&gt;0),S7*(1-ob3_4),S7*(1-desc3_4)))</f>
        <v>10517610.166747084</v>
      </c>
      <c r="T17" s="314" t="s">
        <v>7</v>
      </c>
      <c r="U17" s="314" t="s">
        <v>7</v>
      </c>
      <c r="V17" s="314" t="s">
        <v>7</v>
      </c>
      <c r="W17" s="314" t="s">
        <v>7</v>
      </c>
      <c r="X17" s="510" t="s">
        <v>308</v>
      </c>
      <c r="Y17" s="96"/>
      <c r="Z17" s="98" t="s">
        <v>206</v>
      </c>
      <c r="AA17" s="314">
        <f>IF(AND(desc4_4=0,ob4_4=0),AA14,
IF(AND(desc4_4=0,ob4_4&gt;0),AA7*(1-ob4_4),AA7*(1-desc4_4)))</f>
        <v>10517610.166747084</v>
      </c>
      <c r="AB17" s="314" t="s">
        <v>7</v>
      </c>
      <c r="AC17" s="314" t="s">
        <v>7</v>
      </c>
      <c r="AD17" s="314" t="s">
        <v>7</v>
      </c>
      <c r="AE17" s="314" t="s">
        <v>7</v>
      </c>
      <c r="AF17" s="510" t="s">
        <v>308</v>
      </c>
      <c r="AG17" s="96"/>
      <c r="AH17" s="98" t="s">
        <v>206</v>
      </c>
      <c r="AI17" s="314">
        <f>IF(AND(desc5_4=0,ob5_4=0),AI14,
IF(AND(desc5_4=0,ob5_4&gt;0),AI7*(1-ob5_4),AI7*(1-desc5_4)))</f>
        <v>10517610.166747084</v>
      </c>
      <c r="AJ17" s="314" t="s">
        <v>7</v>
      </c>
      <c r="AK17" s="314" t="s">
        <v>7</v>
      </c>
      <c r="AL17" s="314" t="s">
        <v>7</v>
      </c>
      <c r="AM17" s="314" t="s">
        <v>7</v>
      </c>
      <c r="AN17" s="510" t="s">
        <v>308</v>
      </c>
      <c r="AO17" s="96"/>
      <c r="AP17" s="98" t="s">
        <v>206</v>
      </c>
      <c r="AQ17" s="314">
        <f>IF(AND(desc6_4=0,ob6_4=0),AQ14,
IF(AND(desc6_4=0,ob6_4&gt;0),AQ7*(1-ob6_4),AQ7*(1-desc6_4)))</f>
        <v>10517610.166747084</v>
      </c>
      <c r="AR17" s="314" t="s">
        <v>7</v>
      </c>
      <c r="AS17" s="314" t="s">
        <v>7</v>
      </c>
      <c r="AT17" s="314" t="s">
        <v>7</v>
      </c>
      <c r="AU17" s="314" t="s">
        <v>7</v>
      </c>
      <c r="AV17" s="510" t="s">
        <v>308</v>
      </c>
      <c r="AW17" s="96"/>
      <c r="AX17" s="98" t="s">
        <v>206</v>
      </c>
      <c r="AY17" s="314">
        <f>IF(AND(desc7_4=0,ob7_4=0),AY14,
IF(AND(desc7_4=0,ob7_4&gt;0),AY7*(1-ob7_4),AY7*(1-desc7_4)))</f>
        <v>10517610.166747084</v>
      </c>
      <c r="AZ17" s="314" t="s">
        <v>7</v>
      </c>
      <c r="BA17" s="314" t="s">
        <v>7</v>
      </c>
      <c r="BB17" s="314" t="s">
        <v>7</v>
      </c>
      <c r="BC17" s="314" t="s">
        <v>7</v>
      </c>
      <c r="BD17" s="510" t="s">
        <v>308</v>
      </c>
      <c r="BE17" s="96"/>
      <c r="BF17" s="98" t="s">
        <v>206</v>
      </c>
      <c r="BG17" s="314">
        <f>IF(AND(desc8_4=0,ob8_4=0),BG14,
IF(AND(desc8_4=0,ob8_4&gt;0),BG7*(1-ob8_4),BG7*(1-desc8_4)))</f>
        <v>10517610.166747084</v>
      </c>
      <c r="BH17" s="314" t="s">
        <v>7</v>
      </c>
      <c r="BI17" s="314" t="s">
        <v>7</v>
      </c>
      <c r="BJ17" s="314" t="s">
        <v>7</v>
      </c>
      <c r="BK17" s="314" t="s">
        <v>7</v>
      </c>
      <c r="BL17" s="510" t="s">
        <v>308</v>
      </c>
      <c r="BM17" s="96"/>
      <c r="BN17" s="98" t="s">
        <v>206</v>
      </c>
      <c r="BO17" s="314">
        <f>IF(AND(desc9_4=0,ob9_4=0),BO14,
IF(AND(desc9_4=0,ob9_4&gt;0),BO7*(1-ob9_4),BO7*(1-desc9_4)))</f>
        <v>10517610.166747084</v>
      </c>
      <c r="BP17" s="314" t="s">
        <v>7</v>
      </c>
      <c r="BQ17" s="314" t="s">
        <v>7</v>
      </c>
      <c r="BR17" s="314" t="s">
        <v>7</v>
      </c>
      <c r="BS17" s="314" t="s">
        <v>7</v>
      </c>
      <c r="BT17" s="510" t="s">
        <v>308</v>
      </c>
      <c r="BU17" s="96"/>
      <c r="BV17" s="98" t="s">
        <v>206</v>
      </c>
      <c r="BW17" s="314">
        <f>IF(AND(desc10_4=0,ob10_4=0),BW14,
IF(AND(desc10_4=0,ob10_4&gt;0),BW7*(1-ob10_4),BW7*(1-desc10_4)))</f>
        <v>10517610.166747084</v>
      </c>
      <c r="BX17" s="314" t="s">
        <v>7</v>
      </c>
      <c r="BY17" s="314" t="s">
        <v>7</v>
      </c>
      <c r="BZ17" s="314" t="s">
        <v>7</v>
      </c>
      <c r="CA17" s="314" t="s">
        <v>7</v>
      </c>
      <c r="CB17" s="510" t="s">
        <v>308</v>
      </c>
      <c r="CC17" s="96"/>
      <c r="CD17" s="98" t="s">
        <v>206</v>
      </c>
      <c r="CE17" s="314">
        <f>IF(AND(desc11_4=0,ob11_4=0),CE14,
IF(AND(desc11_4=0,ob11_4&gt;0),CE7*(1-ob11_4),CE7*(1-desc11_4)))</f>
        <v>10517610.166747084</v>
      </c>
      <c r="CF17" s="314" t="s">
        <v>7</v>
      </c>
      <c r="CG17" s="314" t="s">
        <v>7</v>
      </c>
      <c r="CH17" s="314" t="s">
        <v>7</v>
      </c>
      <c r="CI17" s="314" t="s">
        <v>7</v>
      </c>
      <c r="CJ17" s="510" t="s">
        <v>308</v>
      </c>
      <c r="CK17" s="96"/>
      <c r="CL17" s="98" t="s">
        <v>206</v>
      </c>
      <c r="CM17" s="314">
        <f>IF(AND(desc12_4=0,ob12_4=0),CM14,
IF(AND(desc12_4=0,ob12_4&gt;0),CM7*(1-ob12_4),CM7*(1-desc12_4)))</f>
        <v>10517610.166747084</v>
      </c>
      <c r="CN17" s="314" t="s">
        <v>7</v>
      </c>
      <c r="CO17" s="314" t="s">
        <v>7</v>
      </c>
      <c r="CP17" s="314" t="s">
        <v>7</v>
      </c>
      <c r="CQ17" s="314" t="s">
        <v>7</v>
      </c>
      <c r="CR17" s="510" t="s">
        <v>308</v>
      </c>
      <c r="CS17" s="96"/>
      <c r="CT17" s="98" t="s">
        <v>206</v>
      </c>
      <c r="CU17" s="314">
        <f>IF(AND(desc13_4=0,ob13_4=0),CU14,
IF(AND(desc13_4=0,ob13_4&gt;0),CU7*(1-ob13_4),CU7*(1-desc13_4)))</f>
        <v>10517610.166747084</v>
      </c>
      <c r="CV17" s="314" t="s">
        <v>7</v>
      </c>
      <c r="CW17" s="314" t="s">
        <v>7</v>
      </c>
      <c r="CX17" s="314" t="s">
        <v>7</v>
      </c>
      <c r="CY17" s="314" t="s">
        <v>7</v>
      </c>
      <c r="CZ17" s="510" t="s">
        <v>308</v>
      </c>
      <c r="DA17" s="96"/>
      <c r="DB17" s="98" t="s">
        <v>206</v>
      </c>
      <c r="DC17" s="314">
        <f>IF(AND(desc14_4=0,ob14_4=0),DC14,
IF(AND(desc14_4=0,ob14_4&gt;0),DC7*(1-ob14_4),DC7*(1-desc14_4)))</f>
        <v>10517610.166747084</v>
      </c>
      <c r="DD17" s="314" t="s">
        <v>7</v>
      </c>
      <c r="DE17" s="314" t="s">
        <v>7</v>
      </c>
      <c r="DF17" s="314" t="s">
        <v>7</v>
      </c>
      <c r="DG17" s="314" t="s">
        <v>7</v>
      </c>
      <c r="DH17" s="510" t="s">
        <v>308</v>
      </c>
      <c r="DI17" s="96"/>
    </row>
    <row r="18" spans="2:113" s="97" customFormat="1">
      <c r="B18" s="99" t="s">
        <v>207</v>
      </c>
      <c r="C18" s="80">
        <f>IF(ob1_4=0,0,
IF(desc1_4=0,C7*ob1_4,
IF(desc_por_ob="No",0,
IF(AND(desc_por_ob="Yes",ob1_4&gt;desc1_4),"wrong data",(C7*ob1_4)))))</f>
        <v>0</v>
      </c>
      <c r="D18" s="80" t="s">
        <v>7</v>
      </c>
      <c r="E18" s="80" t="s">
        <v>7</v>
      </c>
      <c r="F18" s="80" t="s">
        <v>7</v>
      </c>
      <c r="G18" s="80" t="s">
        <v>7</v>
      </c>
      <c r="H18" s="511"/>
      <c r="I18" s="96"/>
      <c r="J18" s="99" t="s">
        <v>207</v>
      </c>
      <c r="K18" s="80">
        <f>IF(ob2_4=0,0,
IF(desc2_4=0,K7*ob2_4,
IF(desc_por_ob="No",0,
IF(AND(desc_por_ob="Yes",ob2_4&gt;desc2_4),"wrong data",(K7*ob2_4)))))</f>
        <v>0</v>
      </c>
      <c r="L18" s="80" t="s">
        <v>7</v>
      </c>
      <c r="M18" s="80" t="s">
        <v>7</v>
      </c>
      <c r="N18" s="80" t="s">
        <v>7</v>
      </c>
      <c r="O18" s="80" t="s">
        <v>7</v>
      </c>
      <c r="P18" s="511"/>
      <c r="Q18" s="96"/>
      <c r="R18" s="99" t="s">
        <v>207</v>
      </c>
      <c r="S18" s="80">
        <f>IF(ob3_4=0,0,
IF(desc3_4=0,S7*ob3_4,
IF(desc_por_ob="No",0,
IF(AND(desc_por_ob="Yes",ob3_4&gt;desc3_4),"wrong data",(S7*ob3_4)))))</f>
        <v>0</v>
      </c>
      <c r="T18" s="80" t="s">
        <v>7</v>
      </c>
      <c r="U18" s="80" t="s">
        <v>7</v>
      </c>
      <c r="V18" s="80" t="s">
        <v>7</v>
      </c>
      <c r="W18" s="80" t="s">
        <v>7</v>
      </c>
      <c r="X18" s="511"/>
      <c r="Y18" s="96"/>
      <c r="Z18" s="99" t="s">
        <v>207</v>
      </c>
      <c r="AA18" s="80">
        <f>IF(ob4_4=0,0,
IF(desc4_4=0,AA7*ob4_4,
IF(desc_por_ob="No",0,
IF(AND(desc_por_ob="Yes",ob4_4&gt;desc4_4),"wrong data",(AA7*ob4_4)))))</f>
        <v>0</v>
      </c>
      <c r="AB18" s="80" t="s">
        <v>7</v>
      </c>
      <c r="AC18" s="80" t="s">
        <v>7</v>
      </c>
      <c r="AD18" s="80" t="s">
        <v>7</v>
      </c>
      <c r="AE18" s="80" t="s">
        <v>7</v>
      </c>
      <c r="AF18" s="511"/>
      <c r="AG18" s="96"/>
      <c r="AH18" s="99" t="s">
        <v>207</v>
      </c>
      <c r="AI18" s="80">
        <f>IF(ob5_4=0,0,
IF(desc5_4=0,AI7*ob5_4,
IF(desc_por_ob="No",0,
IF(AND(desc_por_ob="Yes",ob5_4&gt;desc5_4),"wrong data",(AI7*ob5_4)))))</f>
        <v>0</v>
      </c>
      <c r="AJ18" s="80" t="s">
        <v>7</v>
      </c>
      <c r="AK18" s="80" t="s">
        <v>7</v>
      </c>
      <c r="AL18" s="80" t="s">
        <v>7</v>
      </c>
      <c r="AM18" s="80" t="s">
        <v>7</v>
      </c>
      <c r="AN18" s="511"/>
      <c r="AO18" s="96"/>
      <c r="AP18" s="99" t="s">
        <v>207</v>
      </c>
      <c r="AQ18" s="80">
        <f>IF(ob6_4=0,0,
IF(desc6_4=0,AQ7*ob6_4,
IF(desc_por_ob="No",0,
IF(AND(desc_por_ob="Yes",ob6_4&gt;desc6_4),"wrong data",(AQ7*ob6_4)))))</f>
        <v>0</v>
      </c>
      <c r="AR18" s="80" t="s">
        <v>7</v>
      </c>
      <c r="AS18" s="80" t="s">
        <v>7</v>
      </c>
      <c r="AT18" s="80" t="s">
        <v>7</v>
      </c>
      <c r="AU18" s="80" t="s">
        <v>7</v>
      </c>
      <c r="AV18" s="511"/>
      <c r="AW18" s="96"/>
      <c r="AX18" s="99" t="s">
        <v>207</v>
      </c>
      <c r="AY18" s="80">
        <f>IF(ob7_4=0,0,
IF(desc7_4=0,AY7*ob7_4,
IF(desc_por_ob="No",0,
IF(AND(desc_por_ob="Yes",ob7_4&gt;desc7_4),"wrong data",(AY7*ob7_4)))))</f>
        <v>0</v>
      </c>
      <c r="AZ18" s="80" t="s">
        <v>7</v>
      </c>
      <c r="BA18" s="80" t="s">
        <v>7</v>
      </c>
      <c r="BB18" s="80" t="s">
        <v>7</v>
      </c>
      <c r="BC18" s="80" t="s">
        <v>7</v>
      </c>
      <c r="BD18" s="511"/>
      <c r="BE18" s="96"/>
      <c r="BF18" s="99" t="s">
        <v>207</v>
      </c>
      <c r="BG18" s="80">
        <f>IF(ob8_4=0,0,
IF(desc8_4=0,BG7*ob8_4,
IF(desc_por_ob="No",0,
IF(AND(desc_por_ob="Yes",ob8_4&gt;desc8_4),"wrong data",(BG7*ob8_4)))))</f>
        <v>0</v>
      </c>
      <c r="BH18" s="80" t="s">
        <v>7</v>
      </c>
      <c r="BI18" s="80" t="s">
        <v>7</v>
      </c>
      <c r="BJ18" s="80" t="s">
        <v>7</v>
      </c>
      <c r="BK18" s="80" t="s">
        <v>7</v>
      </c>
      <c r="BL18" s="511"/>
      <c r="BM18" s="96"/>
      <c r="BN18" s="99" t="s">
        <v>207</v>
      </c>
      <c r="BO18" s="80">
        <f>IF(ob9_4=0,0,
IF(desc9_4=0,BO7*ob9_4,
IF(desc_por_ob="No",0,
IF(AND(desc_por_ob="Yes",ob9_4&gt;desc9_4),"wrong data",(BO7*ob9_4)))))</f>
        <v>0</v>
      </c>
      <c r="BP18" s="80" t="s">
        <v>7</v>
      </c>
      <c r="BQ18" s="80" t="s">
        <v>7</v>
      </c>
      <c r="BR18" s="80" t="s">
        <v>7</v>
      </c>
      <c r="BS18" s="80" t="s">
        <v>7</v>
      </c>
      <c r="BT18" s="511"/>
      <c r="BU18" s="96"/>
      <c r="BV18" s="99" t="s">
        <v>207</v>
      </c>
      <c r="BW18" s="80">
        <f>IF(ob10_4=0,0,
IF(desc10_4=0,BW7*ob10_4,
IF(desc_por_ob="No",0,
IF(AND(desc_por_ob="Yes",ob10_4&gt;desc10_4),"wrong data",(BW7*ob10_4)))))</f>
        <v>0</v>
      </c>
      <c r="BX18" s="80" t="s">
        <v>7</v>
      </c>
      <c r="BY18" s="80" t="s">
        <v>7</v>
      </c>
      <c r="BZ18" s="80" t="s">
        <v>7</v>
      </c>
      <c r="CA18" s="80" t="s">
        <v>7</v>
      </c>
      <c r="CB18" s="511"/>
      <c r="CC18" s="96"/>
      <c r="CD18" s="99" t="s">
        <v>207</v>
      </c>
      <c r="CE18" s="80">
        <f>IF(ob11_4=0,0,
IF(desc11_4=0,CE7*ob11_4,
IF(desc_por_ob="No",0,
IF(AND(desc_por_ob="Yes",ob11_4&gt;desc11_4),"wrong data",(CE7*ob11_4)))))</f>
        <v>0</v>
      </c>
      <c r="CF18" s="80" t="s">
        <v>7</v>
      </c>
      <c r="CG18" s="80" t="s">
        <v>7</v>
      </c>
      <c r="CH18" s="80" t="s">
        <v>7</v>
      </c>
      <c r="CI18" s="80" t="s">
        <v>7</v>
      </c>
      <c r="CJ18" s="511"/>
      <c r="CK18" s="96"/>
      <c r="CL18" s="99" t="s">
        <v>207</v>
      </c>
      <c r="CM18" s="80">
        <f>IF(ob12_4=0,0,
IF(desc12_4=0,CM7*ob12_4,
IF(desc_por_ob="No",0,
IF(AND(desc_por_ob="Yes",ob12_4&gt;desc12_4),"wrong data",(CM7*ob12_4)))))</f>
        <v>0</v>
      </c>
      <c r="CN18" s="80" t="s">
        <v>7</v>
      </c>
      <c r="CO18" s="80" t="s">
        <v>7</v>
      </c>
      <c r="CP18" s="80" t="s">
        <v>7</v>
      </c>
      <c r="CQ18" s="80" t="s">
        <v>7</v>
      </c>
      <c r="CR18" s="511"/>
      <c r="CS18" s="96"/>
      <c r="CT18" s="99" t="s">
        <v>207</v>
      </c>
      <c r="CU18" s="80">
        <f>IF(ob13_4=0,0,
IF(desc13_4=0,CU7*ob13_4,
IF(desc_por_ob="No",0,
IF(AND(desc_por_ob="Yes",ob13_4&gt;desc13_4),"wrong data",(CU7*ob13_4)))))</f>
        <v>0</v>
      </c>
      <c r="CV18" s="80" t="s">
        <v>7</v>
      </c>
      <c r="CW18" s="80" t="s">
        <v>7</v>
      </c>
      <c r="CX18" s="80" t="s">
        <v>7</v>
      </c>
      <c r="CY18" s="80" t="s">
        <v>7</v>
      </c>
      <c r="CZ18" s="511"/>
      <c r="DA18" s="96"/>
      <c r="DB18" s="99" t="s">
        <v>207</v>
      </c>
      <c r="DC18" s="80">
        <f>IF(ob14_4=0,0,
IF(desc14_4=0,DC7*ob14_4,
IF(desc_por_ob="No",0,
IF(AND(desc_por_ob="Yes",ob14_4&gt;desc14_4),"wrong data",(DC7*ob14_4)))))</f>
        <v>0</v>
      </c>
      <c r="DD18" s="80" t="s">
        <v>7</v>
      </c>
      <c r="DE18" s="80" t="s">
        <v>7</v>
      </c>
      <c r="DF18" s="80" t="s">
        <v>7</v>
      </c>
      <c r="DG18" s="80" t="s">
        <v>7</v>
      </c>
      <c r="DH18" s="511"/>
      <c r="DI18" s="96"/>
    </row>
    <row r="19" spans="2:113" s="97" customFormat="1" ht="15" thickBot="1">
      <c r="B19" s="100" t="str">
        <f>IF(OR(uso=3,uso=4),"Progressed","Discontinued")</f>
        <v>Discontinued</v>
      </c>
      <c r="C19" s="315">
        <f>IF(desc1_4=0,0,
IF(AND(desc_por_ob="Yes",ob1_4&gt;desc1_4),"wrong data",C7-C17-C18))</f>
        <v>0</v>
      </c>
      <c r="D19" s="315" t="s">
        <v>7</v>
      </c>
      <c r="E19" s="315" t="s">
        <v>7</v>
      </c>
      <c r="F19" s="315" t="s">
        <v>7</v>
      </c>
      <c r="G19" s="315" t="s">
        <v>7</v>
      </c>
      <c r="H19" s="512"/>
      <c r="I19" s="96"/>
      <c r="J19" s="100" t="str">
        <f>IF(OR(uso=3,uso=4),"Progressed","Discontinued")</f>
        <v>Discontinued</v>
      </c>
      <c r="K19" s="315">
        <f>IF(desc2_4=0,0,
IF(AND(desc_por_ob="Yes",ob2_4&gt;desc2_4),"wrong data",K7-K17-K18))</f>
        <v>0</v>
      </c>
      <c r="L19" s="315" t="s">
        <v>7</v>
      </c>
      <c r="M19" s="315" t="s">
        <v>7</v>
      </c>
      <c r="N19" s="315" t="s">
        <v>7</v>
      </c>
      <c r="O19" s="315" t="s">
        <v>7</v>
      </c>
      <c r="P19" s="512"/>
      <c r="Q19" s="96"/>
      <c r="R19" s="100" t="s">
        <v>208</v>
      </c>
      <c r="S19" s="315">
        <f>IF(desc3_4=0,0,
IF(AND(desc_por_ob="Yes",ob3_4&gt;desc3_4),"wrong data",S7-S17-S18))</f>
        <v>0</v>
      </c>
      <c r="T19" s="315" t="s">
        <v>7</v>
      </c>
      <c r="U19" s="315" t="s">
        <v>7</v>
      </c>
      <c r="V19" s="315" t="s">
        <v>7</v>
      </c>
      <c r="W19" s="315" t="s">
        <v>7</v>
      </c>
      <c r="X19" s="512"/>
      <c r="Y19" s="96"/>
      <c r="Z19" s="100" t="s">
        <v>208</v>
      </c>
      <c r="AA19" s="315">
        <f>IF(desc4_4=0,0,
IF(AND(desc_por_ob="Yes",ob4_4&gt;desc4_4),"wrong data",AA7-AA17-AA18))</f>
        <v>0</v>
      </c>
      <c r="AB19" s="315" t="s">
        <v>7</v>
      </c>
      <c r="AC19" s="315" t="s">
        <v>7</v>
      </c>
      <c r="AD19" s="315" t="s">
        <v>7</v>
      </c>
      <c r="AE19" s="315" t="s">
        <v>7</v>
      </c>
      <c r="AF19" s="512"/>
      <c r="AG19" s="96"/>
      <c r="AH19" s="100" t="s">
        <v>208</v>
      </c>
      <c r="AI19" s="315">
        <f>IF(desc5_4=0,0,
IF(AND(desc_por_ob="Yes",ob5_4&gt;desc5_4),"wrong data",AI7-AI17-AI18))</f>
        <v>0</v>
      </c>
      <c r="AJ19" s="315" t="s">
        <v>7</v>
      </c>
      <c r="AK19" s="315" t="s">
        <v>7</v>
      </c>
      <c r="AL19" s="315" t="s">
        <v>7</v>
      </c>
      <c r="AM19" s="315" t="s">
        <v>7</v>
      </c>
      <c r="AN19" s="512"/>
      <c r="AO19" s="96"/>
      <c r="AP19" s="100" t="s">
        <v>208</v>
      </c>
      <c r="AQ19" s="315">
        <f>IF(desc6_4=0,0,
IF(AND(desc_por_ob="Yes",ob6_4&gt;desc6_4),"wrong data",AQ7-AQ17-AQ18))</f>
        <v>0</v>
      </c>
      <c r="AR19" s="315" t="s">
        <v>7</v>
      </c>
      <c r="AS19" s="315" t="s">
        <v>7</v>
      </c>
      <c r="AT19" s="315" t="s">
        <v>7</v>
      </c>
      <c r="AU19" s="315" t="s">
        <v>7</v>
      </c>
      <c r="AV19" s="512"/>
      <c r="AW19" s="96"/>
      <c r="AX19" s="100" t="s">
        <v>208</v>
      </c>
      <c r="AY19" s="315">
        <f>IF(desc7_4=0,0,
IF(AND(desc_por_ob="Yes",ob7_4&gt;desc7_4),"wrong data",AY7-AY17-AY18))</f>
        <v>0</v>
      </c>
      <c r="AZ19" s="315" t="s">
        <v>7</v>
      </c>
      <c r="BA19" s="315" t="s">
        <v>7</v>
      </c>
      <c r="BB19" s="315" t="s">
        <v>7</v>
      </c>
      <c r="BC19" s="315" t="s">
        <v>7</v>
      </c>
      <c r="BD19" s="512"/>
      <c r="BE19" s="96"/>
      <c r="BF19" s="100" t="s">
        <v>208</v>
      </c>
      <c r="BG19" s="315">
        <f>IF(desc8_4=0,0,
IF(AND(desc_por_ob="Yes",ob8_4&gt;desc8_4),"wrong data",BG7-BG17-BG18))</f>
        <v>0</v>
      </c>
      <c r="BH19" s="315" t="s">
        <v>7</v>
      </c>
      <c r="BI19" s="315" t="s">
        <v>7</v>
      </c>
      <c r="BJ19" s="315" t="s">
        <v>7</v>
      </c>
      <c r="BK19" s="315" t="s">
        <v>7</v>
      </c>
      <c r="BL19" s="512"/>
      <c r="BM19" s="96"/>
      <c r="BN19" s="100" t="s">
        <v>208</v>
      </c>
      <c r="BO19" s="315">
        <f>IF(desc9_4=0,0,
IF(AND(desc_por_ob="Yes",ob9_4&gt;desc9_4),"wrong data",BO7-BO17-BO18))</f>
        <v>0</v>
      </c>
      <c r="BP19" s="315" t="s">
        <v>7</v>
      </c>
      <c r="BQ19" s="315" t="s">
        <v>7</v>
      </c>
      <c r="BR19" s="315" t="s">
        <v>7</v>
      </c>
      <c r="BS19" s="315" t="s">
        <v>7</v>
      </c>
      <c r="BT19" s="512"/>
      <c r="BU19" s="96"/>
      <c r="BV19" s="100" t="s">
        <v>208</v>
      </c>
      <c r="BW19" s="315">
        <f>IF(desc10_4=0,0,
IF(AND(desc_por_ob="Yes",ob10_4&gt;desc10_4),"wrong data",BW7-BW17-BW18))</f>
        <v>0</v>
      </c>
      <c r="BX19" s="315" t="s">
        <v>7</v>
      </c>
      <c r="BY19" s="315" t="s">
        <v>7</v>
      </c>
      <c r="BZ19" s="315" t="s">
        <v>7</v>
      </c>
      <c r="CA19" s="315" t="s">
        <v>7</v>
      </c>
      <c r="CB19" s="512"/>
      <c r="CC19" s="96"/>
      <c r="CD19" s="100" t="s">
        <v>208</v>
      </c>
      <c r="CE19" s="315">
        <f>IF(desc11_4=0,0,
IF(AND(desc_por_ob="Yes",ob11_4&gt;desc11_4),"wrong data",CE7-CE17-CE18))</f>
        <v>0</v>
      </c>
      <c r="CF19" s="315" t="s">
        <v>7</v>
      </c>
      <c r="CG19" s="315" t="s">
        <v>7</v>
      </c>
      <c r="CH19" s="315" t="s">
        <v>7</v>
      </c>
      <c r="CI19" s="315" t="s">
        <v>7</v>
      </c>
      <c r="CJ19" s="512"/>
      <c r="CK19" s="96"/>
      <c r="CL19" s="100" t="s">
        <v>208</v>
      </c>
      <c r="CM19" s="315">
        <f>IF(desc12_4=0,0,
IF(AND(desc_por_ob="Yes",ob12_4&gt;desc12_4),"wrong data",CM7-CM17-CM18))</f>
        <v>0</v>
      </c>
      <c r="CN19" s="315" t="s">
        <v>7</v>
      </c>
      <c r="CO19" s="315" t="s">
        <v>7</v>
      </c>
      <c r="CP19" s="315" t="s">
        <v>7</v>
      </c>
      <c r="CQ19" s="315" t="s">
        <v>7</v>
      </c>
      <c r="CR19" s="512"/>
      <c r="CS19" s="96"/>
      <c r="CT19" s="100" t="s">
        <v>208</v>
      </c>
      <c r="CU19" s="315">
        <f>IF(desc13_4=0,0,
IF(AND(desc_por_ob="Yes",ob13_4&gt;desc13_4),"wrong data",CU7-CU17-CU18))</f>
        <v>0</v>
      </c>
      <c r="CV19" s="315" t="s">
        <v>7</v>
      </c>
      <c r="CW19" s="315" t="s">
        <v>7</v>
      </c>
      <c r="CX19" s="315" t="s">
        <v>7</v>
      </c>
      <c r="CY19" s="315" t="s">
        <v>7</v>
      </c>
      <c r="CZ19" s="512"/>
      <c r="DA19" s="96"/>
      <c r="DB19" s="100" t="s">
        <v>208</v>
      </c>
      <c r="DC19" s="315">
        <f>IF(desc14_4=0,0,
IF(AND(desc_por_ob="Yes",ob14_4&gt;desc14_4),"wrong data",DC7-DC17-DC18))</f>
        <v>0</v>
      </c>
      <c r="DD19" s="315" t="s">
        <v>7</v>
      </c>
      <c r="DE19" s="315" t="s">
        <v>7</v>
      </c>
      <c r="DF19" s="315" t="s">
        <v>7</v>
      </c>
      <c r="DG19" s="315" t="s">
        <v>7</v>
      </c>
      <c r="DH19" s="512"/>
      <c r="DI19" s="96"/>
    </row>
    <row r="20" spans="2:113">
      <c r="C20" s="308" t="str">
        <f>IF(AND(SUM(C8:C10)=C7,SUM(C11:C13)=C7,SUM(C14:C16)=C7,SUM(C17:C19)=C7),"ok","conferir")</f>
        <v>ok</v>
      </c>
      <c r="D20" s="308" t="str">
        <f>IF(AND(SUM(D8:D10)=D7,SUM(D11:D13)=D7,SUM(D14:D16)=D7),"ok","conferir")</f>
        <v>ok</v>
      </c>
      <c r="E20" s="308" t="str">
        <f>IF(AND(SUM(E8:E10)=E7,SUM(E11:E13)=E7),"ok","conferir")</f>
        <v>ok</v>
      </c>
      <c r="F20" s="308" t="str">
        <f>IF(AND(SUM(F8:F10)=F7),"ok","conferir")</f>
        <v>ok</v>
      </c>
      <c r="K20" s="308" t="str">
        <f>IF(AND(SUM(K8:K10)=K7,SUM(K11:K13)=K7,SUM(K14:K16)=K7,SUM(K17:K19)=K7),"ok","conferir")</f>
        <v>ok</v>
      </c>
      <c r="L20" s="308" t="str">
        <f>IF(AND(SUM(L8:L10)=L7,SUM(L11:L13)=L7,SUM(L14:L16)=L7),"ok","conferir")</f>
        <v>ok</v>
      </c>
      <c r="M20" s="308" t="str">
        <f>IF(AND(SUM(M8:M10)=M7,SUM(M11:M13)=M7),"ok","conferir")</f>
        <v>ok</v>
      </c>
      <c r="N20" s="308" t="str">
        <f>IF(AND(SUM(N8:N10)=N7),"ok","conferir")</f>
        <v>ok</v>
      </c>
      <c r="S20" s="308" t="str">
        <f>IF(AND(SUM(S8:S10)=S7,SUM(S11:S13)=S7,SUM(S14:S16)=S7,SUM(S17:S19)=S7),"ok","conferir")</f>
        <v>ok</v>
      </c>
      <c r="T20" s="308" t="str">
        <f>IF(AND(SUM(T8:T10)=T7,SUM(T11:T13)=T7,SUM(T14:T16)=T7),"ok","conferir")</f>
        <v>ok</v>
      </c>
      <c r="U20" s="308" t="str">
        <f>IF(AND(SUM(U8:U10)=U7,SUM(U11:U13)=U7),"ok","conferir")</f>
        <v>ok</v>
      </c>
      <c r="V20" s="308" t="str">
        <f>IF(AND(SUM(V8:V10)=V7),"ok","conferir")</f>
        <v>ok</v>
      </c>
      <c r="AA20" s="308" t="str">
        <f>IF(AND(SUM(AA8:AA10)=AA7,SUM(AA11:AA13)=AA7,SUM(AA14:AA16)=AA7,SUM(AA17:AA19)=AA7),"ok","conferir")</f>
        <v>ok</v>
      </c>
      <c r="AB20" s="308" t="str">
        <f>IF(AND(SUM(AB8:AB10)=AB7,SUM(AB11:AB13)=AB7,SUM(AB14:AB16)=AB7),"ok","conferir")</f>
        <v>ok</v>
      </c>
      <c r="AC20" s="308" t="str">
        <f>IF(AND(SUM(AC8:AC10)=AC7,SUM(AC11:AC13)=AC7),"ok","conferir")</f>
        <v>ok</v>
      </c>
      <c r="AD20" s="308" t="str">
        <f>IF(AND(SUM(AD8:AD10)=AD7),"ok","conferir")</f>
        <v>ok</v>
      </c>
      <c r="AI20" s="308" t="str">
        <f>IF(AND(SUM(AI8:AI10)=AI7,SUM(AI11:AI13)=AI7,SUM(AI14:AI16)=AI7,SUM(AI17:AI19)=AI7),"ok","conferir")</f>
        <v>ok</v>
      </c>
      <c r="AJ20" s="308" t="str">
        <f>IF(AND(SUM(AJ8:AJ10)=AJ7,SUM(AJ11:AJ13)=AJ7,SUM(AJ14:AJ16)=AJ7),"ok","conferir")</f>
        <v>ok</v>
      </c>
      <c r="AK20" s="308" t="str">
        <f>IF(AND(SUM(AK8:AK10)=AK7,SUM(AK11:AK13)=AK7),"ok","conferir")</f>
        <v>ok</v>
      </c>
      <c r="AL20" s="308" t="str">
        <f>IF(AND(SUM(AL8:AL10)=AL7),"ok","conferir")</f>
        <v>ok</v>
      </c>
      <c r="AQ20" s="308" t="str">
        <f>IF(AND(SUM(AQ8:AQ10)=AQ7,SUM(AQ11:AQ13)=AQ7,SUM(AQ14:AQ16)=AQ7,SUM(AQ17:AQ19)=AQ7),"ok","conferir")</f>
        <v>ok</v>
      </c>
      <c r="AR20" s="308" t="str">
        <f>IF(AND(SUM(AR8:AR10)=AR7,SUM(AR11:AR13)=AR7,SUM(AR14:AR16)=AR7),"ok","conferir")</f>
        <v>ok</v>
      </c>
      <c r="AS20" s="308" t="str">
        <f>IF(AND(SUM(AS8:AS10)=AS7,SUM(AS11:AS13)=AS7),"ok","conferir")</f>
        <v>ok</v>
      </c>
      <c r="AT20" s="308" t="str">
        <f>IF(AND(SUM(AT8:AT10)=AT7),"ok","conferir")</f>
        <v>ok</v>
      </c>
      <c r="AY20" s="308" t="str">
        <f>IF(AND(SUM(AY8:AY10)=AY7,SUM(AY11:AY13)=AY7,SUM(AY14:AY16)=AY7,SUM(AY17:AY19)=AY7),"ok","conferir")</f>
        <v>ok</v>
      </c>
      <c r="AZ20" s="308" t="str">
        <f>IF(AND(SUM(AZ8:AZ10)=AZ7,SUM(AZ11:AZ13)=AZ7,SUM(AZ14:AZ16)=AZ7),"ok","conferir")</f>
        <v>ok</v>
      </c>
      <c r="BA20" s="308" t="str">
        <f>IF(AND(SUM(BA8:BA10)=BA7,SUM(BA11:BA13)=BA7),"ok","conferir")</f>
        <v>ok</v>
      </c>
      <c r="BB20" s="308" t="str">
        <f>IF(AND(SUM(BB8:BB10)=BB7),"ok","conferir")</f>
        <v>ok</v>
      </c>
      <c r="BG20" s="308" t="str">
        <f>IF(AND(SUM(BG8:BG10)=BG7,SUM(BG11:BG13)=BG7,SUM(BG14:BG16)=BG7,SUM(BG17:BG19)=BG7),"ok","conferir")</f>
        <v>ok</v>
      </c>
      <c r="BH20" s="308" t="str">
        <f>IF(AND(SUM(BH8:BH10)=BH7,SUM(BH11:BH13)=BH7,SUM(BH14:BH16)=BH7),"ok","conferir")</f>
        <v>ok</v>
      </c>
      <c r="BI20" s="308" t="str">
        <f>IF(AND(SUM(BI8:BI10)=BI7,SUM(BI11:BI13)=BI7),"ok","conferir")</f>
        <v>ok</v>
      </c>
      <c r="BJ20" s="308" t="str">
        <f>IF(AND(SUM(BJ8:BJ10)=BJ7),"ok","conferir")</f>
        <v>ok</v>
      </c>
      <c r="BO20" s="308" t="str">
        <f>IF(AND(SUM(BO8:BO10)=BO7,SUM(BO11:BO13)=BO7,SUM(BO14:BO16)=BO7,SUM(BO17:BO19)=BO7),"ok","conferir")</f>
        <v>ok</v>
      </c>
      <c r="BP20" s="308" t="str">
        <f>IF(AND(SUM(BP8:BP10)=BP7,SUM(BP11:BP13)=BP7,SUM(BP14:BP16)=BP7),"ok","conferir")</f>
        <v>ok</v>
      </c>
      <c r="BQ20" s="308" t="str">
        <f>IF(AND(SUM(BQ8:BQ10)=BQ7,SUM(BQ11:BQ13)=BQ7),"ok","conferir")</f>
        <v>ok</v>
      </c>
      <c r="BR20" s="308" t="str">
        <f>IF(AND(SUM(BR8:BR10)=BR7),"ok","conferir")</f>
        <v>ok</v>
      </c>
      <c r="BW20" s="308" t="str">
        <f>IF(AND(SUM(BW8:BW10)=BW7,SUM(BW11:BW13)=BW7,SUM(BW14:BW16)=BW7,SUM(BW17:BW19)=BW7),"ok","conferir")</f>
        <v>ok</v>
      </c>
      <c r="BX20" s="308" t="str">
        <f>IF(AND(SUM(BX8:BX10)=BX7,SUM(BX11:BX13)=BX7,SUM(BX14:BX16)=BX7),"ok","conferir")</f>
        <v>ok</v>
      </c>
      <c r="BY20" s="308" t="str">
        <f>IF(AND(SUM(BY8:BY10)=BY7,SUM(BY11:BY13)=BY7),"ok","conferir")</f>
        <v>ok</v>
      </c>
      <c r="BZ20" s="308" t="str">
        <f>IF(AND(SUM(BZ8:BZ10)=BZ7),"ok","conferir")</f>
        <v>ok</v>
      </c>
      <c r="CE20" s="308" t="str">
        <f>IF(AND(SUM(CE8:CE10)=CE7,SUM(CE11:CE13)=CE7,SUM(CE14:CE16)=CE7,SUM(CE17:CE19)=CE7),"ok","conferir")</f>
        <v>ok</v>
      </c>
      <c r="CF20" s="308" t="str">
        <f>IF(AND(SUM(CF8:CF10)=CF7,SUM(CF11:CF13)=CF7,SUM(CF14:CF16)=CF7),"ok","conferir")</f>
        <v>ok</v>
      </c>
      <c r="CG20" s="308" t="str">
        <f>IF(AND(SUM(CG8:CG10)=CG7,SUM(CG11:CG13)=CG7),"ok","conferir")</f>
        <v>ok</v>
      </c>
      <c r="CH20" s="308" t="str">
        <f>IF(AND(SUM(CH8:CH10)=CH7),"ok","conferir")</f>
        <v>ok</v>
      </c>
      <c r="CM20" s="308" t="str">
        <f>IF(AND(SUM(CM8:CM10)=CM7,SUM(CM11:CM13)=CM7,SUM(CM14:CM16)=CM7,SUM(CM17:CM19)=CM7),"ok","conferir")</f>
        <v>ok</v>
      </c>
      <c r="CN20" s="308" t="str">
        <f>IF(AND(SUM(CN8:CN10)=CN7,SUM(CN11:CN13)=CN7,SUM(CN14:CN16)=CN7),"ok","conferir")</f>
        <v>ok</v>
      </c>
      <c r="CO20" s="308" t="str">
        <f>IF(AND(SUM(CO8:CO10)=CO7,SUM(CO11:CO13)=CO7),"ok","conferir")</f>
        <v>ok</v>
      </c>
      <c r="CP20" s="308" t="str">
        <f>IF(AND(SUM(CP8:CP10)=CP7),"ok","conferir")</f>
        <v>ok</v>
      </c>
      <c r="CU20" s="308" t="str">
        <f>IF(AND(SUM(CU8:CU10)=CU7,SUM(CU11:CU13)=CU7,SUM(CU14:CU16)=CU7,SUM(CU17:CU19)=CU7),"ok","conferir")</f>
        <v>ok</v>
      </c>
      <c r="CV20" s="308" t="str">
        <f>IF(AND(SUM(CV8:CV10)=CV7,SUM(CV11:CV13)=CV7,SUM(CV14:CV16)=CV7),"ok","conferir")</f>
        <v>ok</v>
      </c>
      <c r="CW20" s="308" t="str">
        <f>IF(AND(SUM(CW8:CW10)=CW7,SUM(CW11:CW13)=CW7),"ok","conferir")</f>
        <v>ok</v>
      </c>
      <c r="CX20" s="308" t="str">
        <f>IF(AND(SUM(CX8:CX10)=CX7),"ok","conferir")</f>
        <v>ok</v>
      </c>
      <c r="DC20" s="308" t="str">
        <f>IF(AND(SUM(DC8:DC10)=DC7,SUM(DC11:DC13)=DC7,SUM(DC14:DC16)=DC7,SUM(DC17:DC19)=DC7),"ok","conferir")</f>
        <v>ok</v>
      </c>
      <c r="DD20" s="308" t="str">
        <f>IF(AND(SUM(DD8:DD10)=DD7,SUM(DD11:DD13)=DD7,SUM(DD14:DD16)=DD7),"ok","conferir")</f>
        <v>ok</v>
      </c>
      <c r="DE20" s="308" t="str">
        <f>IF(AND(SUM(DE8:DE10)=DE7,SUM(DE11:DE13)=DE7),"ok","conferir")</f>
        <v>ok</v>
      </c>
      <c r="DF20" s="308" t="str">
        <f>IF(AND(SUM(DF8:DF10)=DF7),"ok","conferir")</f>
        <v>ok</v>
      </c>
    </row>
    <row r="22" spans="2:113" s="81" customFormat="1">
      <c r="B22" s="120"/>
      <c r="C22" s="120"/>
      <c r="D22" s="120"/>
      <c r="E22" s="120"/>
      <c r="F22" s="120"/>
      <c r="G22" s="120"/>
      <c r="H22" s="82"/>
      <c r="I22" s="82"/>
      <c r="J22" s="120"/>
      <c r="K22" s="120"/>
      <c r="L22" s="120"/>
      <c r="M22" s="120"/>
      <c r="N22" s="120"/>
      <c r="O22" s="120"/>
      <c r="P22" s="82"/>
      <c r="Q22" s="82"/>
      <c r="R22" s="120"/>
      <c r="S22" s="120"/>
      <c r="T22" s="120"/>
      <c r="U22" s="120"/>
      <c r="V22" s="120"/>
      <c r="W22" s="120"/>
      <c r="X22" s="82"/>
      <c r="Y22" s="82"/>
      <c r="Z22" s="120"/>
      <c r="AA22" s="120"/>
      <c r="AB22" s="120"/>
      <c r="AC22" s="120"/>
      <c r="AD22" s="120"/>
      <c r="AE22" s="120"/>
      <c r="AF22" s="82"/>
      <c r="AG22" s="82"/>
      <c r="AH22" s="120"/>
      <c r="AI22" s="120"/>
      <c r="AJ22" s="120"/>
      <c r="AK22" s="120"/>
      <c r="AL22" s="120"/>
      <c r="AM22" s="120"/>
      <c r="AN22" s="82"/>
      <c r="AO22" s="82"/>
      <c r="AP22" s="120"/>
      <c r="AQ22" s="120"/>
      <c r="AR22" s="120"/>
      <c r="AS22" s="120"/>
      <c r="AT22" s="120"/>
      <c r="AU22" s="120"/>
      <c r="AV22" s="82"/>
      <c r="AW22" s="82"/>
      <c r="AX22" s="120"/>
      <c r="AY22" s="120"/>
      <c r="AZ22" s="120"/>
      <c r="BA22" s="120"/>
      <c r="BB22" s="120"/>
      <c r="BC22" s="120"/>
      <c r="BD22" s="82"/>
      <c r="BE22" s="82"/>
      <c r="BF22" s="120"/>
      <c r="BG22" s="120"/>
      <c r="BH22" s="120"/>
      <c r="BI22" s="120"/>
      <c r="BJ22" s="120"/>
      <c r="BK22" s="120"/>
      <c r="BL22" s="82"/>
      <c r="BM22" s="82"/>
      <c r="BN22" s="120"/>
      <c r="BO22" s="120"/>
      <c r="BP22" s="120"/>
      <c r="BQ22" s="120"/>
      <c r="BR22" s="120"/>
      <c r="BS22" s="120"/>
      <c r="BT22" s="82"/>
      <c r="BU22" s="82"/>
      <c r="BV22" s="120"/>
      <c r="BW22" s="120"/>
      <c r="BX22" s="120"/>
      <c r="BY22" s="120"/>
      <c r="BZ22" s="120"/>
      <c r="CA22" s="120"/>
      <c r="CB22" s="82"/>
      <c r="CC22" s="82"/>
      <c r="CD22" s="120"/>
      <c r="CE22" s="120"/>
      <c r="CF22" s="120"/>
      <c r="CG22" s="120"/>
      <c r="CH22" s="120"/>
      <c r="CI22" s="120"/>
      <c r="CJ22" s="82"/>
      <c r="CK22" s="82"/>
      <c r="CL22" s="120"/>
      <c r="CM22" s="120"/>
      <c r="CN22" s="120"/>
      <c r="CO22" s="120"/>
      <c r="CP22" s="120"/>
      <c r="CQ22" s="120"/>
      <c r="CR22" s="82"/>
      <c r="CS22" s="82"/>
      <c r="CT22" s="120"/>
      <c r="CU22" s="120"/>
      <c r="CV22" s="120"/>
      <c r="CW22" s="120"/>
      <c r="CX22" s="120"/>
      <c r="CY22" s="120"/>
      <c r="CZ22" s="82"/>
      <c r="DA22" s="82"/>
      <c r="DB22" s="120"/>
      <c r="DC22" s="120"/>
      <c r="DD22" s="120"/>
      <c r="DE22" s="120"/>
      <c r="DF22" s="120"/>
      <c r="DG22" s="120"/>
      <c r="DH22" s="82"/>
      <c r="DI22" s="82"/>
    </row>
    <row r="23" spans="2:113" s="76" customFormat="1" ht="21">
      <c r="B23" s="502" t="str">
        <f>intervencao1</f>
        <v>Rosuvastatin 5mg</v>
      </c>
      <c r="C23" s="502"/>
      <c r="D23" s="502"/>
      <c r="E23" s="502"/>
      <c r="F23" s="502"/>
      <c r="G23" s="502"/>
      <c r="H23" s="502"/>
      <c r="I23" s="77"/>
      <c r="J23" s="502" t="str">
        <f>intervencao2</f>
        <v>Rosuvastatin 10mg</v>
      </c>
      <c r="K23" s="502"/>
      <c r="L23" s="502"/>
      <c r="M23" s="502"/>
      <c r="N23" s="502"/>
      <c r="O23" s="502"/>
      <c r="P23" s="502"/>
      <c r="Q23" s="77"/>
      <c r="R23" s="502" t="str">
        <f>intervencao3</f>
        <v>Rosuvastatin 20mg</v>
      </c>
      <c r="S23" s="502"/>
      <c r="T23" s="502"/>
      <c r="U23" s="502"/>
      <c r="V23" s="502"/>
      <c r="W23" s="502"/>
      <c r="X23" s="502"/>
      <c r="Y23" s="77"/>
      <c r="Z23" s="502" t="str">
        <f>intervencao4</f>
        <v>Rosuvastatin 40mg</v>
      </c>
      <c r="AA23" s="502"/>
      <c r="AB23" s="502"/>
      <c r="AC23" s="502"/>
      <c r="AD23" s="502"/>
      <c r="AE23" s="502"/>
      <c r="AF23" s="502"/>
      <c r="AG23" s="77"/>
      <c r="AH23" s="502" t="str">
        <f>comparador1</f>
        <v>Atorvastatin 10mg</v>
      </c>
      <c r="AI23" s="502"/>
      <c r="AJ23" s="502"/>
      <c r="AK23" s="502"/>
      <c r="AL23" s="502"/>
      <c r="AM23" s="502"/>
      <c r="AN23" s="502"/>
      <c r="AO23" s="77"/>
      <c r="AP23" s="502" t="str">
        <f>comparador2</f>
        <v>Atorvastatin 20mg</v>
      </c>
      <c r="AQ23" s="502"/>
      <c r="AR23" s="502"/>
      <c r="AS23" s="502"/>
      <c r="AT23" s="502"/>
      <c r="AU23" s="502"/>
      <c r="AV23" s="502"/>
      <c r="AW23" s="77"/>
      <c r="AX23" s="502" t="str">
        <f>comparador3</f>
        <v>Atorvastatin 40mg</v>
      </c>
      <c r="AY23" s="502"/>
      <c r="AZ23" s="502"/>
      <c r="BA23" s="502"/>
      <c r="BB23" s="502"/>
      <c r="BC23" s="502"/>
      <c r="BD23" s="502"/>
      <c r="BE23" s="77"/>
      <c r="BF23" s="502" t="str">
        <f>comparador4</f>
        <v>Atorvastatin 80mg</v>
      </c>
      <c r="BG23" s="502"/>
      <c r="BH23" s="502"/>
      <c r="BI23" s="502"/>
      <c r="BJ23" s="502"/>
      <c r="BK23" s="502"/>
      <c r="BL23" s="502"/>
      <c r="BM23" s="77"/>
      <c r="BN23" s="502" t="str">
        <f>comparador5</f>
        <v>Pravastatin</v>
      </c>
      <c r="BO23" s="502"/>
      <c r="BP23" s="502"/>
      <c r="BQ23" s="502"/>
      <c r="BR23" s="502"/>
      <c r="BS23" s="502"/>
      <c r="BT23" s="502"/>
      <c r="BU23" s="77"/>
      <c r="BV23" s="502" t="str">
        <f>comparador6</f>
        <v>Simvastatin 5mg</v>
      </c>
      <c r="BW23" s="502"/>
      <c r="BX23" s="502"/>
      <c r="BY23" s="502"/>
      <c r="BZ23" s="502"/>
      <c r="CA23" s="502"/>
      <c r="CB23" s="502"/>
      <c r="CC23" s="77"/>
      <c r="CD23" s="502" t="str">
        <f>comparador7</f>
        <v>Simvastatin 10mg</v>
      </c>
      <c r="CE23" s="502"/>
      <c r="CF23" s="502"/>
      <c r="CG23" s="502"/>
      <c r="CH23" s="502"/>
      <c r="CI23" s="502"/>
      <c r="CJ23" s="502"/>
      <c r="CK23" s="77"/>
      <c r="CL23" s="502" t="str">
        <f>comparador8</f>
        <v>Simvastatin 20mg</v>
      </c>
      <c r="CM23" s="502"/>
      <c r="CN23" s="502"/>
      <c r="CO23" s="502"/>
      <c r="CP23" s="502"/>
      <c r="CQ23" s="502"/>
      <c r="CR23" s="502"/>
      <c r="CS23" s="77"/>
      <c r="CT23" s="502" t="str">
        <f>comparador9</f>
        <v>Simvastatin 40mg</v>
      </c>
      <c r="CU23" s="502"/>
      <c r="CV23" s="502"/>
      <c r="CW23" s="502"/>
      <c r="CX23" s="502"/>
      <c r="CY23" s="502"/>
      <c r="CZ23" s="502"/>
      <c r="DA23" s="77"/>
      <c r="DB23" s="502">
        <f>comparador10</f>
        <v>0</v>
      </c>
      <c r="DC23" s="502"/>
      <c r="DD23" s="502"/>
      <c r="DE23" s="502"/>
      <c r="DF23" s="502"/>
      <c r="DG23" s="502"/>
      <c r="DH23" s="502"/>
      <c r="DI23" s="77"/>
    </row>
    <row r="24" spans="2:113" ht="18">
      <c r="B24" s="503" t="s">
        <v>180</v>
      </c>
      <c r="C24" s="503"/>
      <c r="D24" s="503"/>
      <c r="E24" s="503"/>
      <c r="F24" s="503"/>
      <c r="G24" s="503"/>
      <c r="H24" s="71"/>
      <c r="I24" s="71"/>
      <c r="J24" s="503" t="s">
        <v>180</v>
      </c>
      <c r="K24" s="503"/>
      <c r="L24" s="503"/>
      <c r="M24" s="503"/>
      <c r="N24" s="503"/>
      <c r="O24" s="503"/>
      <c r="P24" s="71"/>
      <c r="Q24" s="71"/>
      <c r="R24" s="503" t="s">
        <v>180</v>
      </c>
      <c r="S24" s="503"/>
      <c r="T24" s="503"/>
      <c r="U24" s="503"/>
      <c r="V24" s="503"/>
      <c r="W24" s="503"/>
      <c r="X24" s="71"/>
      <c r="Y24" s="71"/>
      <c r="Z24" s="503" t="s">
        <v>180</v>
      </c>
      <c r="AA24" s="503"/>
      <c r="AB24" s="503"/>
      <c r="AC24" s="503"/>
      <c r="AD24" s="503"/>
      <c r="AE24" s="503"/>
      <c r="AF24" s="71"/>
      <c r="AG24" s="71"/>
      <c r="AH24" s="503" t="s">
        <v>180</v>
      </c>
      <c r="AI24" s="503"/>
      <c r="AJ24" s="503"/>
      <c r="AK24" s="503"/>
      <c r="AL24" s="503"/>
      <c r="AM24" s="503"/>
      <c r="AN24" s="71"/>
      <c r="AO24" s="71"/>
      <c r="AP24" s="503" t="s">
        <v>180</v>
      </c>
      <c r="AQ24" s="503"/>
      <c r="AR24" s="503"/>
      <c r="AS24" s="503"/>
      <c r="AT24" s="503"/>
      <c r="AU24" s="503"/>
      <c r="AV24" s="71"/>
      <c r="AW24" s="71"/>
      <c r="AX24" s="503" t="s">
        <v>180</v>
      </c>
      <c r="AY24" s="503"/>
      <c r="AZ24" s="503"/>
      <c r="BA24" s="503"/>
      <c r="BB24" s="503"/>
      <c r="BC24" s="503"/>
      <c r="BD24" s="71"/>
      <c r="BE24" s="71"/>
      <c r="BF24" s="503" t="s">
        <v>180</v>
      </c>
      <c r="BG24" s="503"/>
      <c r="BH24" s="503"/>
      <c r="BI24" s="503"/>
      <c r="BJ24" s="503"/>
      <c r="BK24" s="503"/>
      <c r="BL24" s="71"/>
      <c r="BM24" s="71"/>
      <c r="BN24" s="503" t="s">
        <v>180</v>
      </c>
      <c r="BO24" s="503"/>
      <c r="BP24" s="503"/>
      <c r="BQ24" s="503"/>
      <c r="BR24" s="503"/>
      <c r="BS24" s="503"/>
      <c r="BT24" s="71"/>
      <c r="BU24" s="71"/>
      <c r="BV24" s="503" t="s">
        <v>180</v>
      </c>
      <c r="BW24" s="503"/>
      <c r="BX24" s="503"/>
      <c r="BY24" s="503"/>
      <c r="BZ24" s="503"/>
      <c r="CA24" s="503"/>
      <c r="CB24" s="71"/>
      <c r="CC24" s="71"/>
      <c r="CD24" s="503" t="s">
        <v>180</v>
      </c>
      <c r="CE24" s="503"/>
      <c r="CF24" s="503"/>
      <c r="CG24" s="503"/>
      <c r="CH24" s="503"/>
      <c r="CI24" s="503"/>
      <c r="CJ24" s="71"/>
      <c r="CK24" s="71"/>
      <c r="CL24" s="503" t="s">
        <v>180</v>
      </c>
      <c r="CM24" s="503"/>
      <c r="CN24" s="503"/>
      <c r="CO24" s="503"/>
      <c r="CP24" s="503"/>
      <c r="CQ24" s="503"/>
      <c r="CR24" s="71"/>
      <c r="CS24" s="71"/>
      <c r="CT24" s="503" t="s">
        <v>180</v>
      </c>
      <c r="CU24" s="503"/>
      <c r="CV24" s="503"/>
      <c r="CW24" s="503"/>
      <c r="CX24" s="503"/>
      <c r="CY24" s="503"/>
      <c r="CZ24" s="71"/>
      <c r="DA24" s="71"/>
      <c r="DB24" s="503" t="s">
        <v>180</v>
      </c>
      <c r="DC24" s="503"/>
      <c r="DD24" s="503"/>
      <c r="DE24" s="503"/>
      <c r="DF24" s="503"/>
      <c r="DG24" s="503"/>
      <c r="DH24" s="71"/>
      <c r="DI24" s="71"/>
    </row>
    <row r="25" spans="2:113" ht="15" thickBot="1">
      <c r="B25" s="83"/>
      <c r="C25" s="83"/>
      <c r="D25" s="83"/>
      <c r="E25" s="83"/>
      <c r="F25" s="83"/>
      <c r="G25" s="83"/>
      <c r="J25" s="83"/>
      <c r="K25" s="83"/>
      <c r="L25" s="83"/>
      <c r="M25" s="83"/>
      <c r="N25" s="83"/>
      <c r="O25" s="83"/>
      <c r="R25" s="83"/>
      <c r="S25" s="83"/>
      <c r="T25" s="83"/>
      <c r="U25" s="83"/>
      <c r="V25" s="83"/>
      <c r="W25" s="83"/>
      <c r="Z25" s="83"/>
      <c r="AA25" s="83"/>
      <c r="AB25" s="83"/>
      <c r="AC25" s="83"/>
      <c r="AD25" s="83"/>
      <c r="AE25" s="83"/>
      <c r="AH25" s="83"/>
      <c r="AI25" s="83"/>
      <c r="AJ25" s="83"/>
      <c r="AK25" s="83"/>
      <c r="AL25" s="83"/>
      <c r="AM25" s="83"/>
      <c r="AP25" s="83"/>
      <c r="AQ25" s="83"/>
      <c r="AR25" s="83"/>
      <c r="AS25" s="83"/>
      <c r="AT25" s="83"/>
      <c r="AU25" s="83"/>
      <c r="AX25" s="83"/>
      <c r="AY25" s="83"/>
      <c r="AZ25" s="83"/>
      <c r="BA25" s="83"/>
      <c r="BB25" s="83"/>
      <c r="BC25" s="83"/>
      <c r="BF25" s="83"/>
      <c r="BG25" s="83"/>
      <c r="BH25" s="83"/>
      <c r="BI25" s="83"/>
      <c r="BJ25" s="83"/>
      <c r="BK25" s="83"/>
      <c r="BN25" s="83"/>
      <c r="BO25" s="83"/>
      <c r="BP25" s="83"/>
      <c r="BQ25" s="83"/>
      <c r="BR25" s="83"/>
      <c r="BS25" s="83"/>
      <c r="BV25" s="83"/>
      <c r="BW25" s="83"/>
      <c r="BX25" s="83"/>
      <c r="BY25" s="83"/>
      <c r="BZ25" s="83"/>
      <c r="CA25" s="83"/>
      <c r="CD25" s="83"/>
      <c r="CE25" s="83"/>
      <c r="CF25" s="83"/>
      <c r="CG25" s="83"/>
      <c r="CH25" s="83"/>
      <c r="CI25" s="83"/>
      <c r="CL25" s="83"/>
      <c r="CM25" s="83"/>
      <c r="CN25" s="83"/>
      <c r="CO25" s="83"/>
      <c r="CP25" s="83"/>
      <c r="CQ25" s="83"/>
      <c r="CT25" s="83"/>
      <c r="CU25" s="83"/>
      <c r="CV25" s="83"/>
      <c r="CW25" s="83"/>
      <c r="CX25" s="83"/>
      <c r="CY25" s="83"/>
      <c r="DB25" s="83"/>
      <c r="DC25" s="83"/>
      <c r="DD25" s="83"/>
      <c r="DE25" s="83"/>
      <c r="DF25" s="83"/>
      <c r="DG25" s="83"/>
    </row>
    <row r="26" spans="2:113" ht="15" thickBot="1">
      <c r="B26" s="504" t="str">
        <f>cen_atual</f>
        <v>without rosuvastatin</v>
      </c>
      <c r="C26" s="505"/>
      <c r="D26" s="505"/>
      <c r="E26" s="505"/>
      <c r="F26" s="505"/>
      <c r="G26" s="506"/>
      <c r="J26" s="504" t="str">
        <f>cen_atual</f>
        <v>without rosuvastatin</v>
      </c>
      <c r="K26" s="505"/>
      <c r="L26" s="505"/>
      <c r="M26" s="505"/>
      <c r="N26" s="505"/>
      <c r="O26" s="506"/>
      <c r="R26" s="504" t="str">
        <f>cen_atual</f>
        <v>without rosuvastatin</v>
      </c>
      <c r="S26" s="505"/>
      <c r="T26" s="505"/>
      <c r="U26" s="505"/>
      <c r="V26" s="505"/>
      <c r="W26" s="506"/>
      <c r="Z26" s="504" t="str">
        <f>cen_atual</f>
        <v>without rosuvastatin</v>
      </c>
      <c r="AA26" s="505"/>
      <c r="AB26" s="505"/>
      <c r="AC26" s="505"/>
      <c r="AD26" s="505"/>
      <c r="AE26" s="506"/>
      <c r="AH26" s="504" t="str">
        <f>cen_atual</f>
        <v>without rosuvastatin</v>
      </c>
      <c r="AI26" s="505"/>
      <c r="AJ26" s="505"/>
      <c r="AK26" s="505"/>
      <c r="AL26" s="505"/>
      <c r="AM26" s="506"/>
      <c r="AP26" s="504" t="str">
        <f>cen_atual</f>
        <v>without rosuvastatin</v>
      </c>
      <c r="AQ26" s="505"/>
      <c r="AR26" s="505"/>
      <c r="AS26" s="505"/>
      <c r="AT26" s="505"/>
      <c r="AU26" s="506"/>
      <c r="AX26" s="504" t="str">
        <f>cen_atual</f>
        <v>without rosuvastatin</v>
      </c>
      <c r="AY26" s="505"/>
      <c r="AZ26" s="505"/>
      <c r="BA26" s="505"/>
      <c r="BB26" s="505"/>
      <c r="BC26" s="506"/>
      <c r="BF26" s="504" t="str">
        <f>cen_atual</f>
        <v>without rosuvastatin</v>
      </c>
      <c r="BG26" s="505"/>
      <c r="BH26" s="505"/>
      <c r="BI26" s="505"/>
      <c r="BJ26" s="505"/>
      <c r="BK26" s="506"/>
      <c r="BN26" s="504" t="str">
        <f>cen_atual</f>
        <v>without rosuvastatin</v>
      </c>
      <c r="BO26" s="505"/>
      <c r="BP26" s="505"/>
      <c r="BQ26" s="505"/>
      <c r="BR26" s="505"/>
      <c r="BS26" s="506"/>
      <c r="BV26" s="504" t="str">
        <f>cen_atual</f>
        <v>without rosuvastatin</v>
      </c>
      <c r="BW26" s="505"/>
      <c r="BX26" s="505"/>
      <c r="BY26" s="505"/>
      <c r="BZ26" s="505"/>
      <c r="CA26" s="506"/>
      <c r="CD26" s="504" t="str">
        <f>cen_atual</f>
        <v>without rosuvastatin</v>
      </c>
      <c r="CE26" s="505"/>
      <c r="CF26" s="505"/>
      <c r="CG26" s="505"/>
      <c r="CH26" s="505"/>
      <c r="CI26" s="506"/>
      <c r="CL26" s="504" t="str">
        <f>cen_atual</f>
        <v>without rosuvastatin</v>
      </c>
      <c r="CM26" s="505"/>
      <c r="CN26" s="505"/>
      <c r="CO26" s="505"/>
      <c r="CP26" s="505"/>
      <c r="CQ26" s="506"/>
      <c r="CT26" s="504" t="str">
        <f>cen_atual</f>
        <v>without rosuvastatin</v>
      </c>
      <c r="CU26" s="505"/>
      <c r="CV26" s="505"/>
      <c r="CW26" s="505"/>
      <c r="CX26" s="505"/>
      <c r="CY26" s="506"/>
      <c r="DB26" s="504" t="str">
        <f>cen_atual</f>
        <v>without rosuvastatin</v>
      </c>
      <c r="DC26" s="505"/>
      <c r="DD26" s="505"/>
      <c r="DE26" s="505"/>
      <c r="DF26" s="505"/>
      <c r="DG26" s="506"/>
    </row>
    <row r="27" spans="2:113">
      <c r="B27" s="84"/>
      <c r="C27" s="101">
        <f>ano_1</f>
        <v>2026</v>
      </c>
      <c r="D27" s="101">
        <f>C27+1</f>
        <v>2027</v>
      </c>
      <c r="E27" s="101">
        <f t="shared" ref="E27:G27" si="0">D27+1</f>
        <v>2028</v>
      </c>
      <c r="F27" s="101">
        <f t="shared" si="0"/>
        <v>2029</v>
      </c>
      <c r="G27" s="102">
        <f t="shared" si="0"/>
        <v>2030</v>
      </c>
      <c r="J27" s="84"/>
      <c r="K27" s="101">
        <f>ano_1</f>
        <v>2026</v>
      </c>
      <c r="L27" s="101">
        <f>K27+1</f>
        <v>2027</v>
      </c>
      <c r="M27" s="101">
        <f t="shared" ref="M27" si="1">L27+1</f>
        <v>2028</v>
      </c>
      <c r="N27" s="101">
        <f t="shared" ref="N27" si="2">M27+1</f>
        <v>2029</v>
      </c>
      <c r="O27" s="102">
        <f t="shared" ref="O27" si="3">N27+1</f>
        <v>2030</v>
      </c>
      <c r="R27" s="84"/>
      <c r="S27" s="101">
        <f>ano_1</f>
        <v>2026</v>
      </c>
      <c r="T27" s="101">
        <f>S27+1</f>
        <v>2027</v>
      </c>
      <c r="U27" s="101">
        <f t="shared" ref="U27" si="4">T27+1</f>
        <v>2028</v>
      </c>
      <c r="V27" s="101">
        <f t="shared" ref="V27" si="5">U27+1</f>
        <v>2029</v>
      </c>
      <c r="W27" s="102">
        <f t="shared" ref="W27" si="6">V27+1</f>
        <v>2030</v>
      </c>
      <c r="Z27" s="84"/>
      <c r="AA27" s="101">
        <f>ano_1</f>
        <v>2026</v>
      </c>
      <c r="AB27" s="101">
        <f>AA27+1</f>
        <v>2027</v>
      </c>
      <c r="AC27" s="101">
        <f t="shared" ref="AC27" si="7">AB27+1</f>
        <v>2028</v>
      </c>
      <c r="AD27" s="101">
        <f t="shared" ref="AD27" si="8">AC27+1</f>
        <v>2029</v>
      </c>
      <c r="AE27" s="102">
        <f t="shared" ref="AE27" si="9">AD27+1</f>
        <v>2030</v>
      </c>
      <c r="AH27" s="84"/>
      <c r="AI27" s="101">
        <f>ano_1</f>
        <v>2026</v>
      </c>
      <c r="AJ27" s="101">
        <f>AI27+1</f>
        <v>2027</v>
      </c>
      <c r="AK27" s="101">
        <f t="shared" ref="AK27" si="10">AJ27+1</f>
        <v>2028</v>
      </c>
      <c r="AL27" s="101">
        <f t="shared" ref="AL27" si="11">AK27+1</f>
        <v>2029</v>
      </c>
      <c r="AM27" s="102">
        <f t="shared" ref="AM27" si="12">AL27+1</f>
        <v>2030</v>
      </c>
      <c r="AP27" s="84"/>
      <c r="AQ27" s="101">
        <f>ano_1</f>
        <v>2026</v>
      </c>
      <c r="AR27" s="101">
        <f>AQ27+1</f>
        <v>2027</v>
      </c>
      <c r="AS27" s="101">
        <f t="shared" ref="AS27" si="13">AR27+1</f>
        <v>2028</v>
      </c>
      <c r="AT27" s="101">
        <f t="shared" ref="AT27" si="14">AS27+1</f>
        <v>2029</v>
      </c>
      <c r="AU27" s="102">
        <f t="shared" ref="AU27" si="15">AT27+1</f>
        <v>2030</v>
      </c>
      <c r="AX27" s="84"/>
      <c r="AY27" s="101">
        <f>ano_1</f>
        <v>2026</v>
      </c>
      <c r="AZ27" s="101">
        <f>AY27+1</f>
        <v>2027</v>
      </c>
      <c r="BA27" s="101">
        <f t="shared" ref="BA27" si="16">AZ27+1</f>
        <v>2028</v>
      </c>
      <c r="BB27" s="101">
        <f t="shared" ref="BB27" si="17">BA27+1</f>
        <v>2029</v>
      </c>
      <c r="BC27" s="102">
        <f t="shared" ref="BC27" si="18">BB27+1</f>
        <v>2030</v>
      </c>
      <c r="BF27" s="84"/>
      <c r="BG27" s="101">
        <f>ano_1</f>
        <v>2026</v>
      </c>
      <c r="BH27" s="101">
        <f>BG27+1</f>
        <v>2027</v>
      </c>
      <c r="BI27" s="101">
        <f t="shared" ref="BI27" si="19">BH27+1</f>
        <v>2028</v>
      </c>
      <c r="BJ27" s="101">
        <f t="shared" ref="BJ27" si="20">BI27+1</f>
        <v>2029</v>
      </c>
      <c r="BK27" s="102">
        <f t="shared" ref="BK27" si="21">BJ27+1</f>
        <v>2030</v>
      </c>
      <c r="BN27" s="84"/>
      <c r="BO27" s="101">
        <f>ano_1</f>
        <v>2026</v>
      </c>
      <c r="BP27" s="101">
        <f>BO27+1</f>
        <v>2027</v>
      </c>
      <c r="BQ27" s="101">
        <f t="shared" ref="BQ27" si="22">BP27+1</f>
        <v>2028</v>
      </c>
      <c r="BR27" s="101">
        <f t="shared" ref="BR27" si="23">BQ27+1</f>
        <v>2029</v>
      </c>
      <c r="BS27" s="102">
        <f t="shared" ref="BS27" si="24">BR27+1</f>
        <v>2030</v>
      </c>
      <c r="BV27" s="84"/>
      <c r="BW27" s="101">
        <f>ano_1</f>
        <v>2026</v>
      </c>
      <c r="BX27" s="101">
        <f>BW27+1</f>
        <v>2027</v>
      </c>
      <c r="BY27" s="101">
        <f t="shared" ref="BY27" si="25">BX27+1</f>
        <v>2028</v>
      </c>
      <c r="BZ27" s="101">
        <f t="shared" ref="BZ27" si="26">BY27+1</f>
        <v>2029</v>
      </c>
      <c r="CA27" s="102">
        <f t="shared" ref="CA27" si="27">BZ27+1</f>
        <v>2030</v>
      </c>
      <c r="CD27" s="84"/>
      <c r="CE27" s="101">
        <f>ano_1</f>
        <v>2026</v>
      </c>
      <c r="CF27" s="101">
        <f>CE27+1</f>
        <v>2027</v>
      </c>
      <c r="CG27" s="101">
        <f t="shared" ref="CG27" si="28">CF27+1</f>
        <v>2028</v>
      </c>
      <c r="CH27" s="101">
        <f t="shared" ref="CH27" si="29">CG27+1</f>
        <v>2029</v>
      </c>
      <c r="CI27" s="102">
        <f t="shared" ref="CI27" si="30">CH27+1</f>
        <v>2030</v>
      </c>
      <c r="CL27" s="84"/>
      <c r="CM27" s="101">
        <f>ano_1</f>
        <v>2026</v>
      </c>
      <c r="CN27" s="101">
        <f>CM27+1</f>
        <v>2027</v>
      </c>
      <c r="CO27" s="101">
        <f t="shared" ref="CO27" si="31">CN27+1</f>
        <v>2028</v>
      </c>
      <c r="CP27" s="101">
        <f t="shared" ref="CP27" si="32">CO27+1</f>
        <v>2029</v>
      </c>
      <c r="CQ27" s="102">
        <f t="shared" ref="CQ27" si="33">CP27+1</f>
        <v>2030</v>
      </c>
      <c r="CT27" s="84"/>
      <c r="CU27" s="101">
        <f>ano_1</f>
        <v>2026</v>
      </c>
      <c r="CV27" s="101">
        <f>CU27+1</f>
        <v>2027</v>
      </c>
      <c r="CW27" s="101">
        <f t="shared" ref="CW27" si="34">CV27+1</f>
        <v>2028</v>
      </c>
      <c r="CX27" s="101">
        <f t="shared" ref="CX27" si="35">CW27+1</f>
        <v>2029</v>
      </c>
      <c r="CY27" s="102">
        <f t="shared" ref="CY27" si="36">CX27+1</f>
        <v>2030</v>
      </c>
      <c r="DB27" s="84"/>
      <c r="DC27" s="101">
        <f>ano_1</f>
        <v>2026</v>
      </c>
      <c r="DD27" s="101">
        <f>DC27+1</f>
        <v>2027</v>
      </c>
      <c r="DE27" s="101">
        <f t="shared" ref="DE27" si="37">DD27+1</f>
        <v>2028</v>
      </c>
      <c r="DF27" s="101">
        <f t="shared" ref="DF27" si="38">DE27+1</f>
        <v>2029</v>
      </c>
      <c r="DG27" s="102">
        <f t="shared" ref="DG27" si="39">DF27+1</f>
        <v>2030</v>
      </c>
    </row>
    <row r="28" spans="2:113">
      <c r="B28" s="87" t="s">
        <v>170</v>
      </c>
      <c r="C28" s="80">
        <f>C$7*'Mkt share'!$C$22</f>
        <v>0</v>
      </c>
      <c r="D28" s="80">
        <f>C$8*'Mkt share'!$C$22</f>
        <v>0</v>
      </c>
      <c r="E28" s="80">
        <f>C$11*'Mkt share'!$C$22</f>
        <v>0</v>
      </c>
      <c r="F28" s="80">
        <f>C$14*'Mkt share'!$C$22</f>
        <v>0</v>
      </c>
      <c r="G28" s="88">
        <f>C$17*'Mkt share'!$C$22</f>
        <v>0</v>
      </c>
      <c r="J28" s="87" t="s">
        <v>170</v>
      </c>
      <c r="K28" s="80">
        <f>K$7*'Mkt share'!$C$23</f>
        <v>0</v>
      </c>
      <c r="L28" s="80">
        <f>K$8*'Mkt share'!$C$23</f>
        <v>0</v>
      </c>
      <c r="M28" s="80">
        <f>K$11*'Mkt share'!$C$23</f>
        <v>0</v>
      </c>
      <c r="N28" s="80">
        <f>K$14*'Mkt share'!$C$23</f>
        <v>0</v>
      </c>
      <c r="O28" s="88">
        <f>K$17*'Mkt share'!$C$23</f>
        <v>0</v>
      </c>
      <c r="R28" s="87" t="s">
        <v>170</v>
      </c>
      <c r="S28" s="80">
        <f>S$7*'Mkt share'!$C$24</f>
        <v>0</v>
      </c>
      <c r="T28" s="80">
        <f>S$8*'Mkt share'!$C$24</f>
        <v>0</v>
      </c>
      <c r="U28" s="80">
        <f>S$11*'Mkt share'!$C$24</f>
        <v>0</v>
      </c>
      <c r="V28" s="80">
        <f>S$14*'Mkt share'!$C$24</f>
        <v>0</v>
      </c>
      <c r="W28" s="88">
        <f>S$17*'Mkt share'!$C$24</f>
        <v>0</v>
      </c>
      <c r="Z28" s="87" t="s">
        <v>170</v>
      </c>
      <c r="AA28" s="80">
        <f>AA$7*'Mkt share'!$C$25</f>
        <v>0</v>
      </c>
      <c r="AB28" s="80">
        <f>AA$8*'Mkt share'!$C$25</f>
        <v>0</v>
      </c>
      <c r="AC28" s="80">
        <f>AA$11*'Mkt share'!$C$25</f>
        <v>0</v>
      </c>
      <c r="AD28" s="80">
        <f>AA$14*'Mkt share'!$C$25</f>
        <v>0</v>
      </c>
      <c r="AE28" s="88">
        <f>AA$17*'Mkt share'!$C$25</f>
        <v>0</v>
      </c>
      <c r="AH28" s="87" t="s">
        <v>170</v>
      </c>
      <c r="AI28" s="80">
        <f>AI$7*'Mkt share'!$C$26</f>
        <v>202357.96436503023</v>
      </c>
      <c r="AJ28" s="80">
        <f>AI$8*'Mkt share'!$C$26</f>
        <v>202357.96436503023</v>
      </c>
      <c r="AK28" s="80">
        <f>AI$11*'Mkt share'!$C$26</f>
        <v>202357.96436503023</v>
      </c>
      <c r="AL28" s="80">
        <f>AI$14*'Mkt share'!$C$26</f>
        <v>202357.96436503023</v>
      </c>
      <c r="AM28" s="88">
        <f>AI$17*'Mkt share'!$C$26</f>
        <v>202357.96436503023</v>
      </c>
      <c r="AP28" s="87" t="s">
        <v>170</v>
      </c>
      <c r="AQ28" s="80">
        <f>AQ$7*'Mkt share'!$C$27</f>
        <v>1014968.0503876538</v>
      </c>
      <c r="AR28" s="80">
        <f>AQ$8*'Mkt share'!$C$27</f>
        <v>1014968.0503876538</v>
      </c>
      <c r="AS28" s="80">
        <f>AQ$11*'Mkt share'!$C$27</f>
        <v>1014968.0503876538</v>
      </c>
      <c r="AT28" s="80">
        <f>AQ$14*'Mkt share'!$C$27</f>
        <v>1014968.0503876538</v>
      </c>
      <c r="AU28" s="88">
        <f>AQ$17*'Mkt share'!$C$27</f>
        <v>1014968.0503876538</v>
      </c>
      <c r="AX28" s="87" t="s">
        <v>170</v>
      </c>
      <c r="AY28" s="80">
        <f>AY$7*'Mkt share'!$C$28</f>
        <v>1117650.5687015476</v>
      </c>
      <c r="AZ28" s="80">
        <f>AY$8*'Mkt share'!$C$28</f>
        <v>1117650.5687015476</v>
      </c>
      <c r="BA28" s="80">
        <f>AY$11*'Mkt share'!$C$28</f>
        <v>1117650.5687015476</v>
      </c>
      <c r="BB28" s="80">
        <f>AY$14*'Mkt share'!$C$28</f>
        <v>1117650.5687015476</v>
      </c>
      <c r="BC28" s="88">
        <f>AY$17*'Mkt share'!$C$28</f>
        <v>1117650.5687015476</v>
      </c>
      <c r="BF28" s="87" t="s">
        <v>170</v>
      </c>
      <c r="BG28" s="80">
        <f>BG$7*'Mkt share'!$C$29</f>
        <v>199693.35253248693</v>
      </c>
      <c r="BH28" s="80">
        <f>BG$8*'Mkt share'!$C$29</f>
        <v>199693.35253248693</v>
      </c>
      <c r="BI28" s="80">
        <f>BG$11*'Mkt share'!$C$29</f>
        <v>199693.35253248693</v>
      </c>
      <c r="BJ28" s="80">
        <f>BG$14*'Mkt share'!$C$29</f>
        <v>199693.35253248693</v>
      </c>
      <c r="BK28" s="88">
        <f>BG$17*'Mkt share'!$C$29</f>
        <v>199693.35253248693</v>
      </c>
      <c r="BN28" s="87" t="s">
        <v>170</v>
      </c>
      <c r="BO28" s="80">
        <f>BO$7*'Mkt share'!$C$30</f>
        <v>1933.3249216378988</v>
      </c>
      <c r="BP28" s="80">
        <f>BO$8*'Mkt share'!$C$30</f>
        <v>1933.3249216378988</v>
      </c>
      <c r="BQ28" s="80">
        <f>BO$11*'Mkt share'!$C$30</f>
        <v>1933.3249216378988</v>
      </c>
      <c r="BR28" s="80">
        <f>BO$14*'Mkt share'!$C$30</f>
        <v>1933.3249216378988</v>
      </c>
      <c r="BS28" s="88">
        <f>BO$17*'Mkt share'!$C$30</f>
        <v>1933.3249216378988</v>
      </c>
      <c r="BV28" s="87" t="s">
        <v>170</v>
      </c>
      <c r="BW28" s="80">
        <f>BW$7*'Mkt share'!$C$31</f>
        <v>1319.9171736794842</v>
      </c>
      <c r="BX28" s="80">
        <f>BW$8*'Mkt share'!$C$31</f>
        <v>1319.9171736794842</v>
      </c>
      <c r="BY28" s="80">
        <f>BW$11*'Mkt share'!$C$31</f>
        <v>1319.9171736794842</v>
      </c>
      <c r="BZ28" s="80">
        <f>BW$14*'Mkt share'!$C$31</f>
        <v>1319.9171736794842</v>
      </c>
      <c r="CA28" s="88">
        <f>BW$17*'Mkt share'!$C$31</f>
        <v>1319.9171736794842</v>
      </c>
      <c r="CD28" s="87" t="s">
        <v>170</v>
      </c>
      <c r="CE28" s="80">
        <f>CE$7*'Mkt share'!$C$32</f>
        <v>285925.83814484987</v>
      </c>
      <c r="CF28" s="80">
        <f>CE$8*'Mkt share'!$C$32</f>
        <v>285925.83814484987</v>
      </c>
      <c r="CG28" s="80">
        <f>CE$11*'Mkt share'!$C$32</f>
        <v>285925.83814484987</v>
      </c>
      <c r="CH28" s="80">
        <f>CE$14*'Mkt share'!$C$32</f>
        <v>285925.83814484987</v>
      </c>
      <c r="CI28" s="88">
        <f>CE$17*'Mkt share'!$C$32</f>
        <v>285925.83814484987</v>
      </c>
      <c r="CL28" s="87" t="s">
        <v>170</v>
      </c>
      <c r="CM28" s="80">
        <f>CM$7*'Mkt share'!$C$33</f>
        <v>6125825.394371978</v>
      </c>
      <c r="CN28" s="80">
        <f>CM$8*'Mkt share'!$C$33</f>
        <v>6125825.394371978</v>
      </c>
      <c r="CO28" s="80">
        <f>CM$11*'Mkt share'!$C$33</f>
        <v>6125825.394371978</v>
      </c>
      <c r="CP28" s="80">
        <f>CM$14*'Mkt share'!$C$33</f>
        <v>6125825.394371978</v>
      </c>
      <c r="CQ28" s="88">
        <f>CM$17*'Mkt share'!$C$33</f>
        <v>6125825.394371978</v>
      </c>
      <c r="CT28" s="87" t="s">
        <v>170</v>
      </c>
      <c r="CU28" s="80">
        <f>CU$7*'Mkt share'!$C$34</f>
        <v>1567935.75614822</v>
      </c>
      <c r="CV28" s="80">
        <f>CU$8*'Mkt share'!$C$34</f>
        <v>1567935.75614822</v>
      </c>
      <c r="CW28" s="80">
        <f>CU$11*'Mkt share'!$C$34</f>
        <v>1567935.75614822</v>
      </c>
      <c r="CX28" s="80">
        <f>CU$14*'Mkt share'!$C$34</f>
        <v>1567935.75614822</v>
      </c>
      <c r="CY28" s="88">
        <f>CU$17*'Mkt share'!$C$34</f>
        <v>1567935.75614822</v>
      </c>
      <c r="DB28" s="87" t="s">
        <v>170</v>
      </c>
      <c r="DC28" s="80">
        <f>DC$7*'Mkt share'!$C$35</f>
        <v>0</v>
      </c>
      <c r="DD28" s="80">
        <f>DC$8*'Mkt share'!$C$35</f>
        <v>0</v>
      </c>
      <c r="DE28" s="80">
        <f>DC$11*'Mkt share'!$C$35</f>
        <v>0</v>
      </c>
      <c r="DF28" s="80">
        <f>DC$14*'Mkt share'!$C$35</f>
        <v>0</v>
      </c>
      <c r="DG28" s="88">
        <f>DC$17*'Mkt share'!$C$35</f>
        <v>0</v>
      </c>
    </row>
    <row r="29" spans="2:113">
      <c r="B29" s="87" t="s">
        <v>175</v>
      </c>
      <c r="C29" s="105">
        <v>0</v>
      </c>
      <c r="D29" s="80">
        <f>C$10*'Mkt share'!$C$22</f>
        <v>0</v>
      </c>
      <c r="E29" s="80">
        <f>C$13*'Mkt share'!$C$22</f>
        <v>0</v>
      </c>
      <c r="F29" s="80">
        <f>C$16*'Mkt share'!$C$22</f>
        <v>0</v>
      </c>
      <c r="G29" s="88">
        <f>C$19*'Mkt share'!$C$22</f>
        <v>0</v>
      </c>
      <c r="J29" s="87" t="s">
        <v>175</v>
      </c>
      <c r="K29" s="105">
        <v>0</v>
      </c>
      <c r="L29" s="80">
        <f>K$10*'Mkt share'!$C$23</f>
        <v>0</v>
      </c>
      <c r="M29" s="80">
        <f>K$13*'Mkt share'!$C$23</f>
        <v>0</v>
      </c>
      <c r="N29" s="80">
        <f>K$16*'Mkt share'!$C$23</f>
        <v>0</v>
      </c>
      <c r="O29" s="88">
        <f>K$19*'Mkt share'!$C$23</f>
        <v>0</v>
      </c>
      <c r="R29" s="87" t="s">
        <v>175</v>
      </c>
      <c r="S29" s="105">
        <v>0</v>
      </c>
      <c r="T29" s="80">
        <f>S$10*'Mkt share'!$C$24</f>
        <v>0</v>
      </c>
      <c r="U29" s="80">
        <f>S$13*'Mkt share'!$C$24</f>
        <v>0</v>
      </c>
      <c r="V29" s="80">
        <f>S$16*'Mkt share'!$C$24</f>
        <v>0</v>
      </c>
      <c r="W29" s="88">
        <f>S$19*'Mkt share'!$C$24</f>
        <v>0</v>
      </c>
      <c r="Z29" s="87" t="s">
        <v>175</v>
      </c>
      <c r="AA29" s="105">
        <v>0</v>
      </c>
      <c r="AB29" s="80">
        <f>AA$10*'Mkt share'!$C$25</f>
        <v>0</v>
      </c>
      <c r="AC29" s="80">
        <f>AA$13*'Mkt share'!$C$25</f>
        <v>0</v>
      </c>
      <c r="AD29" s="80">
        <f>AA$16*'Mkt share'!$C$25</f>
        <v>0</v>
      </c>
      <c r="AE29" s="88">
        <f>AA$19*'Mkt share'!$C$25</f>
        <v>0</v>
      </c>
      <c r="AH29" s="87" t="s">
        <v>175</v>
      </c>
      <c r="AI29" s="105">
        <v>0</v>
      </c>
      <c r="AJ29" s="80">
        <f>AI$10*'Mkt share'!$C$26</f>
        <v>0</v>
      </c>
      <c r="AK29" s="80">
        <f>AI$13*'Mkt share'!$C$26</f>
        <v>0</v>
      </c>
      <c r="AL29" s="80">
        <f>AI$16*'Mkt share'!$C$26</f>
        <v>0</v>
      </c>
      <c r="AM29" s="88">
        <f>AI$19*'Mkt share'!$C$26</f>
        <v>0</v>
      </c>
      <c r="AP29" s="87" t="s">
        <v>175</v>
      </c>
      <c r="AQ29" s="105">
        <v>0</v>
      </c>
      <c r="AR29" s="80">
        <f>AQ$10*'Mkt share'!$C$27</f>
        <v>0</v>
      </c>
      <c r="AS29" s="80">
        <f>AQ$13*'Mkt share'!$C$27</f>
        <v>0</v>
      </c>
      <c r="AT29" s="80">
        <f>AQ$16*'Mkt share'!$C$27</f>
        <v>0</v>
      </c>
      <c r="AU29" s="88">
        <f>AQ$19*'Mkt share'!$C$27</f>
        <v>0</v>
      </c>
      <c r="AX29" s="87" t="s">
        <v>175</v>
      </c>
      <c r="AY29" s="105">
        <v>0</v>
      </c>
      <c r="AZ29" s="80">
        <f>AY$10*'Mkt share'!$C$28</f>
        <v>0</v>
      </c>
      <c r="BA29" s="80">
        <f>AY$13*'Mkt share'!$C$28</f>
        <v>0</v>
      </c>
      <c r="BB29" s="80">
        <f>AY$16*'Mkt share'!$C$28</f>
        <v>0</v>
      </c>
      <c r="BC29" s="88">
        <f>AY$19*'Mkt share'!$C$28</f>
        <v>0</v>
      </c>
      <c r="BF29" s="87" t="s">
        <v>175</v>
      </c>
      <c r="BG29" s="105">
        <v>0</v>
      </c>
      <c r="BH29" s="80">
        <f>BG$10*'Mkt share'!$C$29</f>
        <v>0</v>
      </c>
      <c r="BI29" s="80">
        <f>BG$13*'Mkt share'!$C$29</f>
        <v>0</v>
      </c>
      <c r="BJ29" s="80">
        <f>BG$16*'Mkt share'!$C$29</f>
        <v>0</v>
      </c>
      <c r="BK29" s="88">
        <f>BG$19*'Mkt share'!$C$29</f>
        <v>0</v>
      </c>
      <c r="BN29" s="87" t="s">
        <v>175</v>
      </c>
      <c r="BO29" s="105">
        <v>0</v>
      </c>
      <c r="BP29" s="80">
        <f>BO$10*'Mkt share'!$C$30</f>
        <v>0</v>
      </c>
      <c r="BQ29" s="80">
        <f>BO$13*'Mkt share'!$C$30</f>
        <v>0</v>
      </c>
      <c r="BR29" s="80">
        <f>BO$16*'Mkt share'!$C$30</f>
        <v>0</v>
      </c>
      <c r="BS29" s="88">
        <f>BO$19*'Mkt share'!$C$30</f>
        <v>0</v>
      </c>
      <c r="BV29" s="87" t="s">
        <v>175</v>
      </c>
      <c r="BW29" s="105">
        <v>0</v>
      </c>
      <c r="BX29" s="80">
        <f>BW$10*'Mkt share'!$C$31</f>
        <v>0</v>
      </c>
      <c r="BY29" s="80">
        <f>BW$13*'Mkt share'!$C$31</f>
        <v>0</v>
      </c>
      <c r="BZ29" s="80">
        <f>BW$16*'Mkt share'!$C$31</f>
        <v>0</v>
      </c>
      <c r="CA29" s="88">
        <f>BW$19*'Mkt share'!$C$31</f>
        <v>0</v>
      </c>
      <c r="CD29" s="87" t="s">
        <v>175</v>
      </c>
      <c r="CE29" s="105">
        <v>0</v>
      </c>
      <c r="CF29" s="80">
        <f>CE$10*'Mkt share'!$C$32</f>
        <v>0</v>
      </c>
      <c r="CG29" s="80">
        <f>CE$13*'Mkt share'!$C$32</f>
        <v>0</v>
      </c>
      <c r="CH29" s="80">
        <f>CE$16*'Mkt share'!$C$32</f>
        <v>0</v>
      </c>
      <c r="CI29" s="88">
        <f>CE$19*'Mkt share'!$C$32</f>
        <v>0</v>
      </c>
      <c r="CL29" s="87" t="s">
        <v>175</v>
      </c>
      <c r="CM29" s="105">
        <v>0</v>
      </c>
      <c r="CN29" s="80">
        <f>CM$10*'Mkt share'!$C$33</f>
        <v>0</v>
      </c>
      <c r="CO29" s="80">
        <f>CM$13*'Mkt share'!$C$33</f>
        <v>0</v>
      </c>
      <c r="CP29" s="80">
        <f>CM$16*'Mkt share'!$C$33</f>
        <v>0</v>
      </c>
      <c r="CQ29" s="88">
        <f>CM$19*'Mkt share'!$C$33</f>
        <v>0</v>
      </c>
      <c r="CT29" s="87" t="s">
        <v>175</v>
      </c>
      <c r="CU29" s="105">
        <v>0</v>
      </c>
      <c r="CV29" s="80">
        <f>CU$10*'Mkt share'!$C$34</f>
        <v>0</v>
      </c>
      <c r="CW29" s="80">
        <f>CU$13*'Mkt share'!$C$34</f>
        <v>0</v>
      </c>
      <c r="CX29" s="80">
        <f>CU$16*'Mkt share'!$C$34</f>
        <v>0</v>
      </c>
      <c r="CY29" s="88">
        <f>CU$19*'Mkt share'!$C$34</f>
        <v>0</v>
      </c>
      <c r="DB29" s="87" t="s">
        <v>175</v>
      </c>
      <c r="DC29" s="105">
        <v>0</v>
      </c>
      <c r="DD29" s="80">
        <f>DC$10*'Mkt share'!$C$35</f>
        <v>0</v>
      </c>
      <c r="DE29" s="80">
        <f>DC$13*'Mkt share'!$C$35</f>
        <v>0</v>
      </c>
      <c r="DF29" s="80">
        <f>DC$16*'Mkt share'!$C$35</f>
        <v>0</v>
      </c>
      <c r="DG29" s="88">
        <f>DC$19*'Mkt share'!$C$35</f>
        <v>0</v>
      </c>
    </row>
    <row r="30" spans="2:113">
      <c r="B30" s="87" t="s">
        <v>171</v>
      </c>
      <c r="C30" s="103"/>
      <c r="D30" s="80">
        <f>D$7*'Mkt share'!$D$22</f>
        <v>0</v>
      </c>
      <c r="E30" s="80">
        <f>D$8*'Mkt share'!$D$22</f>
        <v>0</v>
      </c>
      <c r="F30" s="80">
        <f>D$11*'Mkt share'!$D$22</f>
        <v>0</v>
      </c>
      <c r="G30" s="88">
        <f>D$14*'Mkt share'!$D$22</f>
        <v>0</v>
      </c>
      <c r="J30" s="87" t="s">
        <v>171</v>
      </c>
      <c r="K30" s="103"/>
      <c r="L30" s="80">
        <f>L$7*'Mkt share'!$D$23</f>
        <v>0</v>
      </c>
      <c r="M30" s="80">
        <f>L$8*'Mkt share'!$D$23</f>
        <v>0</v>
      </c>
      <c r="N30" s="80">
        <f>L$11*'Mkt share'!$D$23</f>
        <v>0</v>
      </c>
      <c r="O30" s="88">
        <f>L$14*'Mkt share'!$D$23</f>
        <v>0</v>
      </c>
      <c r="R30" s="87" t="s">
        <v>171</v>
      </c>
      <c r="S30" s="103"/>
      <c r="T30" s="80">
        <f>T$7*'Mkt share'!$D$24</f>
        <v>0</v>
      </c>
      <c r="U30" s="80">
        <f>T$8*'Mkt share'!$D$24</f>
        <v>0</v>
      </c>
      <c r="V30" s="80">
        <f>T$11*'Mkt share'!$D$24</f>
        <v>0</v>
      </c>
      <c r="W30" s="88">
        <f>T$14*'Mkt share'!$D$24</f>
        <v>0</v>
      </c>
      <c r="Z30" s="87" t="s">
        <v>171</v>
      </c>
      <c r="AA30" s="103"/>
      <c r="AB30" s="80">
        <f>AB$7*'Mkt share'!$D$25</f>
        <v>0</v>
      </c>
      <c r="AC30" s="80">
        <f>AB$8*'Mkt share'!$D$25</f>
        <v>0</v>
      </c>
      <c r="AD30" s="80">
        <f>AB$11*'Mkt share'!$D$25</f>
        <v>0</v>
      </c>
      <c r="AE30" s="88">
        <f>AB$14*'Mkt share'!$D$25</f>
        <v>0</v>
      </c>
      <c r="AH30" s="87" t="s">
        <v>171</v>
      </c>
      <c r="AI30" s="103"/>
      <c r="AJ30" s="80">
        <f>AJ$7*'Mkt share'!$D$26</f>
        <v>1659.7401194073673</v>
      </c>
      <c r="AK30" s="80">
        <f>AJ$8*'Mkt share'!$D$26</f>
        <v>1659.7401194073673</v>
      </c>
      <c r="AL30" s="80">
        <f>AJ$11*'Mkt share'!$D$26</f>
        <v>1659.7401194073673</v>
      </c>
      <c r="AM30" s="88">
        <f>AJ$14*'Mkt share'!$D$26</f>
        <v>1659.7401194073673</v>
      </c>
      <c r="AP30" s="87" t="s">
        <v>171</v>
      </c>
      <c r="AQ30" s="103"/>
      <c r="AR30" s="80">
        <f>AR$7*'Mkt share'!$D$27</f>
        <v>8324.7684292093163</v>
      </c>
      <c r="AS30" s="80">
        <f>AR$8*'Mkt share'!$D$27</f>
        <v>8324.7684292093163</v>
      </c>
      <c r="AT30" s="80">
        <f>AR$11*'Mkt share'!$D$27</f>
        <v>8324.7684292093163</v>
      </c>
      <c r="AU30" s="88">
        <f>AR$14*'Mkt share'!$D$27</f>
        <v>8324.7684292093163</v>
      </c>
      <c r="AX30" s="87" t="s">
        <v>171</v>
      </c>
      <c r="AY30" s="103"/>
      <c r="AZ30" s="80">
        <f>AZ$7*'Mkt share'!$D$28</f>
        <v>9166.970492973518</v>
      </c>
      <c r="BA30" s="80">
        <f>AZ$8*'Mkt share'!$D$28</f>
        <v>9166.970492973518</v>
      </c>
      <c r="BB30" s="80">
        <f>AZ$11*'Mkt share'!$D$28</f>
        <v>9166.970492973518</v>
      </c>
      <c r="BC30" s="88">
        <f>AZ$14*'Mkt share'!$D$28</f>
        <v>9166.970492973518</v>
      </c>
      <c r="BF30" s="87" t="s">
        <v>171</v>
      </c>
      <c r="BG30" s="103"/>
      <c r="BH30" s="80">
        <f>BH$7*'Mkt share'!$D$29</f>
        <v>1637.88497189688</v>
      </c>
      <c r="BI30" s="80">
        <f>BH$8*'Mkt share'!$D$29</f>
        <v>1637.88497189688</v>
      </c>
      <c r="BJ30" s="80">
        <f>BH$11*'Mkt share'!$D$29</f>
        <v>1637.88497189688</v>
      </c>
      <c r="BK30" s="88">
        <f>BH$14*'Mkt share'!$D$29</f>
        <v>1637.88497189688</v>
      </c>
      <c r="BN30" s="87" t="s">
        <v>171</v>
      </c>
      <c r="BO30" s="103"/>
      <c r="BP30" s="80">
        <f>BP$7*'Mkt share'!$D$30</f>
        <v>15.857131921450804</v>
      </c>
      <c r="BQ30" s="80">
        <f>BP$8*'Mkt share'!$D$30</f>
        <v>15.857131921450804</v>
      </c>
      <c r="BR30" s="80">
        <f>BP$11*'Mkt share'!$D$30</f>
        <v>15.857131921450804</v>
      </c>
      <c r="BS30" s="88">
        <f>BP$14*'Mkt share'!$D$30</f>
        <v>15.857131921450804</v>
      </c>
      <c r="BV30" s="87" t="s">
        <v>171</v>
      </c>
      <c r="BW30" s="103"/>
      <c r="BX30" s="80">
        <f>BX$7*'Mkt share'!$D$31</f>
        <v>10.825961282644744</v>
      </c>
      <c r="BY30" s="80">
        <f>BX$8*'Mkt share'!$D$31</f>
        <v>10.825961282644744</v>
      </c>
      <c r="BZ30" s="80">
        <f>BX$11*'Mkt share'!$D$31</f>
        <v>10.825961282644744</v>
      </c>
      <c r="CA30" s="88">
        <f>BX$14*'Mkt share'!$D$31</f>
        <v>10.825961282644744</v>
      </c>
      <c r="CD30" s="87" t="s">
        <v>171</v>
      </c>
      <c r="CE30" s="103"/>
      <c r="CF30" s="80">
        <f>CF$7*'Mkt share'!$D$32</f>
        <v>2345.1638596646931</v>
      </c>
      <c r="CG30" s="80">
        <f>CF$8*'Mkt share'!$D$32</f>
        <v>2345.1638596646931</v>
      </c>
      <c r="CH30" s="80">
        <f>CF$11*'Mkt share'!$D$32</f>
        <v>2345.1638596646931</v>
      </c>
      <c r="CI30" s="88">
        <f>CF$14*'Mkt share'!$D$32</f>
        <v>2345.1638596646931</v>
      </c>
      <c r="CL30" s="87" t="s">
        <v>171</v>
      </c>
      <c r="CM30" s="103"/>
      <c r="CN30" s="80">
        <f>CN$7*'Mkt share'!$D$33</f>
        <v>50244.022781248401</v>
      </c>
      <c r="CO30" s="80">
        <f>CN$8*'Mkt share'!$D$33</f>
        <v>50244.022781248401</v>
      </c>
      <c r="CP30" s="80">
        <f>CN$11*'Mkt share'!$D$33</f>
        <v>50244.022781248401</v>
      </c>
      <c r="CQ30" s="88">
        <f>CN$14*'Mkt share'!$D$33</f>
        <v>50244.022781248401</v>
      </c>
      <c r="CT30" s="87" t="s">
        <v>171</v>
      </c>
      <c r="CU30" s="103"/>
      <c r="CV30" s="80">
        <f>CV$7*'Mkt share'!$D$34</f>
        <v>12860.209813329424</v>
      </c>
      <c r="CW30" s="80">
        <f>CV$8*'Mkt share'!$D$34</f>
        <v>12860.209813329424</v>
      </c>
      <c r="CX30" s="80">
        <f>CV$11*'Mkt share'!$D$34</f>
        <v>12860.209813329424</v>
      </c>
      <c r="CY30" s="88">
        <f>CV$14*'Mkt share'!$D$34</f>
        <v>12860.209813329424</v>
      </c>
      <c r="DB30" s="87" t="s">
        <v>171</v>
      </c>
      <c r="DC30" s="103"/>
      <c r="DD30" s="80">
        <f>DD$7*'Mkt share'!$D$35</f>
        <v>0</v>
      </c>
      <c r="DE30" s="80">
        <f>DD$8*'Mkt share'!$D$35</f>
        <v>0</v>
      </c>
      <c r="DF30" s="80">
        <f>DD$11*'Mkt share'!$D$35</f>
        <v>0</v>
      </c>
      <c r="DG30" s="88">
        <f>DD$14*'Mkt share'!$D$35</f>
        <v>0</v>
      </c>
    </row>
    <row r="31" spans="2:113">
      <c r="B31" s="87" t="s">
        <v>176</v>
      </c>
      <c r="C31" s="103"/>
      <c r="D31" s="105">
        <v>0</v>
      </c>
      <c r="E31" s="80">
        <f>D$10*'Mkt share'!$D$22</f>
        <v>0</v>
      </c>
      <c r="F31" s="80">
        <f>D$13*'Mkt share'!$D$22</f>
        <v>0</v>
      </c>
      <c r="G31" s="88">
        <f>D$16*'Mkt share'!$D$22</f>
        <v>0</v>
      </c>
      <c r="J31" s="87" t="s">
        <v>176</v>
      </c>
      <c r="K31" s="103"/>
      <c r="L31" s="105">
        <v>0</v>
      </c>
      <c r="M31" s="80">
        <f>L$10*'Mkt share'!$D$23</f>
        <v>0</v>
      </c>
      <c r="N31" s="80">
        <f>L$13*'Mkt share'!$D$23</f>
        <v>0</v>
      </c>
      <c r="O31" s="88">
        <f>L$16*'Mkt share'!$D$23</f>
        <v>0</v>
      </c>
      <c r="R31" s="87" t="s">
        <v>176</v>
      </c>
      <c r="S31" s="103"/>
      <c r="T31" s="105">
        <v>0</v>
      </c>
      <c r="U31" s="80">
        <f>T$10*'Mkt share'!$D$24</f>
        <v>0</v>
      </c>
      <c r="V31" s="80">
        <f>T$13*'Mkt share'!$D$24</f>
        <v>0</v>
      </c>
      <c r="W31" s="88">
        <f>T$16*'Mkt share'!$D$24</f>
        <v>0</v>
      </c>
      <c r="Z31" s="87" t="s">
        <v>176</v>
      </c>
      <c r="AA31" s="103"/>
      <c r="AB31" s="105">
        <v>0</v>
      </c>
      <c r="AC31" s="80">
        <f>AB$10*'Mkt share'!$D$25</f>
        <v>0</v>
      </c>
      <c r="AD31" s="80">
        <f>AB$13*'Mkt share'!$D$25</f>
        <v>0</v>
      </c>
      <c r="AE31" s="88">
        <f>AB$16*'Mkt share'!$D$25</f>
        <v>0</v>
      </c>
      <c r="AH31" s="87" t="s">
        <v>176</v>
      </c>
      <c r="AI31" s="103"/>
      <c r="AJ31" s="105">
        <v>0</v>
      </c>
      <c r="AK31" s="80">
        <f>AJ$10*'Mkt share'!$D$26</f>
        <v>0</v>
      </c>
      <c r="AL31" s="80">
        <f>AJ$13*'Mkt share'!$D$26</f>
        <v>0</v>
      </c>
      <c r="AM31" s="88">
        <f>AJ$16*'Mkt share'!$D$26</f>
        <v>0</v>
      </c>
      <c r="AP31" s="87" t="s">
        <v>176</v>
      </c>
      <c r="AQ31" s="103"/>
      <c r="AR31" s="105">
        <v>0</v>
      </c>
      <c r="AS31" s="80">
        <f>AR$10*'Mkt share'!$D$27</f>
        <v>0</v>
      </c>
      <c r="AT31" s="80">
        <f>AR$13*'Mkt share'!$D$27</f>
        <v>0</v>
      </c>
      <c r="AU31" s="88">
        <f>AR$16*'Mkt share'!$D$27</f>
        <v>0</v>
      </c>
      <c r="AX31" s="87" t="s">
        <v>176</v>
      </c>
      <c r="AY31" s="103"/>
      <c r="AZ31" s="105">
        <v>0</v>
      </c>
      <c r="BA31" s="80">
        <f>AZ$10*'Mkt share'!$D$28</f>
        <v>0</v>
      </c>
      <c r="BB31" s="80">
        <f>AZ$13*'Mkt share'!$D$28</f>
        <v>0</v>
      </c>
      <c r="BC31" s="88">
        <f>AZ$16*'Mkt share'!$D$28</f>
        <v>0</v>
      </c>
      <c r="BF31" s="87" t="s">
        <v>176</v>
      </c>
      <c r="BG31" s="103"/>
      <c r="BH31" s="105">
        <v>0</v>
      </c>
      <c r="BI31" s="80">
        <f>BH$10*'Mkt share'!$D$29</f>
        <v>0</v>
      </c>
      <c r="BJ31" s="80">
        <f>BH$13*'Mkt share'!$D$29</f>
        <v>0</v>
      </c>
      <c r="BK31" s="88">
        <f>BH$16*'Mkt share'!$D$29</f>
        <v>0</v>
      </c>
      <c r="BN31" s="87" t="s">
        <v>176</v>
      </c>
      <c r="BO31" s="103"/>
      <c r="BP31" s="105">
        <v>0</v>
      </c>
      <c r="BQ31" s="80">
        <f>BP$10*'Mkt share'!$D$30</f>
        <v>0</v>
      </c>
      <c r="BR31" s="80">
        <f>BP$13*'Mkt share'!$D$30</f>
        <v>0</v>
      </c>
      <c r="BS31" s="88">
        <f>BP$16*'Mkt share'!$D$30</f>
        <v>0</v>
      </c>
      <c r="BV31" s="87" t="s">
        <v>176</v>
      </c>
      <c r="BW31" s="103"/>
      <c r="BX31" s="105">
        <v>0</v>
      </c>
      <c r="BY31" s="80">
        <f>BX$10*'Mkt share'!$D$31</f>
        <v>0</v>
      </c>
      <c r="BZ31" s="80">
        <f>BX$13*'Mkt share'!$D$31</f>
        <v>0</v>
      </c>
      <c r="CA31" s="88">
        <f>BX$16*'Mkt share'!$D$31</f>
        <v>0</v>
      </c>
      <c r="CD31" s="87" t="s">
        <v>176</v>
      </c>
      <c r="CE31" s="103"/>
      <c r="CF31" s="105">
        <v>0</v>
      </c>
      <c r="CG31" s="80">
        <f>CF$10*'Mkt share'!$D$32</f>
        <v>0</v>
      </c>
      <c r="CH31" s="80">
        <f>CF$13*'Mkt share'!$D$32</f>
        <v>0</v>
      </c>
      <c r="CI31" s="88">
        <f>CF$16*'Mkt share'!$D$32</f>
        <v>0</v>
      </c>
      <c r="CL31" s="87" t="s">
        <v>176</v>
      </c>
      <c r="CM31" s="103"/>
      <c r="CN31" s="105">
        <v>0</v>
      </c>
      <c r="CO31" s="80">
        <f>CN$10*'Mkt share'!$D$33</f>
        <v>0</v>
      </c>
      <c r="CP31" s="80">
        <f>CN$13*'Mkt share'!$D$33</f>
        <v>0</v>
      </c>
      <c r="CQ31" s="88">
        <f>CN$16*'Mkt share'!$D$33</f>
        <v>0</v>
      </c>
      <c r="CT31" s="87" t="s">
        <v>176</v>
      </c>
      <c r="CU31" s="103"/>
      <c r="CV31" s="105">
        <v>0</v>
      </c>
      <c r="CW31" s="80">
        <f>CV$10*'Mkt share'!$D$34</f>
        <v>0</v>
      </c>
      <c r="CX31" s="80">
        <f>CV$13*'Mkt share'!$D$34</f>
        <v>0</v>
      </c>
      <c r="CY31" s="88">
        <f>CV$16*'Mkt share'!$D$34</f>
        <v>0</v>
      </c>
      <c r="DB31" s="87" t="s">
        <v>176</v>
      </c>
      <c r="DC31" s="103"/>
      <c r="DD31" s="105">
        <v>0</v>
      </c>
      <c r="DE31" s="80">
        <f>DD$10*'Mkt share'!$D$35</f>
        <v>0</v>
      </c>
      <c r="DF31" s="80">
        <f>DD$13*'Mkt share'!$D$35</f>
        <v>0</v>
      </c>
      <c r="DG31" s="88">
        <f>DD$16*'Mkt share'!$D$35</f>
        <v>0</v>
      </c>
    </row>
    <row r="32" spans="2:113">
      <c r="B32" s="87" t="s">
        <v>172</v>
      </c>
      <c r="C32" s="103"/>
      <c r="D32" s="103"/>
      <c r="E32" s="80">
        <f>E$7*'Mkt share'!$E$22</f>
        <v>0</v>
      </c>
      <c r="F32" s="80">
        <f>E$8*'Mkt share'!$E$22</f>
        <v>0</v>
      </c>
      <c r="G32" s="88">
        <f>E$11*'Mkt share'!$E$22</f>
        <v>0</v>
      </c>
      <c r="J32" s="87" t="s">
        <v>172</v>
      </c>
      <c r="K32" s="103"/>
      <c r="L32" s="103"/>
      <c r="M32" s="80">
        <f>M$7*'Mkt share'!$E$23</f>
        <v>0</v>
      </c>
      <c r="N32" s="80">
        <f>M$8*'Mkt share'!$E$23</f>
        <v>0</v>
      </c>
      <c r="O32" s="88">
        <f>M$11*'Mkt share'!$E$23</f>
        <v>0</v>
      </c>
      <c r="R32" s="87" t="s">
        <v>172</v>
      </c>
      <c r="S32" s="103"/>
      <c r="T32" s="103"/>
      <c r="U32" s="80">
        <f>U$7*'Mkt share'!$E$24</f>
        <v>0</v>
      </c>
      <c r="V32" s="80">
        <f>U$8*'Mkt share'!$E$24</f>
        <v>0</v>
      </c>
      <c r="W32" s="88">
        <f>U$11*'Mkt share'!$E$24</f>
        <v>0</v>
      </c>
      <c r="Z32" s="87" t="s">
        <v>172</v>
      </c>
      <c r="AA32" s="103"/>
      <c r="AB32" s="103"/>
      <c r="AC32" s="80">
        <f>AC$7*'Mkt share'!$E$25</f>
        <v>0</v>
      </c>
      <c r="AD32" s="80">
        <f>AC$8*'Mkt share'!$E$25</f>
        <v>0</v>
      </c>
      <c r="AE32" s="88">
        <f>AC$11*'Mkt share'!$E$25</f>
        <v>0</v>
      </c>
      <c r="AH32" s="87" t="s">
        <v>172</v>
      </c>
      <c r="AI32" s="103"/>
      <c r="AJ32" s="103"/>
      <c r="AK32" s="80">
        <f>AK$7*'Mkt share'!$E$26</f>
        <v>1590.1945845233208</v>
      </c>
      <c r="AL32" s="80">
        <f>AK$8*'Mkt share'!$E$26</f>
        <v>1590.1945845233208</v>
      </c>
      <c r="AM32" s="88">
        <f>AK$11*'Mkt share'!$E$26</f>
        <v>1590.1945845233208</v>
      </c>
      <c r="AP32" s="87" t="s">
        <v>172</v>
      </c>
      <c r="AQ32" s="103"/>
      <c r="AR32" s="103"/>
      <c r="AS32" s="80">
        <f>AS$7*'Mkt share'!$E$27</f>
        <v>7975.9484745516511</v>
      </c>
      <c r="AT32" s="80">
        <f>AS$8*'Mkt share'!$E$27</f>
        <v>7975.9484745516511</v>
      </c>
      <c r="AU32" s="88">
        <f>AS$11*'Mkt share'!$E$27</f>
        <v>7975.9484745516511</v>
      </c>
      <c r="AX32" s="87" t="s">
        <v>172</v>
      </c>
      <c r="AY32" s="103"/>
      <c r="AZ32" s="103"/>
      <c r="BA32" s="80">
        <f>BA$7*'Mkt share'!$E$28</f>
        <v>8782.8610418940625</v>
      </c>
      <c r="BB32" s="80">
        <f>BA$8*'Mkt share'!$E$28</f>
        <v>8782.8610418940625</v>
      </c>
      <c r="BC32" s="88">
        <f>BA$11*'Mkt share'!$E$28</f>
        <v>8782.8610418940625</v>
      </c>
      <c r="BF32" s="87" t="s">
        <v>172</v>
      </c>
      <c r="BG32" s="103"/>
      <c r="BH32" s="103"/>
      <c r="BI32" s="80">
        <f>BI$7*'Mkt share'!$E$29</f>
        <v>1569.2551996107329</v>
      </c>
      <c r="BJ32" s="80">
        <f>BI$8*'Mkt share'!$E$29</f>
        <v>1569.2551996107329</v>
      </c>
      <c r="BK32" s="88">
        <f>BI$11*'Mkt share'!$E$29</f>
        <v>1569.2551996107329</v>
      </c>
      <c r="BN32" s="87" t="s">
        <v>172</v>
      </c>
      <c r="BO32" s="103"/>
      <c r="BP32" s="103"/>
      <c r="BQ32" s="80">
        <f>BQ$7*'Mkt share'!$E$30</f>
        <v>15.192694936220882</v>
      </c>
      <c r="BR32" s="80">
        <f>BQ$8*'Mkt share'!$E$30</f>
        <v>15.192694936220882</v>
      </c>
      <c r="BS32" s="88">
        <f>BQ$11*'Mkt share'!$E$30</f>
        <v>15.192694936220882</v>
      </c>
      <c r="BV32" s="87" t="s">
        <v>172</v>
      </c>
      <c r="BW32" s="103"/>
      <c r="BX32" s="103"/>
      <c r="BY32" s="80">
        <f>BY$7*'Mkt share'!$E$31</f>
        <v>10.372337694691506</v>
      </c>
      <c r="BZ32" s="80">
        <f>BY$8*'Mkt share'!$E$31</f>
        <v>10.372337694691506</v>
      </c>
      <c r="CA32" s="88">
        <f>BY$11*'Mkt share'!$E$31</f>
        <v>10.372337694691506</v>
      </c>
      <c r="CD32" s="87" t="s">
        <v>172</v>
      </c>
      <c r="CE32" s="103"/>
      <c r="CF32" s="103"/>
      <c r="CG32" s="80">
        <f>CG$7*'Mkt share'!$E$32</f>
        <v>2246.898069072518</v>
      </c>
      <c r="CH32" s="80">
        <f>CG$8*'Mkt share'!$E$32</f>
        <v>2246.898069072518</v>
      </c>
      <c r="CI32" s="88">
        <f>CG$11*'Mkt share'!$E$32</f>
        <v>2246.898069072518</v>
      </c>
      <c r="CL32" s="87" t="s">
        <v>172</v>
      </c>
      <c r="CM32" s="103"/>
      <c r="CN32" s="103"/>
      <c r="CO32" s="80">
        <f>CO$7*'Mkt share'!$E$33</f>
        <v>48138.724850451974</v>
      </c>
      <c r="CP32" s="80">
        <f>CO$8*'Mkt share'!$E$33</f>
        <v>48138.724850451974</v>
      </c>
      <c r="CQ32" s="88">
        <f>CO$11*'Mkt share'!$E$33</f>
        <v>48138.724850451974</v>
      </c>
      <c r="CT32" s="87" t="s">
        <v>172</v>
      </c>
      <c r="CU32" s="103"/>
      <c r="CV32" s="103"/>
      <c r="CW32" s="80">
        <f>CW$7*'Mkt share'!$E$34</f>
        <v>12321.348241128348</v>
      </c>
      <c r="CX32" s="80">
        <f>CW$8*'Mkt share'!$E$34</f>
        <v>12321.348241128348</v>
      </c>
      <c r="CY32" s="88">
        <f>CW$11*'Mkt share'!$E$34</f>
        <v>12321.348241128348</v>
      </c>
      <c r="DB32" s="87" t="s">
        <v>172</v>
      </c>
      <c r="DC32" s="103"/>
      <c r="DD32" s="103"/>
      <c r="DE32" s="80">
        <f>DE$7*'Mkt share'!$E$35</f>
        <v>0</v>
      </c>
      <c r="DF32" s="80">
        <f>DE$8*'Mkt share'!$E$35</f>
        <v>0</v>
      </c>
      <c r="DG32" s="88">
        <f>DE$11*'Mkt share'!$E$35</f>
        <v>0</v>
      </c>
    </row>
    <row r="33" spans="2:111">
      <c r="B33" s="87" t="s">
        <v>177</v>
      </c>
      <c r="C33" s="103"/>
      <c r="D33" s="103"/>
      <c r="E33" s="105">
        <v>0</v>
      </c>
      <c r="F33" s="80">
        <f>E$10*'Mkt share'!$E$22</f>
        <v>0</v>
      </c>
      <c r="G33" s="88">
        <f>E$13*'Mkt share'!$E$22</f>
        <v>0</v>
      </c>
      <c r="J33" s="87" t="s">
        <v>177</v>
      </c>
      <c r="K33" s="103"/>
      <c r="L33" s="103"/>
      <c r="M33" s="105">
        <v>0</v>
      </c>
      <c r="N33" s="80">
        <f>M$10*'Mkt share'!$E$23</f>
        <v>0</v>
      </c>
      <c r="O33" s="88">
        <f>M$13*'Mkt share'!$E$23</f>
        <v>0</v>
      </c>
      <c r="R33" s="87" t="s">
        <v>177</v>
      </c>
      <c r="S33" s="103"/>
      <c r="T33" s="103"/>
      <c r="U33" s="105">
        <v>0</v>
      </c>
      <c r="V33" s="80">
        <f>U$10*'Mkt share'!$E$24</f>
        <v>0</v>
      </c>
      <c r="W33" s="88">
        <f>U$13*'Mkt share'!$E$24</f>
        <v>0</v>
      </c>
      <c r="Z33" s="87" t="s">
        <v>177</v>
      </c>
      <c r="AA33" s="103"/>
      <c r="AB33" s="103"/>
      <c r="AC33" s="105">
        <v>0</v>
      </c>
      <c r="AD33" s="80">
        <f>AC$10*'Mkt share'!$E$25</f>
        <v>0</v>
      </c>
      <c r="AE33" s="88">
        <f>AC$13*'Mkt share'!$E$25</f>
        <v>0</v>
      </c>
      <c r="AH33" s="87" t="s">
        <v>177</v>
      </c>
      <c r="AI33" s="103"/>
      <c r="AJ33" s="103"/>
      <c r="AK33" s="105">
        <v>0</v>
      </c>
      <c r="AL33" s="80">
        <f>AK$10*'Mkt share'!$E$26</f>
        <v>0</v>
      </c>
      <c r="AM33" s="88">
        <f>AK$13*'Mkt share'!$E$26</f>
        <v>0</v>
      </c>
      <c r="AP33" s="87" t="s">
        <v>177</v>
      </c>
      <c r="AQ33" s="103"/>
      <c r="AR33" s="103"/>
      <c r="AS33" s="105">
        <v>0</v>
      </c>
      <c r="AT33" s="80">
        <f>AS$10*'Mkt share'!$E$27</f>
        <v>0</v>
      </c>
      <c r="AU33" s="88">
        <f>AS$13*'Mkt share'!$E$27</f>
        <v>0</v>
      </c>
      <c r="AX33" s="87" t="s">
        <v>177</v>
      </c>
      <c r="AY33" s="103"/>
      <c r="AZ33" s="103"/>
      <c r="BA33" s="105">
        <v>0</v>
      </c>
      <c r="BB33" s="80">
        <f>BA$10*'Mkt share'!$E$28</f>
        <v>0</v>
      </c>
      <c r="BC33" s="88">
        <f>BA$13*'Mkt share'!$E$28</f>
        <v>0</v>
      </c>
      <c r="BF33" s="87" t="s">
        <v>177</v>
      </c>
      <c r="BG33" s="103"/>
      <c r="BH33" s="103"/>
      <c r="BI33" s="105">
        <v>0</v>
      </c>
      <c r="BJ33" s="80">
        <f>BI$10*'Mkt share'!$E$29</f>
        <v>0</v>
      </c>
      <c r="BK33" s="88">
        <f>BI$13*'Mkt share'!$E$29</f>
        <v>0</v>
      </c>
      <c r="BN33" s="87" t="s">
        <v>177</v>
      </c>
      <c r="BO33" s="103"/>
      <c r="BP33" s="103"/>
      <c r="BQ33" s="105">
        <v>0</v>
      </c>
      <c r="BR33" s="80">
        <f>BQ$10*'Mkt share'!$E$30</f>
        <v>0</v>
      </c>
      <c r="BS33" s="88">
        <f>BQ$13*'Mkt share'!$E$30</f>
        <v>0</v>
      </c>
      <c r="BV33" s="87" t="s">
        <v>177</v>
      </c>
      <c r="BW33" s="103"/>
      <c r="BX33" s="103"/>
      <c r="BY33" s="105">
        <v>0</v>
      </c>
      <c r="BZ33" s="80">
        <f>BY$10*'Mkt share'!$E$31</f>
        <v>0</v>
      </c>
      <c r="CA33" s="88">
        <f>BY$13*'Mkt share'!$E$31</f>
        <v>0</v>
      </c>
      <c r="CD33" s="87" t="s">
        <v>177</v>
      </c>
      <c r="CE33" s="103"/>
      <c r="CF33" s="103"/>
      <c r="CG33" s="105">
        <v>0</v>
      </c>
      <c r="CH33" s="80">
        <f>CG$10*'Mkt share'!$E$32</f>
        <v>0</v>
      </c>
      <c r="CI33" s="88">
        <f>CG$13*'Mkt share'!$E$32</f>
        <v>0</v>
      </c>
      <c r="CL33" s="87" t="s">
        <v>177</v>
      </c>
      <c r="CM33" s="103"/>
      <c r="CN33" s="103"/>
      <c r="CO33" s="105">
        <v>0</v>
      </c>
      <c r="CP33" s="80">
        <f>CO$10*'Mkt share'!$E$33</f>
        <v>0</v>
      </c>
      <c r="CQ33" s="88">
        <f>CO$13*'Mkt share'!$E$33</f>
        <v>0</v>
      </c>
      <c r="CT33" s="87" t="s">
        <v>177</v>
      </c>
      <c r="CU33" s="103"/>
      <c r="CV33" s="103"/>
      <c r="CW33" s="105">
        <v>0</v>
      </c>
      <c r="CX33" s="80">
        <f>CW$10*'Mkt share'!$E$34</f>
        <v>0</v>
      </c>
      <c r="CY33" s="88">
        <f>CW$13*'Mkt share'!$E$34</f>
        <v>0</v>
      </c>
      <c r="DB33" s="87" t="s">
        <v>177</v>
      </c>
      <c r="DC33" s="103"/>
      <c r="DD33" s="103"/>
      <c r="DE33" s="105">
        <v>0</v>
      </c>
      <c r="DF33" s="80">
        <f>DE$10*'Mkt share'!$E$35</f>
        <v>0</v>
      </c>
      <c r="DG33" s="88">
        <f>DE$13*'Mkt share'!$E$35</f>
        <v>0</v>
      </c>
    </row>
    <row r="34" spans="2:111">
      <c r="B34" s="87" t="s">
        <v>173</v>
      </c>
      <c r="C34" s="103"/>
      <c r="D34" s="103"/>
      <c r="E34" s="103"/>
      <c r="F34" s="80">
        <f>F$7*'Mkt share'!$F$22</f>
        <v>0</v>
      </c>
      <c r="G34" s="88">
        <f>F$8*'Mkt share'!$F$22</f>
        <v>0</v>
      </c>
      <c r="J34" s="87" t="s">
        <v>173</v>
      </c>
      <c r="K34" s="103"/>
      <c r="L34" s="103"/>
      <c r="M34" s="103"/>
      <c r="N34" s="80">
        <f>N$7*'Mkt share'!$F$23</f>
        <v>0</v>
      </c>
      <c r="O34" s="88">
        <f>N$8*'Mkt share'!$F$23</f>
        <v>0</v>
      </c>
      <c r="R34" s="87" t="s">
        <v>173</v>
      </c>
      <c r="S34" s="103"/>
      <c r="T34" s="103"/>
      <c r="U34" s="103"/>
      <c r="V34" s="80">
        <f>V$7*'Mkt share'!$F$24</f>
        <v>0</v>
      </c>
      <c r="W34" s="88">
        <f>V$8*'Mkt share'!$F$24</f>
        <v>0</v>
      </c>
      <c r="Z34" s="87" t="s">
        <v>173</v>
      </c>
      <c r="AA34" s="103"/>
      <c r="AB34" s="103"/>
      <c r="AC34" s="103"/>
      <c r="AD34" s="80">
        <f>AD$7*'Mkt share'!$F$25</f>
        <v>0</v>
      </c>
      <c r="AE34" s="88">
        <f>AD$8*'Mkt share'!$F$25</f>
        <v>0</v>
      </c>
      <c r="AH34" s="87" t="s">
        <v>173</v>
      </c>
      <c r="AI34" s="103"/>
      <c r="AJ34" s="103"/>
      <c r="AK34" s="103"/>
      <c r="AL34" s="80">
        <f>AL$7*'Mkt share'!$F$26</f>
        <v>1593.9733236887002</v>
      </c>
      <c r="AM34" s="88">
        <f>AL$8*'Mkt share'!$F$26</f>
        <v>1593.9733236887002</v>
      </c>
      <c r="AP34" s="87" t="s">
        <v>173</v>
      </c>
      <c r="AQ34" s="103"/>
      <c r="AR34" s="103"/>
      <c r="AS34" s="103"/>
      <c r="AT34" s="80">
        <f>AT$7*'Mkt share'!$F$27</f>
        <v>7994.9015191508252</v>
      </c>
      <c r="AU34" s="88">
        <f>AT$8*'Mkt share'!$F$27</f>
        <v>7994.9015191508252</v>
      </c>
      <c r="AX34" s="87" t="s">
        <v>173</v>
      </c>
      <c r="AY34" s="103"/>
      <c r="AZ34" s="103"/>
      <c r="BA34" s="103"/>
      <c r="BB34" s="80">
        <f>BB$7*'Mkt share'!$F$28</f>
        <v>8803.7315324152187</v>
      </c>
      <c r="BC34" s="88">
        <f>BB$8*'Mkt share'!$F$28</f>
        <v>8803.7315324152187</v>
      </c>
      <c r="BF34" s="87" t="s">
        <v>173</v>
      </c>
      <c r="BG34" s="103"/>
      <c r="BH34" s="103"/>
      <c r="BI34" s="103"/>
      <c r="BJ34" s="80">
        <f>BJ$7*'Mkt share'!$F$29</f>
        <v>1572.9841810454307</v>
      </c>
      <c r="BK34" s="88">
        <f>BJ$8*'Mkt share'!$F$29</f>
        <v>1572.9841810454307</v>
      </c>
      <c r="BN34" s="87" t="s">
        <v>173</v>
      </c>
      <c r="BO34" s="103"/>
      <c r="BP34" s="103"/>
      <c r="BQ34" s="103"/>
      <c r="BR34" s="80">
        <f>BR$7*'Mkt share'!$F$30</f>
        <v>15.228796952880916</v>
      </c>
      <c r="BS34" s="88">
        <f>BR$8*'Mkt share'!$F$30</f>
        <v>15.228796952880916</v>
      </c>
      <c r="BV34" s="87" t="s">
        <v>173</v>
      </c>
      <c r="BW34" s="103"/>
      <c r="BX34" s="103"/>
      <c r="BY34" s="103"/>
      <c r="BZ34" s="80">
        <f>BZ$7*'Mkt share'!$F$31</f>
        <v>10.396985218375043</v>
      </c>
      <c r="CA34" s="88">
        <f>BZ$8*'Mkt share'!$F$31</f>
        <v>10.396985218375043</v>
      </c>
      <c r="CD34" s="87" t="s">
        <v>173</v>
      </c>
      <c r="CE34" s="103"/>
      <c r="CF34" s="103"/>
      <c r="CG34" s="103"/>
      <c r="CH34" s="80">
        <f>CH$7*'Mkt share'!$F$32</f>
        <v>2252.2373161161522</v>
      </c>
      <c r="CI34" s="88">
        <f>CH$8*'Mkt share'!$F$32</f>
        <v>2252.2373161161522</v>
      </c>
      <c r="CL34" s="87" t="s">
        <v>173</v>
      </c>
      <c r="CM34" s="103"/>
      <c r="CN34" s="103"/>
      <c r="CO34" s="103"/>
      <c r="CP34" s="80">
        <f>CP$7*'Mkt share'!$F$33</f>
        <v>48253.115684589015</v>
      </c>
      <c r="CQ34" s="88">
        <f>CP$8*'Mkt share'!$F$33</f>
        <v>48253.115684589015</v>
      </c>
      <c r="CT34" s="87" t="s">
        <v>173</v>
      </c>
      <c r="CU34" s="103"/>
      <c r="CV34" s="103"/>
      <c r="CW34" s="103"/>
      <c r="CX34" s="80">
        <f>CX$7*'Mkt share'!$F$34</f>
        <v>12350.627149270891</v>
      </c>
      <c r="CY34" s="88">
        <f>CX$8*'Mkt share'!$F$34</f>
        <v>12350.627149270891</v>
      </c>
      <c r="DB34" s="87" t="s">
        <v>173</v>
      </c>
      <c r="DC34" s="103"/>
      <c r="DD34" s="103"/>
      <c r="DE34" s="103"/>
      <c r="DF34" s="80">
        <f>DF$7*'Mkt share'!$F$35</f>
        <v>0</v>
      </c>
      <c r="DG34" s="88">
        <f>DF$8*'Mkt share'!$F$35</f>
        <v>0</v>
      </c>
    </row>
    <row r="35" spans="2:111">
      <c r="B35" s="87" t="s">
        <v>178</v>
      </c>
      <c r="C35" s="103"/>
      <c r="D35" s="103"/>
      <c r="E35" s="103"/>
      <c r="F35" s="105">
        <v>0</v>
      </c>
      <c r="G35" s="88">
        <f>F$10*'Mkt share'!$F$22</f>
        <v>0</v>
      </c>
      <c r="J35" s="87" t="s">
        <v>178</v>
      </c>
      <c r="K35" s="103"/>
      <c r="L35" s="103"/>
      <c r="M35" s="103"/>
      <c r="N35" s="105">
        <v>0</v>
      </c>
      <c r="O35" s="88">
        <f>N$10*'Mkt share'!$F$23</f>
        <v>0</v>
      </c>
      <c r="R35" s="87" t="s">
        <v>178</v>
      </c>
      <c r="S35" s="103"/>
      <c r="T35" s="103"/>
      <c r="U35" s="103"/>
      <c r="V35" s="105">
        <v>0</v>
      </c>
      <c r="W35" s="88">
        <f>V$10*'Mkt share'!$F$24</f>
        <v>0</v>
      </c>
      <c r="Z35" s="87" t="s">
        <v>178</v>
      </c>
      <c r="AA35" s="103"/>
      <c r="AB35" s="103"/>
      <c r="AC35" s="103"/>
      <c r="AD35" s="105">
        <v>0</v>
      </c>
      <c r="AE35" s="88">
        <f>AD$10*'Mkt share'!$F$25</f>
        <v>0</v>
      </c>
      <c r="AH35" s="87" t="s">
        <v>178</v>
      </c>
      <c r="AI35" s="103"/>
      <c r="AJ35" s="103"/>
      <c r="AK35" s="103"/>
      <c r="AL35" s="105">
        <v>0</v>
      </c>
      <c r="AM35" s="88">
        <f>AL$10*'Mkt share'!$F$26</f>
        <v>0</v>
      </c>
      <c r="AP35" s="87" t="s">
        <v>178</v>
      </c>
      <c r="AQ35" s="103"/>
      <c r="AR35" s="103"/>
      <c r="AS35" s="103"/>
      <c r="AT35" s="105">
        <v>0</v>
      </c>
      <c r="AU35" s="88">
        <f>AT$10*'Mkt share'!$F$27</f>
        <v>0</v>
      </c>
      <c r="AX35" s="87" t="s">
        <v>178</v>
      </c>
      <c r="AY35" s="103"/>
      <c r="AZ35" s="103"/>
      <c r="BA35" s="103"/>
      <c r="BB35" s="105">
        <v>0</v>
      </c>
      <c r="BC35" s="88">
        <f>BB$10*'Mkt share'!$F$28</f>
        <v>0</v>
      </c>
      <c r="BF35" s="87" t="s">
        <v>178</v>
      </c>
      <c r="BG35" s="103"/>
      <c r="BH35" s="103"/>
      <c r="BI35" s="103"/>
      <c r="BJ35" s="105">
        <v>0</v>
      </c>
      <c r="BK35" s="88">
        <f>BJ$10*'Mkt share'!$F$29</f>
        <v>0</v>
      </c>
      <c r="BN35" s="87" t="s">
        <v>178</v>
      </c>
      <c r="BO35" s="103"/>
      <c r="BP35" s="103"/>
      <c r="BQ35" s="103"/>
      <c r="BR35" s="105">
        <v>0</v>
      </c>
      <c r="BS35" s="88">
        <f>BR$10*'Mkt share'!$F$30</f>
        <v>0</v>
      </c>
      <c r="BV35" s="87" t="s">
        <v>178</v>
      </c>
      <c r="BW35" s="103"/>
      <c r="BX35" s="103"/>
      <c r="BY35" s="103"/>
      <c r="BZ35" s="105">
        <v>0</v>
      </c>
      <c r="CA35" s="88">
        <f>BZ$10*'Mkt share'!$F$31</f>
        <v>0</v>
      </c>
      <c r="CD35" s="87" t="s">
        <v>178</v>
      </c>
      <c r="CE35" s="103"/>
      <c r="CF35" s="103"/>
      <c r="CG35" s="103"/>
      <c r="CH35" s="105">
        <v>0</v>
      </c>
      <c r="CI35" s="88">
        <f>CH$10*'Mkt share'!$F$32</f>
        <v>0</v>
      </c>
      <c r="CL35" s="87" t="s">
        <v>178</v>
      </c>
      <c r="CM35" s="103"/>
      <c r="CN35" s="103"/>
      <c r="CO35" s="103"/>
      <c r="CP35" s="105">
        <v>0</v>
      </c>
      <c r="CQ35" s="88">
        <f>CP$10*'Mkt share'!$F$33</f>
        <v>0</v>
      </c>
      <c r="CT35" s="87" t="s">
        <v>178</v>
      </c>
      <c r="CU35" s="103"/>
      <c r="CV35" s="103"/>
      <c r="CW35" s="103"/>
      <c r="CX35" s="105">
        <v>0</v>
      </c>
      <c r="CY35" s="88">
        <f>CX$10*'Mkt share'!$F$34</f>
        <v>0</v>
      </c>
      <c r="DB35" s="87" t="s">
        <v>178</v>
      </c>
      <c r="DC35" s="103"/>
      <c r="DD35" s="103"/>
      <c r="DE35" s="103"/>
      <c r="DF35" s="105">
        <v>0</v>
      </c>
      <c r="DG35" s="88">
        <f>DF$10*'Mkt share'!$F$35</f>
        <v>0</v>
      </c>
    </row>
    <row r="36" spans="2:111">
      <c r="B36" s="87" t="s">
        <v>174</v>
      </c>
      <c r="C36" s="103"/>
      <c r="D36" s="103"/>
      <c r="E36" s="103"/>
      <c r="F36" s="103"/>
      <c r="G36" s="88">
        <f>G$7*'Mkt share'!$G$22</f>
        <v>0</v>
      </c>
      <c r="J36" s="87" t="s">
        <v>174</v>
      </c>
      <c r="K36" s="103"/>
      <c r="L36" s="103"/>
      <c r="M36" s="103"/>
      <c r="N36" s="103"/>
      <c r="O36" s="88">
        <f>O$7*'Mkt share'!$G$23</f>
        <v>0</v>
      </c>
      <c r="R36" s="87" t="s">
        <v>174</v>
      </c>
      <c r="S36" s="103"/>
      <c r="T36" s="103"/>
      <c r="U36" s="103"/>
      <c r="V36" s="103"/>
      <c r="W36" s="88">
        <f>W$7*'Mkt share'!$G$24</f>
        <v>0</v>
      </c>
      <c r="Z36" s="87" t="s">
        <v>174</v>
      </c>
      <c r="AA36" s="103"/>
      <c r="AB36" s="103"/>
      <c r="AC36" s="103"/>
      <c r="AD36" s="103"/>
      <c r="AE36" s="88">
        <f>AE$7*'Mkt share'!$G$25</f>
        <v>0</v>
      </c>
      <c r="AH36" s="87" t="s">
        <v>174</v>
      </c>
      <c r="AI36" s="103"/>
      <c r="AJ36" s="103"/>
      <c r="AK36" s="103"/>
      <c r="AL36" s="103"/>
      <c r="AM36" s="88">
        <f>AM$7*'Mkt share'!$G$26</f>
        <v>1602.7034293150843</v>
      </c>
      <c r="AP36" s="87" t="s">
        <v>174</v>
      </c>
      <c r="AQ36" s="103"/>
      <c r="AR36" s="103"/>
      <c r="AS36" s="103"/>
      <c r="AT36" s="103"/>
      <c r="AU36" s="88">
        <f>AU$7*'Mkt share'!$G$27</f>
        <v>8038.6891620790057</v>
      </c>
      <c r="AX36" s="87" t="s">
        <v>174</v>
      </c>
      <c r="AY36" s="103"/>
      <c r="AZ36" s="103"/>
      <c r="BA36" s="103"/>
      <c r="BB36" s="103"/>
      <c r="BC36" s="88">
        <f>BC$7*'Mkt share'!$G$28</f>
        <v>8851.949093551344</v>
      </c>
      <c r="BF36" s="87" t="s">
        <v>174</v>
      </c>
      <c r="BG36" s="103"/>
      <c r="BH36" s="103"/>
      <c r="BI36" s="103"/>
      <c r="BJ36" s="103"/>
      <c r="BK36" s="88">
        <f>BK$7*'Mkt share'!$G$29</f>
        <v>1581.5993302735112</v>
      </c>
      <c r="BN36" s="87" t="s">
        <v>174</v>
      </c>
      <c r="BO36" s="103"/>
      <c r="BP36" s="103"/>
      <c r="BQ36" s="103"/>
      <c r="BR36" s="103"/>
      <c r="BS36" s="88">
        <f>BS$7*'Mkt share'!$G$30</f>
        <v>15.312204249593851</v>
      </c>
      <c r="BV36" s="87" t="s">
        <v>174</v>
      </c>
      <c r="BW36" s="103"/>
      <c r="BX36" s="103"/>
      <c r="BY36" s="103"/>
      <c r="BZ36" s="103"/>
      <c r="CA36" s="88">
        <f>CA$7*'Mkt share'!$G$31</f>
        <v>10.453928943720658</v>
      </c>
      <c r="CD36" s="87" t="s">
        <v>174</v>
      </c>
      <c r="CE36" s="103"/>
      <c r="CF36" s="103"/>
      <c r="CG36" s="103"/>
      <c r="CH36" s="103"/>
      <c r="CI36" s="88">
        <f>CI$7*'Mkt share'!$G$32</f>
        <v>2264.5726980031441</v>
      </c>
      <c r="CL36" s="87" t="s">
        <v>174</v>
      </c>
      <c r="CM36" s="103"/>
      <c r="CN36" s="103"/>
      <c r="CO36" s="103"/>
      <c r="CP36" s="103"/>
      <c r="CQ36" s="88">
        <f>CQ$7*'Mkt share'!$G$33</f>
        <v>48517.395387685763</v>
      </c>
      <c r="CT36" s="87" t="s">
        <v>174</v>
      </c>
      <c r="CU36" s="103"/>
      <c r="CV36" s="103"/>
      <c r="CW36" s="103"/>
      <c r="CX36" s="103"/>
      <c r="CY36" s="88">
        <f>CY$7*'Mkt share'!$G$34</f>
        <v>12418.270865738934</v>
      </c>
      <c r="DB36" s="87" t="s">
        <v>174</v>
      </c>
      <c r="DC36" s="103"/>
      <c r="DD36" s="103"/>
      <c r="DE36" s="103"/>
      <c r="DF36" s="103"/>
      <c r="DG36" s="88">
        <f>DG$7*'Mkt share'!$G$35</f>
        <v>0</v>
      </c>
    </row>
    <row r="37" spans="2:111" ht="15" thickBot="1">
      <c r="B37" s="87" t="s">
        <v>179</v>
      </c>
      <c r="C37" s="103"/>
      <c r="D37" s="103"/>
      <c r="E37" s="103"/>
      <c r="F37" s="103"/>
      <c r="G37" s="106">
        <v>0</v>
      </c>
      <c r="J37" s="87" t="s">
        <v>179</v>
      </c>
      <c r="K37" s="103"/>
      <c r="L37" s="103"/>
      <c r="M37" s="103"/>
      <c r="N37" s="103"/>
      <c r="O37" s="106">
        <v>0</v>
      </c>
      <c r="R37" s="87" t="s">
        <v>179</v>
      </c>
      <c r="S37" s="103"/>
      <c r="T37" s="103"/>
      <c r="U37" s="103"/>
      <c r="V37" s="103"/>
      <c r="W37" s="106">
        <v>0</v>
      </c>
      <c r="Z37" s="87" t="s">
        <v>179</v>
      </c>
      <c r="AA37" s="103"/>
      <c r="AB37" s="103"/>
      <c r="AC37" s="103"/>
      <c r="AD37" s="103"/>
      <c r="AE37" s="106">
        <v>0</v>
      </c>
      <c r="AH37" s="87" t="s">
        <v>179</v>
      </c>
      <c r="AI37" s="103"/>
      <c r="AJ37" s="103"/>
      <c r="AK37" s="103"/>
      <c r="AL37" s="103"/>
      <c r="AM37" s="106">
        <v>0</v>
      </c>
      <c r="AP37" s="87" t="s">
        <v>179</v>
      </c>
      <c r="AQ37" s="103"/>
      <c r="AR37" s="103"/>
      <c r="AS37" s="103"/>
      <c r="AT37" s="103"/>
      <c r="AU37" s="106">
        <v>0</v>
      </c>
      <c r="AX37" s="87" t="s">
        <v>179</v>
      </c>
      <c r="AY37" s="103"/>
      <c r="AZ37" s="103"/>
      <c r="BA37" s="103"/>
      <c r="BB37" s="103"/>
      <c r="BC37" s="106">
        <v>0</v>
      </c>
      <c r="BF37" s="87" t="s">
        <v>179</v>
      </c>
      <c r="BG37" s="103"/>
      <c r="BH37" s="103"/>
      <c r="BI37" s="103"/>
      <c r="BJ37" s="103"/>
      <c r="BK37" s="106">
        <v>0</v>
      </c>
      <c r="BN37" s="87" t="s">
        <v>179</v>
      </c>
      <c r="BO37" s="103"/>
      <c r="BP37" s="103"/>
      <c r="BQ37" s="103"/>
      <c r="BR37" s="103"/>
      <c r="BS37" s="106">
        <v>0</v>
      </c>
      <c r="BV37" s="87" t="s">
        <v>179</v>
      </c>
      <c r="BW37" s="103"/>
      <c r="BX37" s="103"/>
      <c r="BY37" s="103"/>
      <c r="BZ37" s="103"/>
      <c r="CA37" s="106">
        <v>0</v>
      </c>
      <c r="CD37" s="87" t="s">
        <v>179</v>
      </c>
      <c r="CE37" s="103"/>
      <c r="CF37" s="103"/>
      <c r="CG37" s="103"/>
      <c r="CH37" s="103"/>
      <c r="CI37" s="106">
        <v>0</v>
      </c>
      <c r="CL37" s="87" t="s">
        <v>179</v>
      </c>
      <c r="CM37" s="103"/>
      <c r="CN37" s="103"/>
      <c r="CO37" s="103"/>
      <c r="CP37" s="103"/>
      <c r="CQ37" s="106">
        <v>0</v>
      </c>
      <c r="CT37" s="87" t="s">
        <v>179</v>
      </c>
      <c r="CU37" s="103"/>
      <c r="CV37" s="103"/>
      <c r="CW37" s="103"/>
      <c r="CX37" s="103"/>
      <c r="CY37" s="106">
        <v>0</v>
      </c>
      <c r="DB37" s="87" t="s">
        <v>179</v>
      </c>
      <c r="DC37" s="103"/>
      <c r="DD37" s="103"/>
      <c r="DE37" s="103"/>
      <c r="DF37" s="103"/>
      <c r="DG37" s="106">
        <v>0</v>
      </c>
    </row>
    <row r="38" spans="2:111" ht="15" thickBot="1">
      <c r="B38" s="89" t="s">
        <v>114</v>
      </c>
      <c r="C38" s="90">
        <f>SUM(C28:C37)</f>
        <v>0</v>
      </c>
      <c r="D38" s="90">
        <f>SUM(D28:D36)</f>
        <v>0</v>
      </c>
      <c r="E38" s="90">
        <f>SUM(E28:E36)</f>
        <v>0</v>
      </c>
      <c r="F38" s="90">
        <f>SUM(F28:F36)</f>
        <v>0</v>
      </c>
      <c r="G38" s="91">
        <f>SUM(G28:G37)</f>
        <v>0</v>
      </c>
      <c r="J38" s="89" t="s">
        <v>114</v>
      </c>
      <c r="K38" s="90">
        <f>SUM(K28:K37)</f>
        <v>0</v>
      </c>
      <c r="L38" s="90">
        <f>SUM(L28:L36)</f>
        <v>0</v>
      </c>
      <c r="M38" s="90">
        <f>SUM(M28:M36)</f>
        <v>0</v>
      </c>
      <c r="N38" s="90">
        <f>SUM(N28:N36)</f>
        <v>0</v>
      </c>
      <c r="O38" s="91">
        <f>SUM(O28:O37)</f>
        <v>0</v>
      </c>
      <c r="R38" s="89" t="s">
        <v>114</v>
      </c>
      <c r="S38" s="90">
        <f>SUM(S28:S37)</f>
        <v>0</v>
      </c>
      <c r="T38" s="90">
        <f>SUM(T28:T36)</f>
        <v>0</v>
      </c>
      <c r="U38" s="90">
        <f>SUM(U28:U36)</f>
        <v>0</v>
      </c>
      <c r="V38" s="90">
        <f>SUM(V28:V36)</f>
        <v>0</v>
      </c>
      <c r="W38" s="91">
        <f>SUM(W28:W37)</f>
        <v>0</v>
      </c>
      <c r="Z38" s="89" t="s">
        <v>114</v>
      </c>
      <c r="AA38" s="90">
        <f>SUM(AA28:AA37)</f>
        <v>0</v>
      </c>
      <c r="AB38" s="90">
        <f>SUM(AB28:AB36)</f>
        <v>0</v>
      </c>
      <c r="AC38" s="90">
        <f>SUM(AC28:AC36)</f>
        <v>0</v>
      </c>
      <c r="AD38" s="90">
        <f>SUM(AD28:AD36)</f>
        <v>0</v>
      </c>
      <c r="AE38" s="91">
        <f>SUM(AE28:AE37)</f>
        <v>0</v>
      </c>
      <c r="AH38" s="89" t="s">
        <v>114</v>
      </c>
      <c r="AI38" s="90">
        <f>SUM(AI28:AI37)</f>
        <v>202357.96436503023</v>
      </c>
      <c r="AJ38" s="90">
        <f>SUM(AJ28:AJ36)</f>
        <v>204017.70448443759</v>
      </c>
      <c r="AK38" s="90">
        <f>SUM(AK28:AK36)</f>
        <v>205607.89906896092</v>
      </c>
      <c r="AL38" s="90">
        <f>SUM(AL28:AL36)</f>
        <v>207201.87239264962</v>
      </c>
      <c r="AM38" s="91">
        <f>SUM(AM28:AM37)</f>
        <v>208804.57582196471</v>
      </c>
      <c r="AP38" s="89" t="s">
        <v>114</v>
      </c>
      <c r="AQ38" s="90">
        <f>SUM(AQ28:AQ37)</f>
        <v>1014968.0503876538</v>
      </c>
      <c r="AR38" s="90">
        <f>SUM(AR28:AR36)</f>
        <v>1023292.8188168631</v>
      </c>
      <c r="AS38" s="90">
        <f>SUM(AS28:AS36)</f>
        <v>1031268.7672914148</v>
      </c>
      <c r="AT38" s="90">
        <f>SUM(AT28:AT36)</f>
        <v>1039263.6688105656</v>
      </c>
      <c r="AU38" s="91">
        <f>SUM(AU28:AU37)</f>
        <v>1047302.3579726446</v>
      </c>
      <c r="AX38" s="89" t="s">
        <v>114</v>
      </c>
      <c r="AY38" s="90">
        <f>SUM(AY28:AY37)</f>
        <v>1117650.5687015476</v>
      </c>
      <c r="AZ38" s="90">
        <f>SUM(AZ28:AZ36)</f>
        <v>1126817.539194521</v>
      </c>
      <c r="BA38" s="90">
        <f>SUM(BA28:BA36)</f>
        <v>1135600.400236415</v>
      </c>
      <c r="BB38" s="90">
        <f>SUM(BB28:BB36)</f>
        <v>1144404.1317688301</v>
      </c>
      <c r="BC38" s="91">
        <f>SUM(BC28:BC37)</f>
        <v>1153256.0808623815</v>
      </c>
      <c r="BF38" s="89" t="s">
        <v>114</v>
      </c>
      <c r="BG38" s="90">
        <f>SUM(BG28:BG37)</f>
        <v>199693.35253248693</v>
      </c>
      <c r="BH38" s="90">
        <f>SUM(BH28:BH36)</f>
        <v>201331.23750438381</v>
      </c>
      <c r="BI38" s="90">
        <f>SUM(BI28:BI36)</f>
        <v>202900.49270399453</v>
      </c>
      <c r="BJ38" s="90">
        <f>SUM(BJ28:BJ36)</f>
        <v>204473.47688503997</v>
      </c>
      <c r="BK38" s="91">
        <f>SUM(BK28:BK37)</f>
        <v>206055.07621531349</v>
      </c>
      <c r="BN38" s="89" t="s">
        <v>114</v>
      </c>
      <c r="BO38" s="90">
        <f>SUM(BO28:BO37)</f>
        <v>1933.3249216378988</v>
      </c>
      <c r="BP38" s="90">
        <f>SUM(BP28:BP36)</f>
        <v>1949.1820535593497</v>
      </c>
      <c r="BQ38" s="90">
        <f>SUM(BQ28:BQ36)</f>
        <v>1964.3747484955707</v>
      </c>
      <c r="BR38" s="90">
        <f>SUM(BR28:BR36)</f>
        <v>1979.6035454484515</v>
      </c>
      <c r="BS38" s="91">
        <f>SUM(BS28:BS37)</f>
        <v>1994.9157496980454</v>
      </c>
      <c r="BV38" s="89" t="s">
        <v>114</v>
      </c>
      <c r="BW38" s="90">
        <f>SUM(BW28:BW37)</f>
        <v>1319.9171736794842</v>
      </c>
      <c r="BX38" s="90">
        <f>SUM(BX28:BX36)</f>
        <v>1330.743134962129</v>
      </c>
      <c r="BY38" s="90">
        <f>SUM(BY28:BY36)</f>
        <v>1341.1154726568204</v>
      </c>
      <c r="BZ38" s="90">
        <f>SUM(BZ28:BZ36)</f>
        <v>1351.5124578751954</v>
      </c>
      <c r="CA38" s="91">
        <f>SUM(CA28:CA37)</f>
        <v>1361.9663868189161</v>
      </c>
      <c r="CD38" s="89" t="s">
        <v>114</v>
      </c>
      <c r="CE38" s="90">
        <f>SUM(CE28:CE37)</f>
        <v>285925.83814484987</v>
      </c>
      <c r="CF38" s="90">
        <f>SUM(CF28:CF36)</f>
        <v>288271.00200451456</v>
      </c>
      <c r="CG38" s="90">
        <f>SUM(CG28:CG36)</f>
        <v>290517.90007358708</v>
      </c>
      <c r="CH38" s="90">
        <f>SUM(CH28:CH36)</f>
        <v>292770.13738970325</v>
      </c>
      <c r="CI38" s="91">
        <f>SUM(CI28:CI37)</f>
        <v>295034.71008770639</v>
      </c>
      <c r="CL38" s="89" t="s">
        <v>114</v>
      </c>
      <c r="CM38" s="90">
        <f>SUM(CM28:CM37)</f>
        <v>6125825.394371978</v>
      </c>
      <c r="CN38" s="90">
        <f>SUM(CN28:CN36)</f>
        <v>6176069.4171532262</v>
      </c>
      <c r="CO38" s="90">
        <f>SUM(CO28:CO36)</f>
        <v>6224208.1420036778</v>
      </c>
      <c r="CP38" s="90">
        <f>SUM(CP28:CP36)</f>
        <v>6272461.2576882672</v>
      </c>
      <c r="CQ38" s="91">
        <f>SUM(CQ28:CQ37)</f>
        <v>6320978.653075953</v>
      </c>
      <c r="CT38" s="89" t="s">
        <v>114</v>
      </c>
      <c r="CU38" s="90">
        <f>SUM(CU28:CU37)</f>
        <v>1567935.75614822</v>
      </c>
      <c r="CV38" s="90">
        <f>SUM(CV28:CV36)</f>
        <v>1580795.9659615494</v>
      </c>
      <c r="CW38" s="90">
        <f>SUM(CW28:CW36)</f>
        <v>1593117.3142026777</v>
      </c>
      <c r="CX38" s="90">
        <f>SUM(CX28:CX36)</f>
        <v>1605467.9413519485</v>
      </c>
      <c r="CY38" s="91">
        <f>SUM(CY28:CY37)</f>
        <v>1617886.2122176874</v>
      </c>
      <c r="DB38" s="89" t="s">
        <v>114</v>
      </c>
      <c r="DC38" s="90">
        <f>SUM(DC28:DC37)</f>
        <v>0</v>
      </c>
      <c r="DD38" s="90">
        <f>SUM(DD28:DD36)</f>
        <v>0</v>
      </c>
      <c r="DE38" s="90">
        <f>SUM(DE28:DE36)</f>
        <v>0</v>
      </c>
      <c r="DF38" s="90">
        <f>SUM(DF28:DF36)</f>
        <v>0</v>
      </c>
      <c r="DG38" s="91">
        <f>SUM(DG28:DG37)</f>
        <v>0</v>
      </c>
    </row>
    <row r="39" spans="2:111">
      <c r="B39" s="80" t="s">
        <v>206</v>
      </c>
      <c r="C39" s="92">
        <f>C28+C30+C32+C34+C36</f>
        <v>0</v>
      </c>
      <c r="D39" s="92">
        <f t="shared" ref="D39:G39" si="40">D28+D30+D32+D34+D36</f>
        <v>0</v>
      </c>
      <c r="E39" s="92">
        <f t="shared" si="40"/>
        <v>0</v>
      </c>
      <c r="F39" s="92">
        <f t="shared" si="40"/>
        <v>0</v>
      </c>
      <c r="G39" s="92">
        <f t="shared" si="40"/>
        <v>0</v>
      </c>
      <c r="J39" s="80" t="s">
        <v>206</v>
      </c>
      <c r="K39" s="92">
        <f>K28+K30+K32+K34+K36</f>
        <v>0</v>
      </c>
      <c r="L39" s="92">
        <f t="shared" ref="L39:O39" si="41">L28+L30+L32+L34+L36</f>
        <v>0</v>
      </c>
      <c r="M39" s="92">
        <f t="shared" si="41"/>
        <v>0</v>
      </c>
      <c r="N39" s="92">
        <f t="shared" si="41"/>
        <v>0</v>
      </c>
      <c r="O39" s="92">
        <f t="shared" si="41"/>
        <v>0</v>
      </c>
      <c r="R39" s="80" t="s">
        <v>206</v>
      </c>
      <c r="S39" s="92">
        <f>S28+S30+S32+S34+S36</f>
        <v>0</v>
      </c>
      <c r="T39" s="92">
        <f t="shared" ref="T39:W39" si="42">T28+T30+T32+T34+T36</f>
        <v>0</v>
      </c>
      <c r="U39" s="92">
        <f t="shared" si="42"/>
        <v>0</v>
      </c>
      <c r="V39" s="92">
        <f t="shared" si="42"/>
        <v>0</v>
      </c>
      <c r="W39" s="92">
        <f t="shared" si="42"/>
        <v>0</v>
      </c>
      <c r="Z39" s="80" t="s">
        <v>206</v>
      </c>
      <c r="AA39" s="92">
        <f>AA28+AA30+AA32+AA34+AA36</f>
        <v>0</v>
      </c>
      <c r="AB39" s="92">
        <f t="shared" ref="AB39:AE39" si="43">AB28+AB30+AB32+AB34+AB36</f>
        <v>0</v>
      </c>
      <c r="AC39" s="92">
        <f t="shared" si="43"/>
        <v>0</v>
      </c>
      <c r="AD39" s="92">
        <f t="shared" si="43"/>
        <v>0</v>
      </c>
      <c r="AE39" s="92">
        <f t="shared" si="43"/>
        <v>0</v>
      </c>
      <c r="AH39" s="80" t="s">
        <v>206</v>
      </c>
      <c r="AI39" s="92">
        <f>AI28+AI30+AI32+AI34+AI36</f>
        <v>202357.96436503023</v>
      </c>
      <c r="AJ39" s="92">
        <f t="shared" ref="AJ39:AM39" si="44">AJ28+AJ30+AJ32+AJ34+AJ36</f>
        <v>204017.70448443759</v>
      </c>
      <c r="AK39" s="92">
        <f t="shared" si="44"/>
        <v>205607.89906896092</v>
      </c>
      <c r="AL39" s="92">
        <f t="shared" si="44"/>
        <v>207201.87239264962</v>
      </c>
      <c r="AM39" s="92">
        <f t="shared" si="44"/>
        <v>208804.57582196471</v>
      </c>
      <c r="AP39" s="80" t="s">
        <v>206</v>
      </c>
      <c r="AQ39" s="92">
        <f>AQ28+AQ30+AQ32+AQ34+AQ36</f>
        <v>1014968.0503876538</v>
      </c>
      <c r="AR39" s="92">
        <f t="shared" ref="AR39:AU39" si="45">AR28+AR30+AR32+AR34+AR36</f>
        <v>1023292.8188168631</v>
      </c>
      <c r="AS39" s="92">
        <f t="shared" si="45"/>
        <v>1031268.7672914148</v>
      </c>
      <c r="AT39" s="92">
        <f t="shared" si="45"/>
        <v>1039263.6688105656</v>
      </c>
      <c r="AU39" s="92">
        <f t="shared" si="45"/>
        <v>1047302.3579726446</v>
      </c>
      <c r="AX39" s="80" t="s">
        <v>206</v>
      </c>
      <c r="AY39" s="92">
        <f>AY28+AY30+AY32+AY34+AY36</f>
        <v>1117650.5687015476</v>
      </c>
      <c r="AZ39" s="92">
        <f t="shared" ref="AZ39:BC39" si="46">AZ28+AZ30+AZ32+AZ34+AZ36</f>
        <v>1126817.539194521</v>
      </c>
      <c r="BA39" s="92">
        <f t="shared" si="46"/>
        <v>1135600.400236415</v>
      </c>
      <c r="BB39" s="92">
        <f t="shared" si="46"/>
        <v>1144404.1317688301</v>
      </c>
      <c r="BC39" s="92">
        <f t="shared" si="46"/>
        <v>1153256.0808623815</v>
      </c>
      <c r="BF39" s="80" t="s">
        <v>206</v>
      </c>
      <c r="BG39" s="92">
        <f>BG28+BG30+BG32+BG34+BG36</f>
        <v>199693.35253248693</v>
      </c>
      <c r="BH39" s="92">
        <f t="shared" ref="BH39:BK39" si="47">BH28+BH30+BH32+BH34+BH36</f>
        <v>201331.23750438381</v>
      </c>
      <c r="BI39" s="92">
        <f t="shared" si="47"/>
        <v>202900.49270399453</v>
      </c>
      <c r="BJ39" s="92">
        <f t="shared" si="47"/>
        <v>204473.47688503997</v>
      </c>
      <c r="BK39" s="92">
        <f t="shared" si="47"/>
        <v>206055.07621531349</v>
      </c>
      <c r="BN39" s="80" t="s">
        <v>206</v>
      </c>
      <c r="BO39" s="92">
        <f>BO28+BO30+BO32+BO34+BO36</f>
        <v>1933.3249216378988</v>
      </c>
      <c r="BP39" s="92">
        <f t="shared" ref="BP39:BS39" si="48">BP28+BP30+BP32+BP34+BP36</f>
        <v>1949.1820535593497</v>
      </c>
      <c r="BQ39" s="92">
        <f t="shared" si="48"/>
        <v>1964.3747484955707</v>
      </c>
      <c r="BR39" s="92">
        <f t="shared" si="48"/>
        <v>1979.6035454484515</v>
      </c>
      <c r="BS39" s="92">
        <f t="shared" si="48"/>
        <v>1994.9157496980454</v>
      </c>
      <c r="BV39" s="80" t="s">
        <v>206</v>
      </c>
      <c r="BW39" s="92">
        <f>BW28+BW30+BW32+BW34+BW36</f>
        <v>1319.9171736794842</v>
      </c>
      <c r="BX39" s="92">
        <f t="shared" ref="BX39:CA39" si="49">BX28+BX30+BX32+BX34+BX36</f>
        <v>1330.743134962129</v>
      </c>
      <c r="BY39" s="92">
        <f t="shared" si="49"/>
        <v>1341.1154726568204</v>
      </c>
      <c r="BZ39" s="92">
        <f t="shared" si="49"/>
        <v>1351.5124578751954</v>
      </c>
      <c r="CA39" s="92">
        <f t="shared" si="49"/>
        <v>1361.9663868189161</v>
      </c>
      <c r="CD39" s="80" t="s">
        <v>206</v>
      </c>
      <c r="CE39" s="92">
        <f>CE28+CE30+CE32+CE34+CE36</f>
        <v>285925.83814484987</v>
      </c>
      <c r="CF39" s="92">
        <f t="shared" ref="CF39:CI39" si="50">CF28+CF30+CF32+CF34+CF36</f>
        <v>288271.00200451456</v>
      </c>
      <c r="CG39" s="92">
        <f t="shared" si="50"/>
        <v>290517.90007358708</v>
      </c>
      <c r="CH39" s="92">
        <f t="shared" si="50"/>
        <v>292770.13738970325</v>
      </c>
      <c r="CI39" s="92">
        <f t="shared" si="50"/>
        <v>295034.71008770639</v>
      </c>
      <c r="CL39" s="80" t="s">
        <v>206</v>
      </c>
      <c r="CM39" s="92">
        <f>CM28+CM30+CM32+CM34+CM36</f>
        <v>6125825.394371978</v>
      </c>
      <c r="CN39" s="92">
        <f t="shared" ref="CN39:CQ39" si="51">CN28+CN30+CN32+CN34+CN36</f>
        <v>6176069.4171532262</v>
      </c>
      <c r="CO39" s="92">
        <f t="shared" si="51"/>
        <v>6224208.1420036778</v>
      </c>
      <c r="CP39" s="92">
        <f t="shared" si="51"/>
        <v>6272461.2576882672</v>
      </c>
      <c r="CQ39" s="92">
        <f t="shared" si="51"/>
        <v>6320978.653075953</v>
      </c>
      <c r="CT39" s="80" t="s">
        <v>206</v>
      </c>
      <c r="CU39" s="92">
        <f>CU28+CU30+CU32+CU34+CU36</f>
        <v>1567935.75614822</v>
      </c>
      <c r="CV39" s="92">
        <f t="shared" ref="CV39:CY39" si="52">CV28+CV30+CV32+CV34+CV36</f>
        <v>1580795.9659615494</v>
      </c>
      <c r="CW39" s="92">
        <f t="shared" si="52"/>
        <v>1593117.3142026777</v>
      </c>
      <c r="CX39" s="92">
        <f t="shared" si="52"/>
        <v>1605467.9413519485</v>
      </c>
      <c r="CY39" s="92">
        <f t="shared" si="52"/>
        <v>1617886.2122176874</v>
      </c>
      <c r="DB39" s="80" t="s">
        <v>206</v>
      </c>
      <c r="DC39" s="92">
        <f>DC28+DC30+DC32+DC34+DC36</f>
        <v>0</v>
      </c>
      <c r="DD39" s="92">
        <f t="shared" ref="DD39:DG39" si="53">DD28+DD30+DD32+DD34+DD36</f>
        <v>0</v>
      </c>
      <c r="DE39" s="92">
        <f t="shared" si="53"/>
        <v>0</v>
      </c>
      <c r="DF39" s="92">
        <f t="shared" si="53"/>
        <v>0</v>
      </c>
      <c r="DG39" s="92">
        <f t="shared" si="53"/>
        <v>0</v>
      </c>
    </row>
    <row r="40" spans="2:111" ht="15" thickBot="1">
      <c r="B40" s="80" t="s">
        <v>208</v>
      </c>
      <c r="C40" s="92">
        <f>C29+C31+C33+C35+C37</f>
        <v>0</v>
      </c>
      <c r="D40" s="92">
        <f t="shared" ref="D40:G40" si="54">D29+D31+D33+D35+D37</f>
        <v>0</v>
      </c>
      <c r="E40" s="92">
        <f t="shared" si="54"/>
        <v>0</v>
      </c>
      <c r="F40" s="92">
        <f t="shared" si="54"/>
        <v>0</v>
      </c>
      <c r="G40" s="92">
        <f t="shared" si="54"/>
        <v>0</v>
      </c>
      <c r="J40" s="80" t="s">
        <v>208</v>
      </c>
      <c r="K40" s="92">
        <f>K29+K31+K33+K35+K37</f>
        <v>0</v>
      </c>
      <c r="L40" s="92">
        <f t="shared" ref="L40:O40" si="55">L29+L31+L33+L35+L37</f>
        <v>0</v>
      </c>
      <c r="M40" s="92">
        <f t="shared" si="55"/>
        <v>0</v>
      </c>
      <c r="N40" s="92">
        <f t="shared" si="55"/>
        <v>0</v>
      </c>
      <c r="O40" s="92">
        <f t="shared" si="55"/>
        <v>0</v>
      </c>
      <c r="R40" s="80" t="s">
        <v>208</v>
      </c>
      <c r="S40" s="92">
        <f>S29+S31+S33+S35+S37</f>
        <v>0</v>
      </c>
      <c r="T40" s="92">
        <f t="shared" ref="T40:W40" si="56">T29+T31+T33+T35+T37</f>
        <v>0</v>
      </c>
      <c r="U40" s="92">
        <f t="shared" si="56"/>
        <v>0</v>
      </c>
      <c r="V40" s="92">
        <f t="shared" si="56"/>
        <v>0</v>
      </c>
      <c r="W40" s="92">
        <f t="shared" si="56"/>
        <v>0</v>
      </c>
      <c r="Z40" s="80" t="s">
        <v>208</v>
      </c>
      <c r="AA40" s="92">
        <f>AA29+AA31+AA33+AA35+AA37</f>
        <v>0</v>
      </c>
      <c r="AB40" s="92">
        <f t="shared" ref="AB40:AE40" si="57">AB29+AB31+AB33+AB35+AB37</f>
        <v>0</v>
      </c>
      <c r="AC40" s="92">
        <f t="shared" si="57"/>
        <v>0</v>
      </c>
      <c r="AD40" s="92">
        <f t="shared" si="57"/>
        <v>0</v>
      </c>
      <c r="AE40" s="92">
        <f t="shared" si="57"/>
        <v>0</v>
      </c>
      <c r="AH40" s="80" t="s">
        <v>208</v>
      </c>
      <c r="AI40" s="92">
        <f>AI29+AI31+AI33+AI35+AI37</f>
        <v>0</v>
      </c>
      <c r="AJ40" s="92">
        <f t="shared" ref="AJ40:AM40" si="58">AJ29+AJ31+AJ33+AJ35+AJ37</f>
        <v>0</v>
      </c>
      <c r="AK40" s="92">
        <f t="shared" si="58"/>
        <v>0</v>
      </c>
      <c r="AL40" s="92">
        <f t="shared" si="58"/>
        <v>0</v>
      </c>
      <c r="AM40" s="92">
        <f t="shared" si="58"/>
        <v>0</v>
      </c>
      <c r="AP40" s="80" t="s">
        <v>208</v>
      </c>
      <c r="AQ40" s="92">
        <f>AQ29+AQ31+AQ33+AQ35+AQ37</f>
        <v>0</v>
      </c>
      <c r="AR40" s="92">
        <f t="shared" ref="AR40:AU40" si="59">AR29+AR31+AR33+AR35+AR37</f>
        <v>0</v>
      </c>
      <c r="AS40" s="92">
        <f t="shared" si="59"/>
        <v>0</v>
      </c>
      <c r="AT40" s="92">
        <f t="shared" si="59"/>
        <v>0</v>
      </c>
      <c r="AU40" s="92">
        <f t="shared" si="59"/>
        <v>0</v>
      </c>
      <c r="AX40" s="80" t="s">
        <v>208</v>
      </c>
      <c r="AY40" s="92">
        <f>AY29+AY31+AY33+AY35+AY37</f>
        <v>0</v>
      </c>
      <c r="AZ40" s="92">
        <f t="shared" ref="AZ40:BC40" si="60">AZ29+AZ31+AZ33+AZ35+AZ37</f>
        <v>0</v>
      </c>
      <c r="BA40" s="92">
        <f t="shared" si="60"/>
        <v>0</v>
      </c>
      <c r="BB40" s="92">
        <f t="shared" si="60"/>
        <v>0</v>
      </c>
      <c r="BC40" s="92">
        <f t="shared" si="60"/>
        <v>0</v>
      </c>
      <c r="BF40" s="80" t="s">
        <v>208</v>
      </c>
      <c r="BG40" s="92">
        <f>BG29+BG31+BG33+BG35+BG37</f>
        <v>0</v>
      </c>
      <c r="BH40" s="92">
        <f t="shared" ref="BH40:BK40" si="61">BH29+BH31+BH33+BH35+BH37</f>
        <v>0</v>
      </c>
      <c r="BI40" s="92">
        <f t="shared" si="61"/>
        <v>0</v>
      </c>
      <c r="BJ40" s="92">
        <f t="shared" si="61"/>
        <v>0</v>
      </c>
      <c r="BK40" s="92">
        <f t="shared" si="61"/>
        <v>0</v>
      </c>
      <c r="BN40" s="80" t="s">
        <v>208</v>
      </c>
      <c r="BO40" s="92">
        <f>BO29+BO31+BO33+BO35+BO37</f>
        <v>0</v>
      </c>
      <c r="BP40" s="92">
        <f t="shared" ref="BP40:BS40" si="62">BP29+BP31+BP33+BP35+BP37</f>
        <v>0</v>
      </c>
      <c r="BQ40" s="92">
        <f t="shared" si="62"/>
        <v>0</v>
      </c>
      <c r="BR40" s="92">
        <f t="shared" si="62"/>
        <v>0</v>
      </c>
      <c r="BS40" s="92">
        <f t="shared" si="62"/>
        <v>0</v>
      </c>
      <c r="BV40" s="80" t="s">
        <v>208</v>
      </c>
      <c r="BW40" s="92">
        <f>BW29+BW31+BW33+BW35+BW37</f>
        <v>0</v>
      </c>
      <c r="BX40" s="92">
        <f t="shared" ref="BX40:CA40" si="63">BX29+BX31+BX33+BX35+BX37</f>
        <v>0</v>
      </c>
      <c r="BY40" s="92">
        <f t="shared" si="63"/>
        <v>0</v>
      </c>
      <c r="BZ40" s="92">
        <f t="shared" si="63"/>
        <v>0</v>
      </c>
      <c r="CA40" s="92">
        <f t="shared" si="63"/>
        <v>0</v>
      </c>
      <c r="CD40" s="80" t="s">
        <v>208</v>
      </c>
      <c r="CE40" s="92">
        <f>CE29+CE31+CE33+CE35+CE37</f>
        <v>0</v>
      </c>
      <c r="CF40" s="92">
        <f t="shared" ref="CF40:CI40" si="64">CF29+CF31+CF33+CF35+CF37</f>
        <v>0</v>
      </c>
      <c r="CG40" s="92">
        <f t="shared" si="64"/>
        <v>0</v>
      </c>
      <c r="CH40" s="92">
        <f t="shared" si="64"/>
        <v>0</v>
      </c>
      <c r="CI40" s="92">
        <f t="shared" si="64"/>
        <v>0</v>
      </c>
      <c r="CL40" s="80" t="s">
        <v>208</v>
      </c>
      <c r="CM40" s="92">
        <f>CM29+CM31+CM33+CM35+CM37</f>
        <v>0</v>
      </c>
      <c r="CN40" s="92">
        <f t="shared" ref="CN40:CQ40" si="65">CN29+CN31+CN33+CN35+CN37</f>
        <v>0</v>
      </c>
      <c r="CO40" s="92">
        <f t="shared" si="65"/>
        <v>0</v>
      </c>
      <c r="CP40" s="92">
        <f t="shared" si="65"/>
        <v>0</v>
      </c>
      <c r="CQ40" s="92">
        <f t="shared" si="65"/>
        <v>0</v>
      </c>
      <c r="CT40" s="80" t="s">
        <v>208</v>
      </c>
      <c r="CU40" s="92">
        <f>CU29+CU31+CU33+CU35+CU37</f>
        <v>0</v>
      </c>
      <c r="CV40" s="92">
        <f t="shared" ref="CV40:CY40" si="66">CV29+CV31+CV33+CV35+CV37</f>
        <v>0</v>
      </c>
      <c r="CW40" s="92">
        <f t="shared" si="66"/>
        <v>0</v>
      </c>
      <c r="CX40" s="92">
        <f t="shared" si="66"/>
        <v>0</v>
      </c>
      <c r="CY40" s="92">
        <f t="shared" si="66"/>
        <v>0</v>
      </c>
      <c r="DB40" s="80" t="s">
        <v>208</v>
      </c>
      <c r="DC40" s="92">
        <f>DC29+DC31+DC33+DC35+DC37</f>
        <v>0</v>
      </c>
      <c r="DD40" s="92">
        <f t="shared" ref="DD40:DG40" si="67">DD29+DD31+DD33+DD35+DD37</f>
        <v>0</v>
      </c>
      <c r="DE40" s="92">
        <f t="shared" si="67"/>
        <v>0</v>
      </c>
      <c r="DF40" s="92">
        <f t="shared" si="67"/>
        <v>0</v>
      </c>
      <c r="DG40" s="92">
        <f t="shared" si="67"/>
        <v>0</v>
      </c>
    </row>
    <row r="41" spans="2:111" ht="15" thickBot="1">
      <c r="B41" s="507" t="str">
        <f>cen_prop1</f>
        <v>all options</v>
      </c>
      <c r="C41" s="508"/>
      <c r="D41" s="508"/>
      <c r="E41" s="508"/>
      <c r="F41" s="508"/>
      <c r="G41" s="509"/>
      <c r="J41" s="507" t="str">
        <f>cen_prop1</f>
        <v>all options</v>
      </c>
      <c r="K41" s="508"/>
      <c r="L41" s="508"/>
      <c r="M41" s="508"/>
      <c r="N41" s="508"/>
      <c r="O41" s="509"/>
      <c r="R41" s="507" t="str">
        <f>cen_prop1</f>
        <v>all options</v>
      </c>
      <c r="S41" s="508"/>
      <c r="T41" s="508"/>
      <c r="U41" s="508"/>
      <c r="V41" s="508"/>
      <c r="W41" s="509"/>
      <c r="Z41" s="507" t="str">
        <f>cen_prop1</f>
        <v>all options</v>
      </c>
      <c r="AA41" s="508"/>
      <c r="AB41" s="508"/>
      <c r="AC41" s="508"/>
      <c r="AD41" s="508"/>
      <c r="AE41" s="509"/>
      <c r="AH41" s="507" t="str">
        <f>cen_prop1</f>
        <v>all options</v>
      </c>
      <c r="AI41" s="508"/>
      <c r="AJ41" s="508"/>
      <c r="AK41" s="508"/>
      <c r="AL41" s="508"/>
      <c r="AM41" s="509"/>
      <c r="AP41" s="507" t="str">
        <f>cen_prop1</f>
        <v>all options</v>
      </c>
      <c r="AQ41" s="508"/>
      <c r="AR41" s="508"/>
      <c r="AS41" s="508"/>
      <c r="AT41" s="508"/>
      <c r="AU41" s="509"/>
      <c r="AX41" s="507" t="str">
        <f>cen_prop1</f>
        <v>all options</v>
      </c>
      <c r="AY41" s="508"/>
      <c r="AZ41" s="508"/>
      <c r="BA41" s="508"/>
      <c r="BB41" s="508"/>
      <c r="BC41" s="509"/>
      <c r="BF41" s="507" t="str">
        <f>cen_prop1</f>
        <v>all options</v>
      </c>
      <c r="BG41" s="508"/>
      <c r="BH41" s="508"/>
      <c r="BI41" s="508"/>
      <c r="BJ41" s="508"/>
      <c r="BK41" s="509"/>
      <c r="BN41" s="507" t="str">
        <f>cen_prop1</f>
        <v>all options</v>
      </c>
      <c r="BO41" s="508"/>
      <c r="BP41" s="508"/>
      <c r="BQ41" s="508"/>
      <c r="BR41" s="508"/>
      <c r="BS41" s="509"/>
      <c r="BV41" s="507" t="str">
        <f>cen_prop1</f>
        <v>all options</v>
      </c>
      <c r="BW41" s="508"/>
      <c r="BX41" s="508"/>
      <c r="BY41" s="508"/>
      <c r="BZ41" s="508"/>
      <c r="CA41" s="509"/>
      <c r="CD41" s="507" t="str">
        <f>cen_prop1</f>
        <v>all options</v>
      </c>
      <c r="CE41" s="508"/>
      <c r="CF41" s="508"/>
      <c r="CG41" s="508"/>
      <c r="CH41" s="508"/>
      <c r="CI41" s="509"/>
      <c r="CL41" s="507" t="str">
        <f>cen_prop1</f>
        <v>all options</v>
      </c>
      <c r="CM41" s="508"/>
      <c r="CN41" s="508"/>
      <c r="CO41" s="508"/>
      <c r="CP41" s="508"/>
      <c r="CQ41" s="509"/>
      <c r="CT41" s="507" t="str">
        <f>cen_prop1</f>
        <v>all options</v>
      </c>
      <c r="CU41" s="508"/>
      <c r="CV41" s="508"/>
      <c r="CW41" s="508"/>
      <c r="CX41" s="508"/>
      <c r="CY41" s="509"/>
      <c r="DB41" s="507" t="str">
        <f>cen_prop1</f>
        <v>all options</v>
      </c>
      <c r="DC41" s="508"/>
      <c r="DD41" s="508"/>
      <c r="DE41" s="508"/>
      <c r="DF41" s="508"/>
      <c r="DG41" s="509"/>
    </row>
    <row r="42" spans="2:111">
      <c r="B42" s="84"/>
      <c r="C42" s="101">
        <f>ano_1</f>
        <v>2026</v>
      </c>
      <c r="D42" s="101">
        <f>C42+1</f>
        <v>2027</v>
      </c>
      <c r="E42" s="101">
        <f t="shared" ref="E42:G42" si="68">D42+1</f>
        <v>2028</v>
      </c>
      <c r="F42" s="101">
        <f t="shared" si="68"/>
        <v>2029</v>
      </c>
      <c r="G42" s="102">
        <f t="shared" si="68"/>
        <v>2030</v>
      </c>
      <c r="J42" s="84"/>
      <c r="K42" s="101">
        <f>ano_1</f>
        <v>2026</v>
      </c>
      <c r="L42" s="101">
        <f>K42+1</f>
        <v>2027</v>
      </c>
      <c r="M42" s="101">
        <f t="shared" ref="M42" si="69">L42+1</f>
        <v>2028</v>
      </c>
      <c r="N42" s="101">
        <f t="shared" ref="N42" si="70">M42+1</f>
        <v>2029</v>
      </c>
      <c r="O42" s="102">
        <f t="shared" ref="O42" si="71">N42+1</f>
        <v>2030</v>
      </c>
      <c r="R42" s="84"/>
      <c r="S42" s="101">
        <f>ano_1</f>
        <v>2026</v>
      </c>
      <c r="T42" s="101">
        <f>S42+1</f>
        <v>2027</v>
      </c>
      <c r="U42" s="101">
        <f t="shared" ref="U42" si="72">T42+1</f>
        <v>2028</v>
      </c>
      <c r="V42" s="101">
        <f t="shared" ref="V42" si="73">U42+1</f>
        <v>2029</v>
      </c>
      <c r="W42" s="102">
        <f t="shared" ref="W42" si="74">V42+1</f>
        <v>2030</v>
      </c>
      <c r="Z42" s="84"/>
      <c r="AA42" s="101">
        <f>ano_1</f>
        <v>2026</v>
      </c>
      <c r="AB42" s="101">
        <f>AA42+1</f>
        <v>2027</v>
      </c>
      <c r="AC42" s="101">
        <f t="shared" ref="AC42" si="75">AB42+1</f>
        <v>2028</v>
      </c>
      <c r="AD42" s="101">
        <f t="shared" ref="AD42" si="76">AC42+1</f>
        <v>2029</v>
      </c>
      <c r="AE42" s="102">
        <f t="shared" ref="AE42" si="77">AD42+1</f>
        <v>2030</v>
      </c>
      <c r="AH42" s="84"/>
      <c r="AI42" s="101">
        <f>ano_1</f>
        <v>2026</v>
      </c>
      <c r="AJ42" s="101">
        <f>AI42+1</f>
        <v>2027</v>
      </c>
      <c r="AK42" s="101">
        <f t="shared" ref="AK42" si="78">AJ42+1</f>
        <v>2028</v>
      </c>
      <c r="AL42" s="101">
        <f t="shared" ref="AL42" si="79">AK42+1</f>
        <v>2029</v>
      </c>
      <c r="AM42" s="102">
        <f t="shared" ref="AM42" si="80">AL42+1</f>
        <v>2030</v>
      </c>
      <c r="AP42" s="84"/>
      <c r="AQ42" s="101">
        <f>ano_1</f>
        <v>2026</v>
      </c>
      <c r="AR42" s="101">
        <f>AQ42+1</f>
        <v>2027</v>
      </c>
      <c r="AS42" s="101">
        <f t="shared" ref="AS42" si="81">AR42+1</f>
        <v>2028</v>
      </c>
      <c r="AT42" s="101">
        <f t="shared" ref="AT42" si="82">AS42+1</f>
        <v>2029</v>
      </c>
      <c r="AU42" s="102">
        <f t="shared" ref="AU42" si="83">AT42+1</f>
        <v>2030</v>
      </c>
      <c r="AX42" s="84"/>
      <c r="AY42" s="101">
        <f>ano_1</f>
        <v>2026</v>
      </c>
      <c r="AZ42" s="101">
        <f>AY42+1</f>
        <v>2027</v>
      </c>
      <c r="BA42" s="101">
        <f t="shared" ref="BA42" si="84">AZ42+1</f>
        <v>2028</v>
      </c>
      <c r="BB42" s="101">
        <f t="shared" ref="BB42" si="85">BA42+1</f>
        <v>2029</v>
      </c>
      <c r="BC42" s="102">
        <f t="shared" ref="BC42" si="86">BB42+1</f>
        <v>2030</v>
      </c>
      <c r="BF42" s="84"/>
      <c r="BG42" s="101">
        <f>ano_1</f>
        <v>2026</v>
      </c>
      <c r="BH42" s="101">
        <f>BG42+1</f>
        <v>2027</v>
      </c>
      <c r="BI42" s="101">
        <f t="shared" ref="BI42" si="87">BH42+1</f>
        <v>2028</v>
      </c>
      <c r="BJ42" s="101">
        <f t="shared" ref="BJ42" si="88">BI42+1</f>
        <v>2029</v>
      </c>
      <c r="BK42" s="102">
        <f t="shared" ref="BK42" si="89">BJ42+1</f>
        <v>2030</v>
      </c>
      <c r="BN42" s="84"/>
      <c r="BO42" s="101">
        <f>ano_1</f>
        <v>2026</v>
      </c>
      <c r="BP42" s="101">
        <f>BO42+1</f>
        <v>2027</v>
      </c>
      <c r="BQ42" s="101">
        <f t="shared" ref="BQ42" si="90">BP42+1</f>
        <v>2028</v>
      </c>
      <c r="BR42" s="101">
        <f t="shared" ref="BR42" si="91">BQ42+1</f>
        <v>2029</v>
      </c>
      <c r="BS42" s="102">
        <f t="shared" ref="BS42" si="92">BR42+1</f>
        <v>2030</v>
      </c>
      <c r="BV42" s="84"/>
      <c r="BW42" s="101">
        <f>ano_1</f>
        <v>2026</v>
      </c>
      <c r="BX42" s="101">
        <f>BW42+1</f>
        <v>2027</v>
      </c>
      <c r="BY42" s="101">
        <f t="shared" ref="BY42" si="93">BX42+1</f>
        <v>2028</v>
      </c>
      <c r="BZ42" s="101">
        <f t="shared" ref="BZ42" si="94">BY42+1</f>
        <v>2029</v>
      </c>
      <c r="CA42" s="102">
        <f t="shared" ref="CA42" si="95">BZ42+1</f>
        <v>2030</v>
      </c>
      <c r="CD42" s="84"/>
      <c r="CE42" s="101">
        <f>ano_1</f>
        <v>2026</v>
      </c>
      <c r="CF42" s="101">
        <f>CE42+1</f>
        <v>2027</v>
      </c>
      <c r="CG42" s="101">
        <f t="shared" ref="CG42" si="96">CF42+1</f>
        <v>2028</v>
      </c>
      <c r="CH42" s="101">
        <f t="shared" ref="CH42" si="97">CG42+1</f>
        <v>2029</v>
      </c>
      <c r="CI42" s="102">
        <f t="shared" ref="CI42" si="98">CH42+1</f>
        <v>2030</v>
      </c>
      <c r="CL42" s="84"/>
      <c r="CM42" s="101">
        <f>ano_1</f>
        <v>2026</v>
      </c>
      <c r="CN42" s="101">
        <f>CM42+1</f>
        <v>2027</v>
      </c>
      <c r="CO42" s="101">
        <f t="shared" ref="CO42" si="99">CN42+1</f>
        <v>2028</v>
      </c>
      <c r="CP42" s="101">
        <f t="shared" ref="CP42" si="100">CO42+1</f>
        <v>2029</v>
      </c>
      <c r="CQ42" s="102">
        <f t="shared" ref="CQ42" si="101">CP42+1</f>
        <v>2030</v>
      </c>
      <c r="CT42" s="84"/>
      <c r="CU42" s="101">
        <f>ano_1</f>
        <v>2026</v>
      </c>
      <c r="CV42" s="101">
        <f>CU42+1</f>
        <v>2027</v>
      </c>
      <c r="CW42" s="101">
        <f t="shared" ref="CW42" si="102">CV42+1</f>
        <v>2028</v>
      </c>
      <c r="CX42" s="101">
        <f t="shared" ref="CX42" si="103">CW42+1</f>
        <v>2029</v>
      </c>
      <c r="CY42" s="102">
        <f t="shared" ref="CY42" si="104">CX42+1</f>
        <v>2030</v>
      </c>
      <c r="DB42" s="84"/>
      <c r="DC42" s="101">
        <f>ano_1</f>
        <v>2026</v>
      </c>
      <c r="DD42" s="101">
        <f>DC42+1</f>
        <v>2027</v>
      </c>
      <c r="DE42" s="101">
        <f t="shared" ref="DE42" si="105">DD42+1</f>
        <v>2028</v>
      </c>
      <c r="DF42" s="101">
        <f t="shared" ref="DF42" si="106">DE42+1</f>
        <v>2029</v>
      </c>
      <c r="DG42" s="102">
        <f t="shared" ref="DG42" si="107">DF42+1</f>
        <v>2030</v>
      </c>
    </row>
    <row r="43" spans="2:111">
      <c r="B43" s="87" t="s">
        <v>170</v>
      </c>
      <c r="C43" s="80">
        <f>C$7*'Mkt share'!$C$42</f>
        <v>171512.56301158934</v>
      </c>
      <c r="D43" s="80">
        <f>C$8*'Mkt share'!$C$42</f>
        <v>171512.56301158934</v>
      </c>
      <c r="E43" s="80">
        <f>C$11*'Mkt share'!$C$42</f>
        <v>171512.56301158934</v>
      </c>
      <c r="F43" s="80">
        <f>C$14*'Mkt share'!$C$42</f>
        <v>171512.56301158934</v>
      </c>
      <c r="G43" s="88">
        <f>C$17*'Mkt share'!$C$42</f>
        <v>171512.56301158934</v>
      </c>
      <c r="J43" s="87" t="s">
        <v>170</v>
      </c>
      <c r="K43" s="80">
        <f>K$7*'Mkt share'!$C$43</f>
        <v>568891.87012232887</v>
      </c>
      <c r="L43" s="80">
        <f>K$8*'Mkt share'!$C$43</f>
        <v>568891.87012232887</v>
      </c>
      <c r="M43" s="80">
        <f>K$11*'Mkt share'!$C$43</f>
        <v>568891.87012232887</v>
      </c>
      <c r="N43" s="80">
        <f>K$14*'Mkt share'!$C$43</f>
        <v>568891.87012232887</v>
      </c>
      <c r="O43" s="88">
        <f>K$17*'Mkt share'!$C$43</f>
        <v>568891.87012232887</v>
      </c>
      <c r="R43" s="87" t="s">
        <v>170</v>
      </c>
      <c r="S43" s="80">
        <f>S$7*'Mkt share'!$C$44</f>
        <v>271999.28434993722</v>
      </c>
      <c r="T43" s="80">
        <f>S$8*'Mkt share'!$C$44</f>
        <v>271999.28434993722</v>
      </c>
      <c r="U43" s="80">
        <f>S$11*'Mkt share'!$C$44</f>
        <v>271999.28434993722</v>
      </c>
      <c r="V43" s="80">
        <f>S$14*'Mkt share'!$C$44</f>
        <v>271999.28434993722</v>
      </c>
      <c r="W43" s="88">
        <f>S$17*'Mkt share'!$C$44</f>
        <v>271999.28434993722</v>
      </c>
      <c r="Z43" s="87" t="s">
        <v>170</v>
      </c>
      <c r="AA43" s="80">
        <f>AA$7*'Mkt share'!$C$45</f>
        <v>39357.299190852944</v>
      </c>
      <c r="AB43" s="80">
        <f>AA$8*'Mkt share'!$C$45</f>
        <v>39357.299190852944</v>
      </c>
      <c r="AC43" s="80">
        <f>AA$11*'Mkt share'!$C$45</f>
        <v>39357.299190852944</v>
      </c>
      <c r="AD43" s="80">
        <f>AA$14*'Mkt share'!$C$45</f>
        <v>39357.299190852944</v>
      </c>
      <c r="AE43" s="88">
        <f>AA$17*'Mkt share'!$C$45</f>
        <v>39357.299190852944</v>
      </c>
      <c r="AH43" s="87" t="s">
        <v>170</v>
      </c>
      <c r="AI43" s="80">
        <f>AI$7*'Mkt share'!$C$46</f>
        <v>182122.16792852723</v>
      </c>
      <c r="AJ43" s="80">
        <f>AI$8*'Mkt share'!$C$46</f>
        <v>182122.16792852723</v>
      </c>
      <c r="AK43" s="80">
        <f>AI$11*'Mkt share'!$C$46</f>
        <v>182122.16792852723</v>
      </c>
      <c r="AL43" s="80">
        <f>AI$14*'Mkt share'!$C$46</f>
        <v>182122.16792852723</v>
      </c>
      <c r="AM43" s="88">
        <f>AI$17*'Mkt share'!$C$46</f>
        <v>182122.16792852723</v>
      </c>
      <c r="AP43" s="87" t="s">
        <v>170</v>
      </c>
      <c r="AQ43" s="80">
        <f>AQ$7*'Mkt share'!$C$47</f>
        <v>913471.24534888833</v>
      </c>
      <c r="AR43" s="80">
        <f>AQ$8*'Mkt share'!$C$47</f>
        <v>913471.24534888833</v>
      </c>
      <c r="AS43" s="80">
        <f>AQ$11*'Mkt share'!$C$47</f>
        <v>913471.24534888833</v>
      </c>
      <c r="AT43" s="80">
        <f>AQ$14*'Mkt share'!$C$47</f>
        <v>913471.24534888833</v>
      </c>
      <c r="AU43" s="88">
        <f>AQ$17*'Mkt share'!$C$47</f>
        <v>913471.24534888833</v>
      </c>
      <c r="AX43" s="87" t="s">
        <v>170</v>
      </c>
      <c r="AY43" s="80">
        <f>AY$7*'Mkt share'!$C$48</f>
        <v>1005885.5118313929</v>
      </c>
      <c r="AZ43" s="80">
        <f>AY$8*'Mkt share'!$C$48</f>
        <v>1005885.5118313929</v>
      </c>
      <c r="BA43" s="80">
        <f>AY$11*'Mkt share'!$C$48</f>
        <v>1005885.5118313929</v>
      </c>
      <c r="BB43" s="80">
        <f>AY$14*'Mkt share'!$C$48</f>
        <v>1005885.5118313929</v>
      </c>
      <c r="BC43" s="88">
        <f>AY$17*'Mkt share'!$C$48</f>
        <v>1005885.5118313929</v>
      </c>
      <c r="BF43" s="87" t="s">
        <v>170</v>
      </c>
      <c r="BG43" s="80">
        <f>BG$7*'Mkt share'!$C$49</f>
        <v>179724.01727923824</v>
      </c>
      <c r="BH43" s="80">
        <f>BG$8*'Mkt share'!$C$49</f>
        <v>179724.01727923824</v>
      </c>
      <c r="BI43" s="80">
        <f>BG$11*'Mkt share'!$C$49</f>
        <v>179724.01727923824</v>
      </c>
      <c r="BJ43" s="80">
        <f>BG$14*'Mkt share'!$C$49</f>
        <v>179724.01727923824</v>
      </c>
      <c r="BK43" s="88">
        <f>BG$17*'Mkt share'!$C$49</f>
        <v>179724.01727923824</v>
      </c>
      <c r="BN43" s="87" t="s">
        <v>170</v>
      </c>
      <c r="BO43" s="80">
        <f>BO$7*'Mkt share'!$C$50</f>
        <v>1739.9924294741088</v>
      </c>
      <c r="BP43" s="80">
        <f>BO$8*'Mkt share'!$C$50</f>
        <v>1739.9924294741088</v>
      </c>
      <c r="BQ43" s="80">
        <f>BO$11*'Mkt share'!$C$50</f>
        <v>1739.9924294741088</v>
      </c>
      <c r="BR43" s="80">
        <f>BO$14*'Mkt share'!$C$50</f>
        <v>1739.9924294741088</v>
      </c>
      <c r="BS43" s="88">
        <f>BO$17*'Mkt share'!$C$50</f>
        <v>1739.9924294741088</v>
      </c>
      <c r="BV43" s="87" t="s">
        <v>170</v>
      </c>
      <c r="BW43" s="80">
        <f>BW$7*'Mkt share'!$C$51</f>
        <v>1187.9254563115358</v>
      </c>
      <c r="BX43" s="80">
        <f>BW$8*'Mkt share'!$C$51</f>
        <v>1187.9254563115358</v>
      </c>
      <c r="BY43" s="80">
        <f>BW$11*'Mkt share'!$C$51</f>
        <v>1187.9254563115358</v>
      </c>
      <c r="BZ43" s="80">
        <f>BW$14*'Mkt share'!$C$51</f>
        <v>1187.9254563115358</v>
      </c>
      <c r="CA43" s="88">
        <f>BW$17*'Mkt share'!$C$51</f>
        <v>1187.9254563115358</v>
      </c>
      <c r="CD43" s="87" t="s">
        <v>170</v>
      </c>
      <c r="CE43" s="80">
        <f>CE$7*'Mkt share'!$C$52</f>
        <v>257333.25433036484</v>
      </c>
      <c r="CF43" s="80">
        <f>CE$8*'Mkt share'!$C$52</f>
        <v>257333.25433036484</v>
      </c>
      <c r="CG43" s="80">
        <f>CE$11*'Mkt share'!$C$52</f>
        <v>257333.25433036484</v>
      </c>
      <c r="CH43" s="80">
        <f>CE$14*'Mkt share'!$C$52</f>
        <v>257333.25433036484</v>
      </c>
      <c r="CI43" s="88">
        <f>CE$17*'Mkt share'!$C$52</f>
        <v>257333.25433036484</v>
      </c>
      <c r="CL43" s="87" t="s">
        <v>170</v>
      </c>
      <c r="CM43" s="80">
        <f>CM$7*'Mkt share'!$C$53</f>
        <v>5513242.8549347809</v>
      </c>
      <c r="CN43" s="80">
        <f>CM$8*'Mkt share'!$C$53</f>
        <v>5513242.8549347809</v>
      </c>
      <c r="CO43" s="80">
        <f>CM$11*'Mkt share'!$C$53</f>
        <v>5513242.8549347809</v>
      </c>
      <c r="CP43" s="80">
        <f>CM$14*'Mkt share'!$C$53</f>
        <v>5513242.8549347809</v>
      </c>
      <c r="CQ43" s="88">
        <f>CM$17*'Mkt share'!$C$53</f>
        <v>5513242.8549347809</v>
      </c>
      <c r="CT43" s="87" t="s">
        <v>170</v>
      </c>
      <c r="CU43" s="80">
        <f>CU$7*'Mkt share'!$C$54</f>
        <v>1411142.1805333972</v>
      </c>
      <c r="CV43" s="80">
        <f>CU$8*'Mkt share'!$C$54</f>
        <v>1411142.1805333972</v>
      </c>
      <c r="CW43" s="80">
        <f>CU$11*'Mkt share'!$C$54</f>
        <v>1411142.1805333972</v>
      </c>
      <c r="CX43" s="80">
        <f>CU$14*'Mkt share'!$C$54</f>
        <v>1411142.1805333972</v>
      </c>
      <c r="CY43" s="88">
        <f>CU$17*'Mkt share'!$C$54</f>
        <v>1411142.1805333972</v>
      </c>
      <c r="DB43" s="87" t="s">
        <v>170</v>
      </c>
      <c r="DC43" s="80">
        <f>DC$7*'Mkt share'!$C$55</f>
        <v>0</v>
      </c>
      <c r="DD43" s="80">
        <f>DC$8*'Mkt share'!$C$55</f>
        <v>0</v>
      </c>
      <c r="DE43" s="80">
        <f>DC$11*'Mkt share'!$C$55</f>
        <v>0</v>
      </c>
      <c r="DF43" s="80">
        <f>DC$14*'Mkt share'!$C$55</f>
        <v>0</v>
      </c>
      <c r="DG43" s="88">
        <f>DC$17*'Mkt share'!$C$55</f>
        <v>0</v>
      </c>
    </row>
    <row r="44" spans="2:111">
      <c r="B44" s="87" t="s">
        <v>175</v>
      </c>
      <c r="C44" s="105">
        <v>0</v>
      </c>
      <c r="D44" s="80">
        <f>C$10*'Mkt share'!$C$42</f>
        <v>0</v>
      </c>
      <c r="E44" s="80">
        <f>C$13*'Mkt share'!$C$42</f>
        <v>0</v>
      </c>
      <c r="F44" s="80">
        <f>C$16*'Mkt share'!$C$42</f>
        <v>0</v>
      </c>
      <c r="G44" s="88">
        <f>C$19*'Mkt share'!$C$42</f>
        <v>0</v>
      </c>
      <c r="J44" s="87" t="s">
        <v>175</v>
      </c>
      <c r="K44" s="105">
        <v>0</v>
      </c>
      <c r="L44" s="80">
        <f>K$10*'Mkt share'!$C$43</f>
        <v>0</v>
      </c>
      <c r="M44" s="80">
        <f>K$13*'Mkt share'!$C$43</f>
        <v>0</v>
      </c>
      <c r="N44" s="80">
        <f>K$16*'Mkt share'!$C$43</f>
        <v>0</v>
      </c>
      <c r="O44" s="88">
        <f>K$19*'Mkt share'!$C$43</f>
        <v>0</v>
      </c>
      <c r="R44" s="87" t="s">
        <v>175</v>
      </c>
      <c r="S44" s="105">
        <v>0</v>
      </c>
      <c r="T44" s="80">
        <f>S$10*'Mkt share'!$C$44</f>
        <v>0</v>
      </c>
      <c r="U44" s="80">
        <f>S$13*'Mkt share'!$C$44</f>
        <v>0</v>
      </c>
      <c r="V44" s="80">
        <f>S$16*'Mkt share'!$C$44</f>
        <v>0</v>
      </c>
      <c r="W44" s="88">
        <f>S$19*'Mkt share'!$C$44</f>
        <v>0</v>
      </c>
      <c r="Z44" s="87" t="s">
        <v>175</v>
      </c>
      <c r="AA44" s="105">
        <v>0</v>
      </c>
      <c r="AB44" s="80">
        <f>AA$10*'Mkt share'!$C$45</f>
        <v>0</v>
      </c>
      <c r="AC44" s="80">
        <f>AA$13*'Mkt share'!$C$45</f>
        <v>0</v>
      </c>
      <c r="AD44" s="80">
        <f>AA$16*'Mkt share'!$C$45</f>
        <v>0</v>
      </c>
      <c r="AE44" s="88">
        <f>AA$19*'Mkt share'!$C$45</f>
        <v>0</v>
      </c>
      <c r="AH44" s="87" t="s">
        <v>175</v>
      </c>
      <c r="AI44" s="105">
        <v>0</v>
      </c>
      <c r="AJ44" s="80">
        <f>AI$10*'Mkt share'!$C$46</f>
        <v>0</v>
      </c>
      <c r="AK44" s="80">
        <f>AI$13*'Mkt share'!$C$46</f>
        <v>0</v>
      </c>
      <c r="AL44" s="80">
        <f>AI$16*'Mkt share'!$C$46</f>
        <v>0</v>
      </c>
      <c r="AM44" s="88">
        <f>AI$19*'Mkt share'!$C$46</f>
        <v>0</v>
      </c>
      <c r="AP44" s="87" t="s">
        <v>175</v>
      </c>
      <c r="AQ44" s="105">
        <v>0</v>
      </c>
      <c r="AR44" s="80">
        <f>AQ$10*'Mkt share'!$C$47</f>
        <v>0</v>
      </c>
      <c r="AS44" s="80">
        <f>AQ$13*'Mkt share'!$C$47</f>
        <v>0</v>
      </c>
      <c r="AT44" s="80">
        <f>AQ$16*'Mkt share'!$C$47</f>
        <v>0</v>
      </c>
      <c r="AU44" s="88">
        <f>AQ$19*'Mkt share'!$C$47</f>
        <v>0</v>
      </c>
      <c r="AX44" s="87" t="s">
        <v>175</v>
      </c>
      <c r="AY44" s="105">
        <v>0</v>
      </c>
      <c r="AZ44" s="80">
        <f>AY$10*'Mkt share'!$C$48</f>
        <v>0</v>
      </c>
      <c r="BA44" s="80">
        <f>AY$13*'Mkt share'!$C$48</f>
        <v>0</v>
      </c>
      <c r="BB44" s="80">
        <f>AY$16*'Mkt share'!$C$48</f>
        <v>0</v>
      </c>
      <c r="BC44" s="88">
        <f>AY$19*'Mkt share'!$C$48</f>
        <v>0</v>
      </c>
      <c r="BF44" s="87" t="s">
        <v>175</v>
      </c>
      <c r="BG44" s="105">
        <v>0</v>
      </c>
      <c r="BH44" s="80">
        <f>BG$10*'Mkt share'!$C$49</f>
        <v>0</v>
      </c>
      <c r="BI44" s="80">
        <f>BG$13*'Mkt share'!$C$49</f>
        <v>0</v>
      </c>
      <c r="BJ44" s="80">
        <f>BG$16*'Mkt share'!$C$49</f>
        <v>0</v>
      </c>
      <c r="BK44" s="88">
        <f>BG$19*'Mkt share'!$C$49</f>
        <v>0</v>
      </c>
      <c r="BN44" s="87" t="s">
        <v>175</v>
      </c>
      <c r="BO44" s="105">
        <v>0</v>
      </c>
      <c r="BP44" s="80">
        <f>BO$10*'Mkt share'!$C$50</f>
        <v>0</v>
      </c>
      <c r="BQ44" s="80">
        <f>BO$13*'Mkt share'!$C$50</f>
        <v>0</v>
      </c>
      <c r="BR44" s="80">
        <f>BO$16*'Mkt share'!$C$50</f>
        <v>0</v>
      </c>
      <c r="BS44" s="88">
        <f>BO$19*'Mkt share'!$C$50</f>
        <v>0</v>
      </c>
      <c r="BV44" s="87" t="s">
        <v>175</v>
      </c>
      <c r="BW44" s="105">
        <v>0</v>
      </c>
      <c r="BX44" s="80">
        <f>BW$10*'Mkt share'!$C$51</f>
        <v>0</v>
      </c>
      <c r="BY44" s="80">
        <f>BW$13*'Mkt share'!$C$51</f>
        <v>0</v>
      </c>
      <c r="BZ44" s="80">
        <f>BW$16*'Mkt share'!$C$51</f>
        <v>0</v>
      </c>
      <c r="CA44" s="88">
        <f>BW$19*'Mkt share'!$C$51</f>
        <v>0</v>
      </c>
      <c r="CD44" s="87" t="s">
        <v>175</v>
      </c>
      <c r="CE44" s="105">
        <v>0</v>
      </c>
      <c r="CF44" s="80">
        <f>CE$10*'Mkt share'!$C$52</f>
        <v>0</v>
      </c>
      <c r="CG44" s="80">
        <f>CE$13*'Mkt share'!$C$52</f>
        <v>0</v>
      </c>
      <c r="CH44" s="80">
        <f>CE$16*'Mkt share'!$C$52</f>
        <v>0</v>
      </c>
      <c r="CI44" s="88">
        <f>CE$19*'Mkt share'!$C$52</f>
        <v>0</v>
      </c>
      <c r="CL44" s="87" t="s">
        <v>175</v>
      </c>
      <c r="CM44" s="105">
        <v>0</v>
      </c>
      <c r="CN44" s="80">
        <f>CM$10*'Mkt share'!$C$53</f>
        <v>0</v>
      </c>
      <c r="CO44" s="80">
        <f>CM$13*'Mkt share'!$C$53</f>
        <v>0</v>
      </c>
      <c r="CP44" s="80">
        <f>CM$16*'Mkt share'!$C$53</f>
        <v>0</v>
      </c>
      <c r="CQ44" s="88">
        <f>CM$19*'Mkt share'!$C$53</f>
        <v>0</v>
      </c>
      <c r="CT44" s="87" t="s">
        <v>175</v>
      </c>
      <c r="CU44" s="105">
        <v>0</v>
      </c>
      <c r="CV44" s="80">
        <f>CU$10*'Mkt share'!$C$54</f>
        <v>0</v>
      </c>
      <c r="CW44" s="80">
        <f>CU$13*'Mkt share'!$C$54</f>
        <v>0</v>
      </c>
      <c r="CX44" s="80">
        <f>CU$16*'Mkt share'!$C$54</f>
        <v>0</v>
      </c>
      <c r="CY44" s="88">
        <f>CU$19*'Mkt share'!$C$54</f>
        <v>0</v>
      </c>
      <c r="DB44" s="87" t="s">
        <v>175</v>
      </c>
      <c r="DC44" s="105">
        <v>0</v>
      </c>
      <c r="DD44" s="80">
        <f>DC$10*'Mkt share'!$C$55</f>
        <v>0</v>
      </c>
      <c r="DE44" s="80">
        <f>DC$13*'Mkt share'!$C$55</f>
        <v>0</v>
      </c>
      <c r="DF44" s="80">
        <f>DC$16*'Mkt share'!$C$55</f>
        <v>0</v>
      </c>
      <c r="DG44" s="88">
        <f>DC$19*'Mkt share'!$C$55</f>
        <v>0</v>
      </c>
    </row>
    <row r="45" spans="2:111">
      <c r="B45" s="87" t="s">
        <v>171</v>
      </c>
      <c r="C45" s="103"/>
      <c r="D45" s="80">
        <f>D$7*'Mkt share'!$D$42</f>
        <v>2813.4922458422643</v>
      </c>
      <c r="E45" s="80">
        <f>D$8*'Mkt share'!$D$42</f>
        <v>2813.4922458422643</v>
      </c>
      <c r="F45" s="80">
        <f>D$11*'Mkt share'!$D$42</f>
        <v>2813.4922458422643</v>
      </c>
      <c r="G45" s="88">
        <f>D$14*'Mkt share'!$D$42</f>
        <v>2813.4922458422643</v>
      </c>
      <c r="J45" s="87" t="s">
        <v>171</v>
      </c>
      <c r="K45" s="103"/>
      <c r="L45" s="80">
        <f>L$7*'Mkt share'!$D$43</f>
        <v>9332.1027754901206</v>
      </c>
      <c r="M45" s="80">
        <f>L$8*'Mkt share'!$D$43</f>
        <v>9332.1027754901206</v>
      </c>
      <c r="N45" s="80">
        <f>L$11*'Mkt share'!$D$43</f>
        <v>9332.1027754901206</v>
      </c>
      <c r="O45" s="88">
        <f>L$14*'Mkt share'!$D$43</f>
        <v>9332.1027754901206</v>
      </c>
      <c r="R45" s="87" t="s">
        <v>171</v>
      </c>
      <c r="S45" s="103"/>
      <c r="T45" s="80">
        <f>T$7*'Mkt share'!$D$44</f>
        <v>4461.8765177072391</v>
      </c>
      <c r="U45" s="80">
        <f>T$8*'Mkt share'!$D$44</f>
        <v>4461.8765177072391</v>
      </c>
      <c r="V45" s="80">
        <f>T$11*'Mkt share'!$D$44</f>
        <v>4461.8765177072391</v>
      </c>
      <c r="W45" s="88">
        <f>T$14*'Mkt share'!$D$44</f>
        <v>4461.8765177072391</v>
      </c>
      <c r="Z45" s="87" t="s">
        <v>171</v>
      </c>
      <c r="AA45" s="103"/>
      <c r="AB45" s="80">
        <f>AB$7*'Mkt share'!$D$45</f>
        <v>645.61717314711518</v>
      </c>
      <c r="AC45" s="80">
        <f>AB$8*'Mkt share'!$D$45</f>
        <v>645.61717314711518</v>
      </c>
      <c r="AD45" s="80">
        <f>AB$11*'Mkt share'!$D$45</f>
        <v>645.61717314711518</v>
      </c>
      <c r="AE45" s="88">
        <f>AB$14*'Mkt share'!$D$45</f>
        <v>645.61717314711518</v>
      </c>
      <c r="AH45" s="87" t="s">
        <v>171</v>
      </c>
      <c r="AI45" s="103"/>
      <c r="AJ45" s="80">
        <f>AJ$7*'Mkt share'!$D$46</f>
        <v>1327.792095525894</v>
      </c>
      <c r="AK45" s="80">
        <f>AJ$8*'Mkt share'!$D$46</f>
        <v>1327.792095525894</v>
      </c>
      <c r="AL45" s="80">
        <f>AJ$11*'Mkt share'!$D$46</f>
        <v>1327.792095525894</v>
      </c>
      <c r="AM45" s="88">
        <f>AJ$14*'Mkt share'!$D$46</f>
        <v>1327.792095525894</v>
      </c>
      <c r="AP45" s="87" t="s">
        <v>171</v>
      </c>
      <c r="AQ45" s="103"/>
      <c r="AR45" s="80">
        <f>AR$7*'Mkt share'!$D$47</f>
        <v>6659.814743367453</v>
      </c>
      <c r="AS45" s="80">
        <f>AR$8*'Mkt share'!$D$47</f>
        <v>6659.814743367453</v>
      </c>
      <c r="AT45" s="80">
        <f>AR$11*'Mkt share'!$D$47</f>
        <v>6659.814743367453</v>
      </c>
      <c r="AU45" s="88">
        <f>AR$14*'Mkt share'!$D$47</f>
        <v>6659.814743367453</v>
      </c>
      <c r="AX45" s="87" t="s">
        <v>171</v>
      </c>
      <c r="AY45" s="103"/>
      <c r="AZ45" s="80">
        <f>AZ$7*'Mkt share'!$D$48</f>
        <v>7333.5763943788152</v>
      </c>
      <c r="BA45" s="80">
        <f>AZ$8*'Mkt share'!$D$48</f>
        <v>7333.5763943788152</v>
      </c>
      <c r="BB45" s="80">
        <f>AZ$11*'Mkt share'!$D$48</f>
        <v>7333.5763943788152</v>
      </c>
      <c r="BC45" s="88">
        <f>AZ$14*'Mkt share'!$D$48</f>
        <v>7333.5763943788152</v>
      </c>
      <c r="BF45" s="87" t="s">
        <v>171</v>
      </c>
      <c r="BG45" s="103"/>
      <c r="BH45" s="80">
        <f>BH$7*'Mkt share'!$D$49</f>
        <v>1310.307977517504</v>
      </c>
      <c r="BI45" s="80">
        <f>BH$8*'Mkt share'!$D$49</f>
        <v>1310.307977517504</v>
      </c>
      <c r="BJ45" s="80">
        <f>BH$11*'Mkt share'!$D$49</f>
        <v>1310.307977517504</v>
      </c>
      <c r="BK45" s="88">
        <f>BH$14*'Mkt share'!$D$49</f>
        <v>1310.307977517504</v>
      </c>
      <c r="BN45" s="87" t="s">
        <v>171</v>
      </c>
      <c r="BO45" s="103"/>
      <c r="BP45" s="80">
        <f>BP$7*'Mkt share'!$D$50</f>
        <v>14.271418729305724</v>
      </c>
      <c r="BQ45" s="80">
        <f>BP$8*'Mkt share'!$D$50</f>
        <v>14.271418729305724</v>
      </c>
      <c r="BR45" s="80">
        <f>BP$11*'Mkt share'!$D$50</f>
        <v>14.271418729305724</v>
      </c>
      <c r="BS45" s="88">
        <f>BP$14*'Mkt share'!$D$50</f>
        <v>14.271418729305724</v>
      </c>
      <c r="BV45" s="87" t="s">
        <v>171</v>
      </c>
      <c r="BW45" s="103"/>
      <c r="BX45" s="80">
        <f>BX$7*'Mkt share'!$D$51</f>
        <v>8.6607690261157959</v>
      </c>
      <c r="BY45" s="80">
        <f>BX$8*'Mkt share'!$D$51</f>
        <v>8.6607690261157959</v>
      </c>
      <c r="BZ45" s="80">
        <f>BX$11*'Mkt share'!$D$51</f>
        <v>8.6607690261157959</v>
      </c>
      <c r="CA45" s="88">
        <f>BX$14*'Mkt share'!$D$51</f>
        <v>8.6607690261157959</v>
      </c>
      <c r="CD45" s="87" t="s">
        <v>171</v>
      </c>
      <c r="CE45" s="103"/>
      <c r="CF45" s="80">
        <f>CF$7*'Mkt share'!$D$52</f>
        <v>1876.1310877317546</v>
      </c>
      <c r="CG45" s="80">
        <f>CF$8*'Mkt share'!$D$52</f>
        <v>1876.1310877317546</v>
      </c>
      <c r="CH45" s="80">
        <f>CF$11*'Mkt share'!$D$52</f>
        <v>1876.1310877317546</v>
      </c>
      <c r="CI45" s="88">
        <f>CF$14*'Mkt share'!$D$52</f>
        <v>1876.1310877317546</v>
      </c>
      <c r="CL45" s="87" t="s">
        <v>171</v>
      </c>
      <c r="CM45" s="103"/>
      <c r="CN45" s="80">
        <f>CN$7*'Mkt share'!$D$53</f>
        <v>40195.218224998716</v>
      </c>
      <c r="CO45" s="80">
        <f>CN$8*'Mkt share'!$D$53</f>
        <v>40195.218224998716</v>
      </c>
      <c r="CP45" s="80">
        <f>CN$11*'Mkt share'!$D$53</f>
        <v>40195.218224998716</v>
      </c>
      <c r="CQ45" s="88">
        <f>CN$14*'Mkt share'!$D$53</f>
        <v>40195.218224998716</v>
      </c>
      <c r="CT45" s="87" t="s">
        <v>171</v>
      </c>
      <c r="CU45" s="103"/>
      <c r="CV45" s="80">
        <f>CV$7*'Mkt share'!$D$54</f>
        <v>10286.582137471391</v>
      </c>
      <c r="CW45" s="80">
        <f>CV$8*'Mkt share'!$D$54</f>
        <v>10286.582137471391</v>
      </c>
      <c r="CX45" s="80">
        <f>CV$11*'Mkt share'!$D$54</f>
        <v>10286.582137471391</v>
      </c>
      <c r="CY45" s="88">
        <f>CV$14*'Mkt share'!$D$54</f>
        <v>10286.582137471391</v>
      </c>
      <c r="DB45" s="87" t="s">
        <v>171</v>
      </c>
      <c r="DC45" s="103"/>
      <c r="DD45" s="80">
        <f>DD$7*'Mkt share'!$D$55</f>
        <v>0</v>
      </c>
      <c r="DE45" s="80">
        <f>DD$8*'Mkt share'!$D$55</f>
        <v>0</v>
      </c>
      <c r="DF45" s="80">
        <f>DD$11*'Mkt share'!$D$55</f>
        <v>0</v>
      </c>
      <c r="DG45" s="88">
        <f>DD$14*'Mkt share'!$D$55</f>
        <v>0</v>
      </c>
    </row>
    <row r="46" spans="2:111">
      <c r="B46" s="87" t="s">
        <v>176</v>
      </c>
      <c r="C46" s="103"/>
      <c r="D46" s="105">
        <v>0</v>
      </c>
      <c r="E46" s="80">
        <f>D$10*'Mkt share'!$D$42</f>
        <v>0</v>
      </c>
      <c r="F46" s="80">
        <f>D$13*'Mkt share'!$D$42</f>
        <v>0</v>
      </c>
      <c r="G46" s="88">
        <f>D$16*'Mkt share'!$D$42</f>
        <v>0</v>
      </c>
      <c r="J46" s="87" t="s">
        <v>176</v>
      </c>
      <c r="K46" s="103"/>
      <c r="L46" s="105">
        <v>0</v>
      </c>
      <c r="M46" s="80">
        <f>L$10*'Mkt share'!$D$43</f>
        <v>0</v>
      </c>
      <c r="N46" s="80">
        <f>L$13*'Mkt share'!$D$43</f>
        <v>0</v>
      </c>
      <c r="O46" s="88">
        <f>L$16*'Mkt share'!$D$43</f>
        <v>0</v>
      </c>
      <c r="R46" s="87" t="s">
        <v>176</v>
      </c>
      <c r="S46" s="103"/>
      <c r="T46" s="105">
        <v>0</v>
      </c>
      <c r="U46" s="80">
        <f>T$10*'Mkt share'!$D$44</f>
        <v>0</v>
      </c>
      <c r="V46" s="80">
        <f>T$13*'Mkt share'!$D$44</f>
        <v>0</v>
      </c>
      <c r="W46" s="88">
        <f>T$16*'Mkt share'!$D$44</f>
        <v>0</v>
      </c>
      <c r="Z46" s="87" t="s">
        <v>176</v>
      </c>
      <c r="AA46" s="103"/>
      <c r="AB46" s="105">
        <v>0</v>
      </c>
      <c r="AC46" s="80">
        <f>AB$10*'Mkt share'!$D$45</f>
        <v>0</v>
      </c>
      <c r="AD46" s="80">
        <f>AB$13*'Mkt share'!$D$45</f>
        <v>0</v>
      </c>
      <c r="AE46" s="88">
        <f>AB$16*'Mkt share'!$D$45</f>
        <v>0</v>
      </c>
      <c r="AH46" s="87" t="s">
        <v>176</v>
      </c>
      <c r="AI46" s="103"/>
      <c r="AJ46" s="105">
        <v>0</v>
      </c>
      <c r="AK46" s="80">
        <f>AJ$10*'Mkt share'!$D$46</f>
        <v>0</v>
      </c>
      <c r="AL46" s="80">
        <f>AJ$13*'Mkt share'!$D$46</f>
        <v>0</v>
      </c>
      <c r="AM46" s="88">
        <f>AJ$16*'Mkt share'!$D$46</f>
        <v>0</v>
      </c>
      <c r="AP46" s="87" t="s">
        <v>176</v>
      </c>
      <c r="AQ46" s="103"/>
      <c r="AR46" s="105">
        <v>0</v>
      </c>
      <c r="AS46" s="80">
        <f>AR$10*'Mkt share'!$D$47</f>
        <v>0</v>
      </c>
      <c r="AT46" s="80">
        <f>AR$13*'Mkt share'!$D$47</f>
        <v>0</v>
      </c>
      <c r="AU46" s="88">
        <f>AR$16*'Mkt share'!$D$47</f>
        <v>0</v>
      </c>
      <c r="AX46" s="87" t="s">
        <v>176</v>
      </c>
      <c r="AY46" s="103"/>
      <c r="AZ46" s="105">
        <v>0</v>
      </c>
      <c r="BA46" s="80">
        <f>AZ$10*'Mkt share'!$D$48</f>
        <v>0</v>
      </c>
      <c r="BB46" s="80">
        <f>AZ$13*'Mkt share'!$D$48</f>
        <v>0</v>
      </c>
      <c r="BC46" s="88">
        <f>AZ$16*'Mkt share'!$D$48</f>
        <v>0</v>
      </c>
      <c r="BF46" s="87" t="s">
        <v>176</v>
      </c>
      <c r="BG46" s="103"/>
      <c r="BH46" s="105">
        <v>0</v>
      </c>
      <c r="BI46" s="80">
        <f>BH$10*'Mkt share'!$D$49</f>
        <v>0</v>
      </c>
      <c r="BJ46" s="80">
        <f>BH$13*'Mkt share'!$D$49</f>
        <v>0</v>
      </c>
      <c r="BK46" s="88">
        <f>BH$16*'Mkt share'!$D$49</f>
        <v>0</v>
      </c>
      <c r="BN46" s="87" t="s">
        <v>176</v>
      </c>
      <c r="BO46" s="103"/>
      <c r="BP46" s="105">
        <v>0</v>
      </c>
      <c r="BQ46" s="80">
        <f>BP$10*'Mkt share'!$D$50</f>
        <v>0</v>
      </c>
      <c r="BR46" s="80">
        <f>BP$13*'Mkt share'!$D$50</f>
        <v>0</v>
      </c>
      <c r="BS46" s="88">
        <f>BP$16*'Mkt share'!$D$50</f>
        <v>0</v>
      </c>
      <c r="BV46" s="87" t="s">
        <v>176</v>
      </c>
      <c r="BW46" s="103"/>
      <c r="BX46" s="105">
        <v>0</v>
      </c>
      <c r="BY46" s="80">
        <f>BX$10*'Mkt share'!$D$51</f>
        <v>0</v>
      </c>
      <c r="BZ46" s="80">
        <f>BX$13*'Mkt share'!$D$51</f>
        <v>0</v>
      </c>
      <c r="CA46" s="88">
        <f>BX$16*'Mkt share'!$D$51</f>
        <v>0</v>
      </c>
      <c r="CD46" s="87" t="s">
        <v>176</v>
      </c>
      <c r="CE46" s="103"/>
      <c r="CF46" s="105">
        <v>0</v>
      </c>
      <c r="CG46" s="80">
        <f>CF$10*'Mkt share'!$D$52</f>
        <v>0</v>
      </c>
      <c r="CH46" s="80">
        <f>CF$13*'Mkt share'!$D$52</f>
        <v>0</v>
      </c>
      <c r="CI46" s="88">
        <f>CF$16*'Mkt share'!$D$52</f>
        <v>0</v>
      </c>
      <c r="CL46" s="87" t="s">
        <v>176</v>
      </c>
      <c r="CM46" s="103"/>
      <c r="CN46" s="105">
        <v>0</v>
      </c>
      <c r="CO46" s="80">
        <f>CN$10*'Mkt share'!$D$53</f>
        <v>0</v>
      </c>
      <c r="CP46" s="80">
        <f>CN$13*'Mkt share'!$D$53</f>
        <v>0</v>
      </c>
      <c r="CQ46" s="88">
        <f>CN$16*'Mkt share'!$D$53</f>
        <v>0</v>
      </c>
      <c r="CT46" s="87" t="s">
        <v>176</v>
      </c>
      <c r="CU46" s="103"/>
      <c r="CV46" s="105">
        <v>0</v>
      </c>
      <c r="CW46" s="80">
        <f>CV$10*'Mkt share'!$D$54</f>
        <v>0</v>
      </c>
      <c r="CX46" s="80">
        <f>CV$13*'Mkt share'!$D$54</f>
        <v>0</v>
      </c>
      <c r="CY46" s="88">
        <f>CV$16*'Mkt share'!$D$54</f>
        <v>0</v>
      </c>
      <c r="DB46" s="87" t="s">
        <v>176</v>
      </c>
      <c r="DC46" s="103"/>
      <c r="DD46" s="105">
        <v>0</v>
      </c>
      <c r="DE46" s="80">
        <f>DD$10*'Mkt share'!$D$55</f>
        <v>0</v>
      </c>
      <c r="DF46" s="80">
        <f>DD$13*'Mkt share'!$D$55</f>
        <v>0</v>
      </c>
      <c r="DG46" s="88">
        <f>DD$16*'Mkt share'!$D$55</f>
        <v>0</v>
      </c>
    </row>
    <row r="47" spans="2:111">
      <c r="B47" s="87" t="s">
        <v>172</v>
      </c>
      <c r="C47" s="103"/>
      <c r="D47" s="103"/>
      <c r="E47" s="80">
        <f>E$7*'Mkt share'!$E$42</f>
        <v>4043.404217885231</v>
      </c>
      <c r="F47" s="80">
        <f>E$8*'Mkt share'!$E$42</f>
        <v>4043.404217885231</v>
      </c>
      <c r="G47" s="88">
        <f>E$11*'Mkt share'!$E$42</f>
        <v>4043.404217885231</v>
      </c>
      <c r="J47" s="87" t="s">
        <v>172</v>
      </c>
      <c r="K47" s="103"/>
      <c r="L47" s="103"/>
      <c r="M47" s="80">
        <f>M$7*'Mkt share'!$E$43</f>
        <v>13411.611060921585</v>
      </c>
      <c r="N47" s="80">
        <f>M$8*'Mkt share'!$E$43</f>
        <v>13411.611060921585</v>
      </c>
      <c r="O47" s="88">
        <f>M$11*'Mkt share'!$E$43</f>
        <v>13411.611060921585</v>
      </c>
      <c r="R47" s="87" t="s">
        <v>172</v>
      </c>
      <c r="S47" s="103"/>
      <c r="T47" s="103"/>
      <c r="U47" s="80">
        <f>U$7*'Mkt share'!$E$44</f>
        <v>6412.3760632507456</v>
      </c>
      <c r="V47" s="80">
        <f>U$8*'Mkt share'!$E$44</f>
        <v>6412.3760632507456</v>
      </c>
      <c r="W47" s="88">
        <f>U$11*'Mkt share'!$E$44</f>
        <v>6412.3760632507456</v>
      </c>
      <c r="Z47" s="87" t="s">
        <v>172</v>
      </c>
      <c r="AA47" s="103"/>
      <c r="AB47" s="103"/>
      <c r="AC47" s="80">
        <f>AC$7*'Mkt share'!$E$45</f>
        <v>927.84730610149336</v>
      </c>
      <c r="AD47" s="80">
        <f>AC$8*'Mkt share'!$E$45</f>
        <v>927.84730610149336</v>
      </c>
      <c r="AE47" s="88">
        <f>AC$11*'Mkt share'!$E$45</f>
        <v>927.84730610149336</v>
      </c>
      <c r="AH47" s="87" t="s">
        <v>172</v>
      </c>
      <c r="AI47" s="103"/>
      <c r="AJ47" s="103"/>
      <c r="AK47" s="80">
        <f>AK$7*'Mkt share'!$E$46</f>
        <v>1113.1362091663245</v>
      </c>
      <c r="AL47" s="80">
        <f>AK$8*'Mkt share'!$E$46</f>
        <v>1113.1362091663245</v>
      </c>
      <c r="AM47" s="88">
        <f>AK$11*'Mkt share'!$E$46</f>
        <v>1113.1362091663245</v>
      </c>
      <c r="AP47" s="87" t="s">
        <v>172</v>
      </c>
      <c r="AQ47" s="103"/>
      <c r="AR47" s="103"/>
      <c r="AS47" s="80">
        <f>AS$7*'Mkt share'!$E$47</f>
        <v>5583.1639321861549</v>
      </c>
      <c r="AT47" s="80">
        <f>AS$8*'Mkt share'!$E$47</f>
        <v>5583.1639321861549</v>
      </c>
      <c r="AU47" s="88">
        <f>AS$11*'Mkt share'!$E$47</f>
        <v>5583.1639321861549</v>
      </c>
      <c r="AX47" s="87" t="s">
        <v>172</v>
      </c>
      <c r="AY47" s="103"/>
      <c r="AZ47" s="103"/>
      <c r="BA47" s="80">
        <f>BA$7*'Mkt share'!$E$48</f>
        <v>6148.0027293258427</v>
      </c>
      <c r="BB47" s="80">
        <f>BA$8*'Mkt share'!$E$48</f>
        <v>6148.0027293258427</v>
      </c>
      <c r="BC47" s="88">
        <f>BA$11*'Mkt share'!$E$48</f>
        <v>6148.0027293258427</v>
      </c>
      <c r="BF47" s="87" t="s">
        <v>172</v>
      </c>
      <c r="BG47" s="103"/>
      <c r="BH47" s="103"/>
      <c r="BI47" s="80">
        <f>BI$7*'Mkt share'!$E$49</f>
        <v>1098.4786397275129</v>
      </c>
      <c r="BJ47" s="80">
        <f>BI$8*'Mkt share'!$E$49</f>
        <v>1098.4786397275129</v>
      </c>
      <c r="BK47" s="88">
        <f>BI$11*'Mkt share'!$E$49</f>
        <v>1098.4786397275129</v>
      </c>
      <c r="BN47" s="87" t="s">
        <v>172</v>
      </c>
      <c r="BO47" s="103"/>
      <c r="BP47" s="103"/>
      <c r="BQ47" s="80">
        <f>BQ$7*'Mkt share'!$E$50</f>
        <v>13.673425442598793</v>
      </c>
      <c r="BR47" s="80">
        <f>BQ$8*'Mkt share'!$E$50</f>
        <v>13.673425442598793</v>
      </c>
      <c r="BS47" s="88">
        <f>BQ$11*'Mkt share'!$E$50</f>
        <v>13.673425442598793</v>
      </c>
      <c r="BV47" s="87" t="s">
        <v>172</v>
      </c>
      <c r="BW47" s="103"/>
      <c r="BX47" s="103"/>
      <c r="BY47" s="80">
        <f>BY$7*'Mkt share'!$E$51</f>
        <v>7.2606363862840535</v>
      </c>
      <c r="BZ47" s="80">
        <f>BY$8*'Mkt share'!$E$51</f>
        <v>7.2606363862840535</v>
      </c>
      <c r="CA47" s="88">
        <f>BY$11*'Mkt share'!$E$51</f>
        <v>7.2606363862840535</v>
      </c>
      <c r="CD47" s="87" t="s">
        <v>172</v>
      </c>
      <c r="CE47" s="103"/>
      <c r="CF47" s="103"/>
      <c r="CG47" s="80">
        <f>CG$7*'Mkt share'!$E$52</f>
        <v>1572.8286483507625</v>
      </c>
      <c r="CH47" s="80">
        <f>CG$8*'Mkt share'!$E$52</f>
        <v>1572.8286483507625</v>
      </c>
      <c r="CI47" s="88">
        <f>CG$11*'Mkt share'!$E$52</f>
        <v>1572.8286483507625</v>
      </c>
      <c r="CL47" s="87" t="s">
        <v>172</v>
      </c>
      <c r="CM47" s="103"/>
      <c r="CN47" s="103"/>
      <c r="CO47" s="80">
        <f>CO$7*'Mkt share'!$E$53</f>
        <v>33697.10739531638</v>
      </c>
      <c r="CP47" s="80">
        <f>CO$8*'Mkt share'!$E$53</f>
        <v>33697.10739531638</v>
      </c>
      <c r="CQ47" s="88">
        <f>CO$11*'Mkt share'!$E$53</f>
        <v>33697.10739531638</v>
      </c>
      <c r="CT47" s="87" t="s">
        <v>172</v>
      </c>
      <c r="CU47" s="103"/>
      <c r="CV47" s="103"/>
      <c r="CW47" s="80">
        <f>CW$7*'Mkt share'!$E$54</f>
        <v>8621.9052298026054</v>
      </c>
      <c r="CX47" s="80">
        <f>CW$8*'Mkt share'!$E$54</f>
        <v>8621.9052298026054</v>
      </c>
      <c r="CY47" s="88">
        <f>CW$11*'Mkt share'!$E$54</f>
        <v>8621.9052298026054</v>
      </c>
      <c r="DB47" s="87" t="s">
        <v>172</v>
      </c>
      <c r="DC47" s="103"/>
      <c r="DD47" s="103"/>
      <c r="DE47" s="80">
        <f>DE$7*'Mkt share'!$E$55</f>
        <v>0</v>
      </c>
      <c r="DF47" s="80">
        <f>DE$8*'Mkt share'!$E$55</f>
        <v>0</v>
      </c>
      <c r="DG47" s="88">
        <f>DE$11*'Mkt share'!$E$55</f>
        <v>0</v>
      </c>
    </row>
    <row r="48" spans="2:111">
      <c r="B48" s="87" t="s">
        <v>177</v>
      </c>
      <c r="C48" s="103"/>
      <c r="D48" s="103"/>
      <c r="E48" s="105">
        <v>0</v>
      </c>
      <c r="F48" s="80">
        <f>E$10*'Mkt share'!$E$42</f>
        <v>0</v>
      </c>
      <c r="G48" s="88">
        <f>E$13*'Mkt share'!$E$42</f>
        <v>0</v>
      </c>
      <c r="J48" s="87" t="s">
        <v>177</v>
      </c>
      <c r="K48" s="103"/>
      <c r="L48" s="103"/>
      <c r="M48" s="105">
        <v>0</v>
      </c>
      <c r="N48" s="80">
        <f>M$10*'Mkt share'!$E$43</f>
        <v>0</v>
      </c>
      <c r="O48" s="88">
        <f>M$13*'Mkt share'!$E$43</f>
        <v>0</v>
      </c>
      <c r="R48" s="87" t="s">
        <v>177</v>
      </c>
      <c r="S48" s="103"/>
      <c r="T48" s="103"/>
      <c r="U48" s="105">
        <v>0</v>
      </c>
      <c r="V48" s="80">
        <f>U$10*'Mkt share'!$E$44</f>
        <v>0</v>
      </c>
      <c r="W48" s="88">
        <f>U$13*'Mkt share'!$E$44</f>
        <v>0</v>
      </c>
      <c r="Z48" s="87" t="s">
        <v>177</v>
      </c>
      <c r="AA48" s="103"/>
      <c r="AB48" s="103"/>
      <c r="AC48" s="105">
        <v>0</v>
      </c>
      <c r="AD48" s="80">
        <f>AC$10*'Mkt share'!$E$45</f>
        <v>0</v>
      </c>
      <c r="AE48" s="88">
        <f>AC$13*'Mkt share'!$E$45</f>
        <v>0</v>
      </c>
      <c r="AH48" s="87" t="s">
        <v>177</v>
      </c>
      <c r="AI48" s="103"/>
      <c r="AJ48" s="103"/>
      <c r="AK48" s="105">
        <v>0</v>
      </c>
      <c r="AL48" s="80">
        <f>AK$10*'Mkt share'!$E$46</f>
        <v>0</v>
      </c>
      <c r="AM48" s="88">
        <f>AK$13*'Mkt share'!$E$46</f>
        <v>0</v>
      </c>
      <c r="AP48" s="87" t="s">
        <v>177</v>
      </c>
      <c r="AQ48" s="103"/>
      <c r="AR48" s="103"/>
      <c r="AS48" s="105">
        <v>0</v>
      </c>
      <c r="AT48" s="80">
        <f>AS$10*'Mkt share'!$E$47</f>
        <v>0</v>
      </c>
      <c r="AU48" s="88">
        <f>AS$13*'Mkt share'!$E$47</f>
        <v>0</v>
      </c>
      <c r="AX48" s="87" t="s">
        <v>177</v>
      </c>
      <c r="AY48" s="103"/>
      <c r="AZ48" s="103"/>
      <c r="BA48" s="105">
        <v>0</v>
      </c>
      <c r="BB48" s="80">
        <f>BA$10*'Mkt share'!$E$48</f>
        <v>0</v>
      </c>
      <c r="BC48" s="88">
        <f>BA$13*'Mkt share'!$E$48</f>
        <v>0</v>
      </c>
      <c r="BF48" s="87" t="s">
        <v>177</v>
      </c>
      <c r="BG48" s="103"/>
      <c r="BH48" s="103"/>
      <c r="BI48" s="105">
        <v>0</v>
      </c>
      <c r="BJ48" s="80">
        <f>BI$10*'Mkt share'!$E$49</f>
        <v>0</v>
      </c>
      <c r="BK48" s="88">
        <f>BI$13*'Mkt share'!$E$49</f>
        <v>0</v>
      </c>
      <c r="BN48" s="87" t="s">
        <v>177</v>
      </c>
      <c r="BO48" s="103"/>
      <c r="BP48" s="103"/>
      <c r="BQ48" s="105">
        <v>0</v>
      </c>
      <c r="BR48" s="80">
        <f>BQ$10*'Mkt share'!$E$50</f>
        <v>0</v>
      </c>
      <c r="BS48" s="88">
        <f>BQ$13*'Mkt share'!$E$50</f>
        <v>0</v>
      </c>
      <c r="BV48" s="87" t="s">
        <v>177</v>
      </c>
      <c r="BW48" s="103"/>
      <c r="BX48" s="103"/>
      <c r="BY48" s="105">
        <v>0</v>
      </c>
      <c r="BZ48" s="80">
        <f>BY$10*'Mkt share'!$E$51</f>
        <v>0</v>
      </c>
      <c r="CA48" s="88">
        <f>BY$13*'Mkt share'!$E$51</f>
        <v>0</v>
      </c>
      <c r="CD48" s="87" t="s">
        <v>177</v>
      </c>
      <c r="CE48" s="103"/>
      <c r="CF48" s="103"/>
      <c r="CG48" s="105">
        <v>0</v>
      </c>
      <c r="CH48" s="80">
        <f>CG$10*'Mkt share'!$E$52</f>
        <v>0</v>
      </c>
      <c r="CI48" s="88">
        <f>CG$13*'Mkt share'!$E$52</f>
        <v>0</v>
      </c>
      <c r="CL48" s="87" t="s">
        <v>177</v>
      </c>
      <c r="CM48" s="103"/>
      <c r="CN48" s="103"/>
      <c r="CO48" s="105">
        <v>0</v>
      </c>
      <c r="CP48" s="80">
        <f>CO$10*'Mkt share'!$E$53</f>
        <v>0</v>
      </c>
      <c r="CQ48" s="88">
        <f>CO$13*'Mkt share'!$E$53</f>
        <v>0</v>
      </c>
      <c r="CT48" s="87" t="s">
        <v>177</v>
      </c>
      <c r="CU48" s="103"/>
      <c r="CV48" s="103"/>
      <c r="CW48" s="105">
        <v>0</v>
      </c>
      <c r="CX48" s="80">
        <f>CW$10*'Mkt share'!$E$54</f>
        <v>0</v>
      </c>
      <c r="CY48" s="88">
        <f>CW$13*'Mkt share'!$E$54</f>
        <v>0</v>
      </c>
      <c r="DB48" s="87" t="s">
        <v>177</v>
      </c>
      <c r="DC48" s="103"/>
      <c r="DD48" s="103"/>
      <c r="DE48" s="105">
        <v>0</v>
      </c>
      <c r="DF48" s="80">
        <f>DE$10*'Mkt share'!$E$55</f>
        <v>0</v>
      </c>
      <c r="DG48" s="88">
        <f>DE$13*'Mkt share'!$E$55</f>
        <v>0</v>
      </c>
    </row>
    <row r="49" spans="2:111">
      <c r="B49" s="87" t="s">
        <v>173</v>
      </c>
      <c r="C49" s="103"/>
      <c r="D49" s="103"/>
      <c r="E49" s="103"/>
      <c r="F49" s="80">
        <f>F$7*'Mkt share'!$F$42</f>
        <v>5404.0166093940998</v>
      </c>
      <c r="G49" s="88">
        <f>F$8*'Mkt share'!$F$42</f>
        <v>5404.0166093940998</v>
      </c>
      <c r="J49" s="87" t="s">
        <v>173</v>
      </c>
      <c r="K49" s="103"/>
      <c r="L49" s="103"/>
      <c r="M49" s="103"/>
      <c r="N49" s="80">
        <f>N$7*'Mkt share'!$F$43</f>
        <v>17924.640977364448</v>
      </c>
      <c r="O49" s="88">
        <f>N$8*'Mkt share'!$F$43</f>
        <v>17924.640977364448</v>
      </c>
      <c r="R49" s="87" t="s">
        <v>173</v>
      </c>
      <c r="S49" s="103"/>
      <c r="T49" s="103"/>
      <c r="U49" s="103"/>
      <c r="V49" s="80">
        <f>V$7*'Mkt share'!$F$44</f>
        <v>8570.1515070417736</v>
      </c>
      <c r="W49" s="88">
        <f>V$8*'Mkt share'!$F$44</f>
        <v>8570.1515070417736</v>
      </c>
      <c r="Z49" s="87" t="s">
        <v>173</v>
      </c>
      <c r="AA49" s="103"/>
      <c r="AB49" s="103"/>
      <c r="AC49" s="103"/>
      <c r="AD49" s="80">
        <f>AD$7*'Mkt share'!$F$45</f>
        <v>1240.0695015786725</v>
      </c>
      <c r="AE49" s="88">
        <f>AD$8*'Mkt share'!$F$45</f>
        <v>1240.0695015786725</v>
      </c>
      <c r="AH49" s="87" t="s">
        <v>173</v>
      </c>
      <c r="AI49" s="103"/>
      <c r="AJ49" s="103"/>
      <c r="AK49" s="103"/>
      <c r="AL49" s="80">
        <f>AL$7*'Mkt share'!$F$46</f>
        <v>956.38399421322015</v>
      </c>
      <c r="AM49" s="88">
        <f>AL$8*'Mkt share'!$F$46</f>
        <v>956.38399421322015</v>
      </c>
      <c r="AP49" s="87" t="s">
        <v>173</v>
      </c>
      <c r="AQ49" s="103"/>
      <c r="AR49" s="103"/>
      <c r="AS49" s="103"/>
      <c r="AT49" s="80">
        <f>AT$7*'Mkt share'!$F$47</f>
        <v>4796.9409114904947</v>
      </c>
      <c r="AU49" s="88">
        <f>AT$8*'Mkt share'!$F$47</f>
        <v>4796.9409114904947</v>
      </c>
      <c r="AX49" s="87" t="s">
        <v>173</v>
      </c>
      <c r="AY49" s="103"/>
      <c r="AZ49" s="103"/>
      <c r="BA49" s="103"/>
      <c r="BB49" s="80">
        <f>BB$7*'Mkt share'!$F$48</f>
        <v>5282.2389194491307</v>
      </c>
      <c r="BC49" s="88">
        <f>BB$8*'Mkt share'!$F$48</f>
        <v>5282.2389194491307</v>
      </c>
      <c r="BF49" s="87" t="s">
        <v>173</v>
      </c>
      <c r="BG49" s="103"/>
      <c r="BH49" s="103"/>
      <c r="BI49" s="103"/>
      <c r="BJ49" s="80">
        <f>BJ$7*'Mkt share'!$F$49</f>
        <v>943.7905086272583</v>
      </c>
      <c r="BK49" s="88">
        <f>BJ$8*'Mkt share'!$F$49</f>
        <v>943.7905086272583</v>
      </c>
      <c r="BN49" s="87" t="s">
        <v>173</v>
      </c>
      <c r="BO49" s="103"/>
      <c r="BP49" s="103"/>
      <c r="BQ49" s="103"/>
      <c r="BR49" s="80">
        <f>BR$7*'Mkt share'!$F$50</f>
        <v>13.705917257592825</v>
      </c>
      <c r="BS49" s="88">
        <f>BR$8*'Mkt share'!$F$50</f>
        <v>13.705917257592825</v>
      </c>
      <c r="BV49" s="87" t="s">
        <v>173</v>
      </c>
      <c r="BW49" s="103"/>
      <c r="BX49" s="103"/>
      <c r="BY49" s="103"/>
      <c r="BZ49" s="80">
        <f>BZ$7*'Mkt share'!$F$51</f>
        <v>6.238191131025026</v>
      </c>
      <c r="CA49" s="88">
        <f>BZ$8*'Mkt share'!$F$51</f>
        <v>6.238191131025026</v>
      </c>
      <c r="CD49" s="87" t="s">
        <v>173</v>
      </c>
      <c r="CE49" s="103"/>
      <c r="CF49" s="103"/>
      <c r="CG49" s="103"/>
      <c r="CH49" s="80">
        <f>CH$7*'Mkt share'!$F$52</f>
        <v>1351.3423896696913</v>
      </c>
      <c r="CI49" s="88">
        <f>CH$8*'Mkt share'!$F$52</f>
        <v>1351.3423896696913</v>
      </c>
      <c r="CL49" s="87" t="s">
        <v>173</v>
      </c>
      <c r="CM49" s="103"/>
      <c r="CN49" s="103"/>
      <c r="CO49" s="103"/>
      <c r="CP49" s="80">
        <f>CP$7*'Mkt share'!$F$53</f>
        <v>28951.869410753403</v>
      </c>
      <c r="CQ49" s="88">
        <f>CP$8*'Mkt share'!$F$53</f>
        <v>28951.869410753403</v>
      </c>
      <c r="CT49" s="87" t="s">
        <v>173</v>
      </c>
      <c r="CU49" s="103"/>
      <c r="CV49" s="103"/>
      <c r="CW49" s="103"/>
      <c r="CX49" s="80">
        <f>CX$7*'Mkt share'!$F$54</f>
        <v>7405.8076504766686</v>
      </c>
      <c r="CY49" s="88">
        <f>CX$8*'Mkt share'!$F$54</f>
        <v>7405.8076504766686</v>
      </c>
      <c r="DB49" s="87" t="s">
        <v>173</v>
      </c>
      <c r="DC49" s="103"/>
      <c r="DD49" s="103"/>
      <c r="DE49" s="103"/>
      <c r="DF49" s="80">
        <f>DF$7*'Mkt share'!$F$55</f>
        <v>0</v>
      </c>
      <c r="DG49" s="88">
        <f>DF$8*'Mkt share'!$F$55</f>
        <v>0</v>
      </c>
    </row>
    <row r="50" spans="2:111">
      <c r="B50" s="87" t="s">
        <v>178</v>
      </c>
      <c r="C50" s="103"/>
      <c r="D50" s="103"/>
      <c r="E50" s="103"/>
      <c r="F50" s="105">
        <v>0</v>
      </c>
      <c r="G50" s="88">
        <f>F$10*'Mkt share'!$F$42</f>
        <v>0</v>
      </c>
      <c r="J50" s="87" t="s">
        <v>178</v>
      </c>
      <c r="K50" s="103"/>
      <c r="L50" s="103"/>
      <c r="M50" s="103"/>
      <c r="N50" s="105">
        <v>0</v>
      </c>
      <c r="O50" s="88">
        <f>N$10*'Mkt share'!$F$43</f>
        <v>0</v>
      </c>
      <c r="R50" s="87" t="s">
        <v>178</v>
      </c>
      <c r="S50" s="103"/>
      <c r="T50" s="103"/>
      <c r="U50" s="103"/>
      <c r="V50" s="105">
        <v>0</v>
      </c>
      <c r="W50" s="88">
        <f>V$10*'Mkt share'!$F$44</f>
        <v>0</v>
      </c>
      <c r="Z50" s="87" t="s">
        <v>178</v>
      </c>
      <c r="AA50" s="103"/>
      <c r="AB50" s="103"/>
      <c r="AC50" s="103"/>
      <c r="AD50" s="105">
        <v>0</v>
      </c>
      <c r="AE50" s="88">
        <f>AD$10*'Mkt share'!$F$45</f>
        <v>0</v>
      </c>
      <c r="AH50" s="87" t="s">
        <v>178</v>
      </c>
      <c r="AI50" s="103"/>
      <c r="AJ50" s="103"/>
      <c r="AK50" s="103"/>
      <c r="AL50" s="105">
        <v>0</v>
      </c>
      <c r="AM50" s="88">
        <f>AL$10*'Mkt share'!$F$46</f>
        <v>0</v>
      </c>
      <c r="AP50" s="87" t="s">
        <v>178</v>
      </c>
      <c r="AQ50" s="103"/>
      <c r="AR50" s="103"/>
      <c r="AS50" s="103"/>
      <c r="AT50" s="105">
        <v>0</v>
      </c>
      <c r="AU50" s="88">
        <f>AT$10*'Mkt share'!$F$47</f>
        <v>0</v>
      </c>
      <c r="AX50" s="87" t="s">
        <v>178</v>
      </c>
      <c r="AY50" s="103"/>
      <c r="AZ50" s="103"/>
      <c r="BA50" s="103"/>
      <c r="BB50" s="105">
        <v>0</v>
      </c>
      <c r="BC50" s="88">
        <f>BB$10*'Mkt share'!$F$48</f>
        <v>0</v>
      </c>
      <c r="BF50" s="87" t="s">
        <v>178</v>
      </c>
      <c r="BG50" s="103"/>
      <c r="BH50" s="103"/>
      <c r="BI50" s="103"/>
      <c r="BJ50" s="105">
        <v>0</v>
      </c>
      <c r="BK50" s="88">
        <f>BJ$10*'Mkt share'!$F$49</f>
        <v>0</v>
      </c>
      <c r="BN50" s="87" t="s">
        <v>178</v>
      </c>
      <c r="BO50" s="103"/>
      <c r="BP50" s="103"/>
      <c r="BQ50" s="103"/>
      <c r="BR50" s="105">
        <v>0</v>
      </c>
      <c r="BS50" s="88">
        <f>BR$10*'Mkt share'!$F$50</f>
        <v>0</v>
      </c>
      <c r="BV50" s="87" t="s">
        <v>178</v>
      </c>
      <c r="BW50" s="103"/>
      <c r="BX50" s="103"/>
      <c r="BY50" s="103"/>
      <c r="BZ50" s="105">
        <v>0</v>
      </c>
      <c r="CA50" s="88">
        <f>BZ$10*'Mkt share'!$F$51</f>
        <v>0</v>
      </c>
      <c r="CD50" s="87" t="s">
        <v>178</v>
      </c>
      <c r="CE50" s="103"/>
      <c r="CF50" s="103"/>
      <c r="CG50" s="103"/>
      <c r="CH50" s="105">
        <v>0</v>
      </c>
      <c r="CI50" s="88">
        <f>CH$10*'Mkt share'!$F$52</f>
        <v>0</v>
      </c>
      <c r="CL50" s="87" t="s">
        <v>178</v>
      </c>
      <c r="CM50" s="103"/>
      <c r="CN50" s="103"/>
      <c r="CO50" s="103"/>
      <c r="CP50" s="105">
        <v>0</v>
      </c>
      <c r="CQ50" s="88">
        <f>CP$10*'Mkt share'!$F$53</f>
        <v>0</v>
      </c>
      <c r="CT50" s="87" t="s">
        <v>178</v>
      </c>
      <c r="CU50" s="103"/>
      <c r="CV50" s="103"/>
      <c r="CW50" s="103"/>
      <c r="CX50" s="105">
        <v>0</v>
      </c>
      <c r="CY50" s="88">
        <f>CX$10*'Mkt share'!$F$54</f>
        <v>0</v>
      </c>
      <c r="DB50" s="87" t="s">
        <v>178</v>
      </c>
      <c r="DC50" s="103"/>
      <c r="DD50" s="103"/>
      <c r="DE50" s="103"/>
      <c r="DF50" s="105">
        <v>0</v>
      </c>
      <c r="DG50" s="88">
        <f>DF$10*'Mkt share'!$F$55</f>
        <v>0</v>
      </c>
    </row>
    <row r="51" spans="2:111">
      <c r="B51" s="87" t="s">
        <v>174</v>
      </c>
      <c r="C51" s="103"/>
      <c r="D51" s="103"/>
      <c r="E51" s="103"/>
      <c r="F51" s="103"/>
      <c r="G51" s="88">
        <f>G$7*'Mkt share'!$G$42</f>
        <v>6792.0176448660886</v>
      </c>
      <c r="J51" s="87" t="s">
        <v>174</v>
      </c>
      <c r="K51" s="103"/>
      <c r="L51" s="103"/>
      <c r="M51" s="103"/>
      <c r="N51" s="103"/>
      <c r="O51" s="88">
        <f>O$7*'Mkt share'!$G$43</f>
        <v>22528.516582372071</v>
      </c>
      <c r="R51" s="87" t="s">
        <v>174</v>
      </c>
      <c r="S51" s="103"/>
      <c r="T51" s="103"/>
      <c r="U51" s="103"/>
      <c r="V51" s="103"/>
      <c r="W51" s="88">
        <f>W$7*'Mkt share'!$G$44</f>
        <v>10771.362203775647</v>
      </c>
      <c r="Z51" s="87" t="s">
        <v>174</v>
      </c>
      <c r="AA51" s="103"/>
      <c r="AB51" s="103"/>
      <c r="AC51" s="103"/>
      <c r="AD51" s="103"/>
      <c r="AE51" s="88">
        <f>AE$7*'Mkt share'!$G$45</f>
        <v>1558.576618906244</v>
      </c>
      <c r="AH51" s="87" t="s">
        <v>174</v>
      </c>
      <c r="AI51" s="103"/>
      <c r="AJ51" s="103"/>
      <c r="AK51" s="103"/>
      <c r="AL51" s="103"/>
      <c r="AM51" s="88">
        <f>AM$7*'Mkt share'!$G$46</f>
        <v>801.35171465754217</v>
      </c>
      <c r="AP51" s="87" t="s">
        <v>174</v>
      </c>
      <c r="AQ51" s="103"/>
      <c r="AR51" s="103"/>
      <c r="AS51" s="103"/>
      <c r="AT51" s="103"/>
      <c r="AU51" s="88">
        <f>AU$7*'Mkt share'!$G$47</f>
        <v>4019.3445810395028</v>
      </c>
      <c r="AX51" s="87" t="s">
        <v>174</v>
      </c>
      <c r="AY51" s="103"/>
      <c r="AZ51" s="103"/>
      <c r="BA51" s="103"/>
      <c r="BB51" s="103"/>
      <c r="BC51" s="88">
        <f>BC$7*'Mkt share'!$G$48</f>
        <v>4425.974546775672</v>
      </c>
      <c r="BF51" s="87" t="s">
        <v>174</v>
      </c>
      <c r="BG51" s="103"/>
      <c r="BH51" s="103"/>
      <c r="BI51" s="103"/>
      <c r="BJ51" s="103"/>
      <c r="BK51" s="88">
        <f>BK$7*'Mkt share'!$G$49</f>
        <v>790.79966513675561</v>
      </c>
      <c r="BN51" s="87" t="s">
        <v>174</v>
      </c>
      <c r="BO51" s="103"/>
      <c r="BP51" s="103"/>
      <c r="BQ51" s="103"/>
      <c r="BR51" s="103"/>
      <c r="BS51" s="88">
        <f>BS$7*'Mkt share'!$G$50</f>
        <v>13.780983824634466</v>
      </c>
      <c r="BV51" s="87" t="s">
        <v>174</v>
      </c>
      <c r="BW51" s="103"/>
      <c r="BX51" s="103"/>
      <c r="BY51" s="103"/>
      <c r="BZ51" s="103"/>
      <c r="CA51" s="88">
        <f>CA$7*'Mkt share'!$G$51</f>
        <v>5.2269644718603292</v>
      </c>
      <c r="CD51" s="87" t="s">
        <v>174</v>
      </c>
      <c r="CE51" s="103"/>
      <c r="CF51" s="103"/>
      <c r="CG51" s="103"/>
      <c r="CH51" s="103"/>
      <c r="CI51" s="88">
        <f>CI$7*'Mkt share'!$G$52</f>
        <v>1132.286349001572</v>
      </c>
      <c r="CL51" s="87" t="s">
        <v>174</v>
      </c>
      <c r="CM51" s="103"/>
      <c r="CN51" s="103"/>
      <c r="CO51" s="103"/>
      <c r="CP51" s="103"/>
      <c r="CQ51" s="88">
        <f>CQ$7*'Mkt share'!$G$53</f>
        <v>24258.697693842882</v>
      </c>
      <c r="CT51" s="87" t="s">
        <v>174</v>
      </c>
      <c r="CU51" s="103"/>
      <c r="CV51" s="103"/>
      <c r="CW51" s="103"/>
      <c r="CX51" s="103"/>
      <c r="CY51" s="88">
        <f>CY$7*'Mkt share'!$G$54</f>
        <v>6203.0105511696393</v>
      </c>
      <c r="DB51" s="87" t="s">
        <v>174</v>
      </c>
      <c r="DC51" s="103"/>
      <c r="DD51" s="103"/>
      <c r="DE51" s="103"/>
      <c r="DF51" s="103"/>
      <c r="DG51" s="88">
        <f>DG$7*'Mkt share'!$G$55</f>
        <v>0</v>
      </c>
    </row>
    <row r="52" spans="2:111" ht="15" thickBot="1">
      <c r="B52" s="87" t="s">
        <v>179</v>
      </c>
      <c r="C52" s="103"/>
      <c r="D52" s="103"/>
      <c r="E52" s="103"/>
      <c r="F52" s="103"/>
      <c r="G52" s="106">
        <v>0</v>
      </c>
      <c r="J52" s="87" t="s">
        <v>179</v>
      </c>
      <c r="K52" s="103"/>
      <c r="L52" s="103"/>
      <c r="M52" s="103"/>
      <c r="N52" s="103"/>
      <c r="O52" s="106">
        <v>0</v>
      </c>
      <c r="R52" s="87" t="s">
        <v>179</v>
      </c>
      <c r="S52" s="103"/>
      <c r="T52" s="103"/>
      <c r="U52" s="103"/>
      <c r="V52" s="103"/>
      <c r="W52" s="106">
        <v>0</v>
      </c>
      <c r="Z52" s="87" t="s">
        <v>179</v>
      </c>
      <c r="AA52" s="103"/>
      <c r="AB52" s="103"/>
      <c r="AC52" s="103"/>
      <c r="AD52" s="103"/>
      <c r="AE52" s="106">
        <v>0</v>
      </c>
      <c r="AH52" s="87" t="s">
        <v>179</v>
      </c>
      <c r="AI52" s="103"/>
      <c r="AJ52" s="103"/>
      <c r="AK52" s="103"/>
      <c r="AL52" s="103"/>
      <c r="AM52" s="106">
        <v>0</v>
      </c>
      <c r="AP52" s="87" t="s">
        <v>179</v>
      </c>
      <c r="AQ52" s="103"/>
      <c r="AR52" s="103"/>
      <c r="AS52" s="103"/>
      <c r="AT52" s="103"/>
      <c r="AU52" s="106">
        <v>0</v>
      </c>
      <c r="AX52" s="87" t="s">
        <v>179</v>
      </c>
      <c r="AY52" s="103"/>
      <c r="AZ52" s="103"/>
      <c r="BA52" s="103"/>
      <c r="BB52" s="103"/>
      <c r="BC52" s="106">
        <v>0</v>
      </c>
      <c r="BF52" s="87" t="s">
        <v>179</v>
      </c>
      <c r="BG52" s="103"/>
      <c r="BH52" s="103"/>
      <c r="BI52" s="103"/>
      <c r="BJ52" s="103"/>
      <c r="BK52" s="106">
        <v>0</v>
      </c>
      <c r="BN52" s="87" t="s">
        <v>179</v>
      </c>
      <c r="BO52" s="103"/>
      <c r="BP52" s="103"/>
      <c r="BQ52" s="103"/>
      <c r="BR52" s="103"/>
      <c r="BS52" s="106">
        <v>0</v>
      </c>
      <c r="BV52" s="87" t="s">
        <v>179</v>
      </c>
      <c r="BW52" s="103"/>
      <c r="BX52" s="103"/>
      <c r="BY52" s="103"/>
      <c r="BZ52" s="103"/>
      <c r="CA52" s="106">
        <v>0</v>
      </c>
      <c r="CD52" s="87" t="s">
        <v>179</v>
      </c>
      <c r="CE52" s="103"/>
      <c r="CF52" s="103"/>
      <c r="CG52" s="103"/>
      <c r="CH52" s="103"/>
      <c r="CI52" s="106">
        <v>0</v>
      </c>
      <c r="CL52" s="87" t="s">
        <v>179</v>
      </c>
      <c r="CM52" s="103"/>
      <c r="CN52" s="103"/>
      <c r="CO52" s="103"/>
      <c r="CP52" s="103"/>
      <c r="CQ52" s="106">
        <v>0</v>
      </c>
      <c r="CT52" s="87" t="s">
        <v>179</v>
      </c>
      <c r="CU52" s="103"/>
      <c r="CV52" s="103"/>
      <c r="CW52" s="103"/>
      <c r="CX52" s="103"/>
      <c r="CY52" s="106">
        <v>0</v>
      </c>
      <c r="DB52" s="87" t="s">
        <v>179</v>
      </c>
      <c r="DC52" s="103"/>
      <c r="DD52" s="103"/>
      <c r="DE52" s="103"/>
      <c r="DF52" s="103"/>
      <c r="DG52" s="106">
        <v>0</v>
      </c>
    </row>
    <row r="53" spans="2:111" ht="15" thickBot="1">
      <c r="B53" s="89" t="s">
        <v>114</v>
      </c>
      <c r="C53" s="90">
        <f>SUM(C43:C52)</f>
        <v>171512.56301158934</v>
      </c>
      <c r="D53" s="90">
        <f>SUM(D43:D51)</f>
        <v>174326.05525743161</v>
      </c>
      <c r="E53" s="90">
        <f>SUM(E43:E51)</f>
        <v>178369.45947531683</v>
      </c>
      <c r="F53" s="90">
        <f>SUM(F43:F51)</f>
        <v>183773.47608471094</v>
      </c>
      <c r="G53" s="91">
        <f>SUM(G43:G52)</f>
        <v>190565.49372957702</v>
      </c>
      <c r="J53" s="89" t="s">
        <v>114</v>
      </c>
      <c r="K53" s="90">
        <f>SUM(K43:K52)</f>
        <v>568891.87012232887</v>
      </c>
      <c r="L53" s="90">
        <f>SUM(L43:L51)</f>
        <v>578223.97289781901</v>
      </c>
      <c r="M53" s="90">
        <f>SUM(M43:M51)</f>
        <v>591635.58395874058</v>
      </c>
      <c r="N53" s="90">
        <f>SUM(N43:N51)</f>
        <v>609560.22493610508</v>
      </c>
      <c r="O53" s="91">
        <f>SUM(O43:O52)</f>
        <v>632088.74151847709</v>
      </c>
      <c r="R53" s="89" t="s">
        <v>114</v>
      </c>
      <c r="S53" s="90">
        <f>SUM(S43:S52)</f>
        <v>271999.28434993722</v>
      </c>
      <c r="T53" s="90">
        <f>SUM(T43:T51)</f>
        <v>276461.16086764447</v>
      </c>
      <c r="U53" s="90">
        <f>SUM(U43:U51)</f>
        <v>282873.53693089524</v>
      </c>
      <c r="V53" s="90">
        <f>SUM(V43:V51)</f>
        <v>291443.688437937</v>
      </c>
      <c r="W53" s="91">
        <f>SUM(W43:W52)</f>
        <v>302215.05064171267</v>
      </c>
      <c r="Z53" s="89" t="s">
        <v>114</v>
      </c>
      <c r="AA53" s="90">
        <f>SUM(AA43:AA52)</f>
        <v>39357.299190852944</v>
      </c>
      <c r="AB53" s="90">
        <f>SUM(AB43:AB51)</f>
        <v>40002.916364000062</v>
      </c>
      <c r="AC53" s="90">
        <f>SUM(AC43:AC51)</f>
        <v>40930.763670101558</v>
      </c>
      <c r="AD53" s="90">
        <f>SUM(AD43:AD51)</f>
        <v>42170.833171680228</v>
      </c>
      <c r="AE53" s="91">
        <f>SUM(AE43:AE52)</f>
        <v>43729.409790586469</v>
      </c>
      <c r="AH53" s="89" t="s">
        <v>114</v>
      </c>
      <c r="AI53" s="90">
        <f>SUM(AI43:AI52)</f>
        <v>182122.16792852723</v>
      </c>
      <c r="AJ53" s="90">
        <f>SUM(AJ43:AJ51)</f>
        <v>183449.96002405311</v>
      </c>
      <c r="AK53" s="90">
        <f>SUM(AK43:AK51)</f>
        <v>184563.09623321943</v>
      </c>
      <c r="AL53" s="90">
        <f>SUM(AL43:AL51)</f>
        <v>185519.48022743265</v>
      </c>
      <c r="AM53" s="91">
        <f>SUM(AM43:AM52)</f>
        <v>186320.83194209018</v>
      </c>
      <c r="AP53" s="89" t="s">
        <v>114</v>
      </c>
      <c r="AQ53" s="90">
        <f>SUM(AQ43:AQ52)</f>
        <v>913471.24534888833</v>
      </c>
      <c r="AR53" s="90">
        <f>SUM(AR43:AR51)</f>
        <v>920131.06009225582</v>
      </c>
      <c r="AS53" s="90">
        <f>SUM(AS43:AS51)</f>
        <v>925714.22402444202</v>
      </c>
      <c r="AT53" s="90">
        <f>SUM(AT43:AT51)</f>
        <v>930511.16493593249</v>
      </c>
      <c r="AU53" s="91">
        <f>SUM(AU43:AU52)</f>
        <v>934530.509516972</v>
      </c>
      <c r="AX53" s="89" t="s">
        <v>114</v>
      </c>
      <c r="AY53" s="90">
        <f>SUM(AY43:AY52)</f>
        <v>1005885.5118313929</v>
      </c>
      <c r="AZ53" s="90">
        <f>SUM(AZ43:AZ51)</f>
        <v>1013219.0882257717</v>
      </c>
      <c r="BA53" s="90">
        <f>SUM(BA43:BA51)</f>
        <v>1019367.0909550975</v>
      </c>
      <c r="BB53" s="90">
        <f>SUM(BB43:BB51)</f>
        <v>1024649.3298745466</v>
      </c>
      <c r="BC53" s="91">
        <f>SUM(BC43:BC52)</f>
        <v>1029075.3044213223</v>
      </c>
      <c r="BF53" s="89" t="s">
        <v>114</v>
      </c>
      <c r="BG53" s="90">
        <f>SUM(BG43:BG52)</f>
        <v>179724.01727923824</v>
      </c>
      <c r="BH53" s="90">
        <f>SUM(BH43:BH51)</f>
        <v>181034.32525675575</v>
      </c>
      <c r="BI53" s="90">
        <f>SUM(BI43:BI51)</f>
        <v>182132.80389648327</v>
      </c>
      <c r="BJ53" s="90">
        <f>SUM(BJ43:BJ51)</f>
        <v>183076.59440511052</v>
      </c>
      <c r="BK53" s="91">
        <f>SUM(BK43:BK52)</f>
        <v>183867.39407024728</v>
      </c>
      <c r="BN53" s="89" t="s">
        <v>114</v>
      </c>
      <c r="BO53" s="90">
        <f>SUM(BO43:BO52)</f>
        <v>1739.9924294741088</v>
      </c>
      <c r="BP53" s="90">
        <f>SUM(BP43:BP51)</f>
        <v>1754.2638482034145</v>
      </c>
      <c r="BQ53" s="90">
        <f>SUM(BQ43:BQ51)</f>
        <v>1767.9372736460132</v>
      </c>
      <c r="BR53" s="90">
        <f>SUM(BR43:BR51)</f>
        <v>1781.643190903606</v>
      </c>
      <c r="BS53" s="91">
        <f>SUM(BS43:BS52)</f>
        <v>1795.4241747282404</v>
      </c>
      <c r="BV53" s="89" t="s">
        <v>114</v>
      </c>
      <c r="BW53" s="90">
        <f>SUM(BW43:BW52)</f>
        <v>1187.9254563115358</v>
      </c>
      <c r="BX53" s="90">
        <f>SUM(BX43:BX51)</f>
        <v>1196.5862253376515</v>
      </c>
      <c r="BY53" s="90">
        <f>SUM(BY43:BY51)</f>
        <v>1203.8468617239355</v>
      </c>
      <c r="BZ53" s="90">
        <f>SUM(BZ43:BZ51)</f>
        <v>1210.0850528549606</v>
      </c>
      <c r="CA53" s="91">
        <f>SUM(CA43:CA52)</f>
        <v>1215.312017326821</v>
      </c>
      <c r="CD53" s="89" t="s">
        <v>114</v>
      </c>
      <c r="CE53" s="90">
        <f>SUM(CE43:CE52)</f>
        <v>257333.25433036484</v>
      </c>
      <c r="CF53" s="90">
        <f>SUM(CF43:CF51)</f>
        <v>259209.38541809659</v>
      </c>
      <c r="CG53" s="90">
        <f>SUM(CG43:CG51)</f>
        <v>260782.21406644734</v>
      </c>
      <c r="CH53" s="90">
        <f>SUM(CH43:CH51)</f>
        <v>262133.55645611702</v>
      </c>
      <c r="CI53" s="91">
        <f>SUM(CI43:CI52)</f>
        <v>263265.84280511859</v>
      </c>
      <c r="CL53" s="89" t="s">
        <v>114</v>
      </c>
      <c r="CM53" s="90">
        <f>SUM(CM43:CM52)</f>
        <v>5513242.8549347809</v>
      </c>
      <c r="CN53" s="90">
        <f>SUM(CN43:CN51)</f>
        <v>5553438.0731597794</v>
      </c>
      <c r="CO53" s="90">
        <f>SUM(CO43:CO51)</f>
        <v>5587135.1805550959</v>
      </c>
      <c r="CP53" s="90">
        <f>SUM(CP43:CP51)</f>
        <v>5616087.0499658491</v>
      </c>
      <c r="CQ53" s="91">
        <f>SUM(CQ43:CQ52)</f>
        <v>5640345.7476596916</v>
      </c>
      <c r="CT53" s="89" t="s">
        <v>114</v>
      </c>
      <c r="CU53" s="90">
        <f>SUM(CU43:CU52)</f>
        <v>1411142.1805333972</v>
      </c>
      <c r="CV53" s="90">
        <f>SUM(CV43:CV51)</f>
        <v>1421428.7626708685</v>
      </c>
      <c r="CW53" s="90">
        <f>SUM(CW43:CW51)</f>
        <v>1430050.6679006713</v>
      </c>
      <c r="CX53" s="90">
        <f>SUM(CX43:CX51)</f>
        <v>1437456.4755511479</v>
      </c>
      <c r="CY53" s="91">
        <f>SUM(CY43:CY52)</f>
        <v>1443659.4861023177</v>
      </c>
      <c r="DB53" s="89" t="s">
        <v>114</v>
      </c>
      <c r="DC53" s="90">
        <f>SUM(DC43:DC52)</f>
        <v>0</v>
      </c>
      <c r="DD53" s="90">
        <f>SUM(DD43:DD51)</f>
        <v>0</v>
      </c>
      <c r="DE53" s="90">
        <f>SUM(DE43:DE51)</f>
        <v>0</v>
      </c>
      <c r="DF53" s="90">
        <f>SUM(DF43:DF51)</f>
        <v>0</v>
      </c>
      <c r="DG53" s="91">
        <f>SUM(DG43:DG52)</f>
        <v>0</v>
      </c>
    </row>
    <row r="54" spans="2:111">
      <c r="B54" s="80" t="s">
        <v>206</v>
      </c>
      <c r="C54" s="92">
        <f>C43+C45+C47+C49+C51</f>
        <v>171512.56301158934</v>
      </c>
      <c r="D54" s="92">
        <f t="shared" ref="D54:G54" si="108">D43+D45+D47+D49+D51</f>
        <v>174326.05525743161</v>
      </c>
      <c r="E54" s="92">
        <f t="shared" si="108"/>
        <v>178369.45947531683</v>
      </c>
      <c r="F54" s="92">
        <f t="shared" si="108"/>
        <v>183773.47608471094</v>
      </c>
      <c r="G54" s="92">
        <f t="shared" si="108"/>
        <v>190565.49372957702</v>
      </c>
      <c r="J54" s="80" t="s">
        <v>206</v>
      </c>
      <c r="K54" s="92">
        <f>K43+K45+K47+K49+K51</f>
        <v>568891.87012232887</v>
      </c>
      <c r="L54" s="92">
        <f t="shared" ref="L54:O54" si="109">L43+L45+L47+L49+L51</f>
        <v>578223.97289781901</v>
      </c>
      <c r="M54" s="92">
        <f t="shared" si="109"/>
        <v>591635.58395874058</v>
      </c>
      <c r="N54" s="92">
        <f t="shared" si="109"/>
        <v>609560.22493610508</v>
      </c>
      <c r="O54" s="92">
        <f t="shared" si="109"/>
        <v>632088.74151847709</v>
      </c>
      <c r="R54" s="80" t="s">
        <v>206</v>
      </c>
      <c r="S54" s="92">
        <f>S43+S45+S47+S49+S51</f>
        <v>271999.28434993722</v>
      </c>
      <c r="T54" s="92">
        <f t="shared" ref="T54:W54" si="110">T43+T45+T47+T49+T51</f>
        <v>276461.16086764447</v>
      </c>
      <c r="U54" s="92">
        <f t="shared" si="110"/>
        <v>282873.53693089524</v>
      </c>
      <c r="V54" s="92">
        <f t="shared" si="110"/>
        <v>291443.688437937</v>
      </c>
      <c r="W54" s="92">
        <f t="shared" si="110"/>
        <v>302215.05064171267</v>
      </c>
      <c r="Z54" s="80" t="s">
        <v>206</v>
      </c>
      <c r="AA54" s="92">
        <f>AA43+AA45+AA47+AA49+AA51</f>
        <v>39357.299190852944</v>
      </c>
      <c r="AB54" s="92">
        <f t="shared" ref="AB54:AE54" si="111">AB43+AB45+AB47+AB49+AB51</f>
        <v>40002.916364000062</v>
      </c>
      <c r="AC54" s="92">
        <f t="shared" si="111"/>
        <v>40930.763670101558</v>
      </c>
      <c r="AD54" s="92">
        <f t="shared" si="111"/>
        <v>42170.833171680228</v>
      </c>
      <c r="AE54" s="92">
        <f t="shared" si="111"/>
        <v>43729.409790586469</v>
      </c>
      <c r="AH54" s="80" t="s">
        <v>206</v>
      </c>
      <c r="AI54" s="92">
        <f>AI43+AI45+AI47+AI49+AI51</f>
        <v>182122.16792852723</v>
      </c>
      <c r="AJ54" s="92">
        <f t="shared" ref="AJ54:AM54" si="112">AJ43+AJ45+AJ47+AJ49+AJ51</f>
        <v>183449.96002405311</v>
      </c>
      <c r="AK54" s="92">
        <f t="shared" si="112"/>
        <v>184563.09623321943</v>
      </c>
      <c r="AL54" s="92">
        <f t="shared" si="112"/>
        <v>185519.48022743265</v>
      </c>
      <c r="AM54" s="92">
        <f t="shared" si="112"/>
        <v>186320.83194209018</v>
      </c>
      <c r="AP54" s="80" t="s">
        <v>206</v>
      </c>
      <c r="AQ54" s="92">
        <f>AQ43+AQ45+AQ47+AQ49+AQ51</f>
        <v>913471.24534888833</v>
      </c>
      <c r="AR54" s="92">
        <f t="shared" ref="AR54:AU54" si="113">AR43+AR45+AR47+AR49+AR51</f>
        <v>920131.06009225582</v>
      </c>
      <c r="AS54" s="92">
        <f t="shared" si="113"/>
        <v>925714.22402444202</v>
      </c>
      <c r="AT54" s="92">
        <f t="shared" si="113"/>
        <v>930511.16493593249</v>
      </c>
      <c r="AU54" s="92">
        <f t="shared" si="113"/>
        <v>934530.509516972</v>
      </c>
      <c r="AX54" s="80" t="s">
        <v>206</v>
      </c>
      <c r="AY54" s="92">
        <f>AY43+AY45+AY47+AY49+AY51</f>
        <v>1005885.5118313929</v>
      </c>
      <c r="AZ54" s="92">
        <f t="shared" ref="AZ54:BC54" si="114">AZ43+AZ45+AZ47+AZ49+AZ51</f>
        <v>1013219.0882257717</v>
      </c>
      <c r="BA54" s="92">
        <f t="shared" si="114"/>
        <v>1019367.0909550975</v>
      </c>
      <c r="BB54" s="92">
        <f t="shared" si="114"/>
        <v>1024649.3298745466</v>
      </c>
      <c r="BC54" s="92">
        <f t="shared" si="114"/>
        <v>1029075.3044213223</v>
      </c>
      <c r="BF54" s="80" t="s">
        <v>206</v>
      </c>
      <c r="BG54" s="92">
        <f>BG43+BG45+BG47+BG49+BG51</f>
        <v>179724.01727923824</v>
      </c>
      <c r="BH54" s="92">
        <f t="shared" ref="BH54:BK54" si="115">BH43+BH45+BH47+BH49+BH51</f>
        <v>181034.32525675575</v>
      </c>
      <c r="BI54" s="92">
        <f t="shared" si="115"/>
        <v>182132.80389648327</v>
      </c>
      <c r="BJ54" s="92">
        <f t="shared" si="115"/>
        <v>183076.59440511052</v>
      </c>
      <c r="BK54" s="92">
        <f t="shared" si="115"/>
        <v>183867.39407024728</v>
      </c>
      <c r="BN54" s="80" t="s">
        <v>206</v>
      </c>
      <c r="BO54" s="92">
        <f>BO43+BO45+BO47+BO49+BO51</f>
        <v>1739.9924294741088</v>
      </c>
      <c r="BP54" s="92">
        <f t="shared" ref="BP54:BS54" si="116">BP43+BP45+BP47+BP49+BP51</f>
        <v>1754.2638482034145</v>
      </c>
      <c r="BQ54" s="92">
        <f t="shared" si="116"/>
        <v>1767.9372736460132</v>
      </c>
      <c r="BR54" s="92">
        <f t="shared" si="116"/>
        <v>1781.643190903606</v>
      </c>
      <c r="BS54" s="92">
        <f t="shared" si="116"/>
        <v>1795.4241747282404</v>
      </c>
      <c r="BV54" s="80" t="s">
        <v>206</v>
      </c>
      <c r="BW54" s="92">
        <f>BW43+BW45+BW47+BW49+BW51</f>
        <v>1187.9254563115358</v>
      </c>
      <c r="BX54" s="92">
        <f t="shared" ref="BX54:CA54" si="117">BX43+BX45+BX47+BX49+BX51</f>
        <v>1196.5862253376515</v>
      </c>
      <c r="BY54" s="92">
        <f t="shared" si="117"/>
        <v>1203.8468617239355</v>
      </c>
      <c r="BZ54" s="92">
        <f t="shared" si="117"/>
        <v>1210.0850528549606</v>
      </c>
      <c r="CA54" s="92">
        <f t="shared" si="117"/>
        <v>1215.312017326821</v>
      </c>
      <c r="CD54" s="80" t="s">
        <v>206</v>
      </c>
      <c r="CE54" s="92">
        <f>CE43+CE45+CE47+CE49+CE51</f>
        <v>257333.25433036484</v>
      </c>
      <c r="CF54" s="92">
        <f t="shared" ref="CF54:CI54" si="118">CF43+CF45+CF47+CF49+CF51</f>
        <v>259209.38541809659</v>
      </c>
      <c r="CG54" s="92">
        <f t="shared" si="118"/>
        <v>260782.21406644734</v>
      </c>
      <c r="CH54" s="92">
        <f t="shared" si="118"/>
        <v>262133.55645611702</v>
      </c>
      <c r="CI54" s="92">
        <f t="shared" si="118"/>
        <v>263265.84280511859</v>
      </c>
      <c r="CL54" s="80" t="s">
        <v>206</v>
      </c>
      <c r="CM54" s="92">
        <f>CM43+CM45+CM47+CM49+CM51</f>
        <v>5513242.8549347809</v>
      </c>
      <c r="CN54" s="92">
        <f t="shared" ref="CN54:CQ54" si="119">CN43+CN45+CN47+CN49+CN51</f>
        <v>5553438.0731597794</v>
      </c>
      <c r="CO54" s="92">
        <f t="shared" si="119"/>
        <v>5587135.1805550959</v>
      </c>
      <c r="CP54" s="92">
        <f t="shared" si="119"/>
        <v>5616087.0499658491</v>
      </c>
      <c r="CQ54" s="92">
        <f t="shared" si="119"/>
        <v>5640345.7476596916</v>
      </c>
      <c r="CT54" s="80" t="s">
        <v>206</v>
      </c>
      <c r="CU54" s="92">
        <f>CU43+CU45+CU47+CU49+CU51</f>
        <v>1411142.1805333972</v>
      </c>
      <c r="CV54" s="92">
        <f t="shared" ref="CV54:CY54" si="120">CV43+CV45+CV47+CV49+CV51</f>
        <v>1421428.7626708685</v>
      </c>
      <c r="CW54" s="92">
        <f t="shared" si="120"/>
        <v>1430050.6679006713</v>
      </c>
      <c r="CX54" s="92">
        <f t="shared" si="120"/>
        <v>1437456.4755511479</v>
      </c>
      <c r="CY54" s="92">
        <f t="shared" si="120"/>
        <v>1443659.4861023177</v>
      </c>
      <c r="DB54" s="80" t="s">
        <v>206</v>
      </c>
      <c r="DC54" s="92">
        <f>DC43+DC45+DC47+DC49+DC51</f>
        <v>0</v>
      </c>
      <c r="DD54" s="92">
        <f t="shared" ref="DD54:DG54" si="121">DD43+DD45+DD47+DD49+DD51</f>
        <v>0</v>
      </c>
      <c r="DE54" s="92">
        <f t="shared" si="121"/>
        <v>0</v>
      </c>
      <c r="DF54" s="92">
        <f t="shared" si="121"/>
        <v>0</v>
      </c>
      <c r="DG54" s="92">
        <f t="shared" si="121"/>
        <v>0</v>
      </c>
    </row>
    <row r="55" spans="2:111" ht="15" thickBot="1">
      <c r="B55" s="80" t="s">
        <v>208</v>
      </c>
      <c r="C55" s="92">
        <f>C44+C46+C48+C50+C52</f>
        <v>0</v>
      </c>
      <c r="D55" s="92">
        <f t="shared" ref="D55:G55" si="122">D44+D46+D48+D50+D52</f>
        <v>0</v>
      </c>
      <c r="E55" s="92">
        <f t="shared" si="122"/>
        <v>0</v>
      </c>
      <c r="F55" s="92">
        <f t="shared" si="122"/>
        <v>0</v>
      </c>
      <c r="G55" s="92">
        <f t="shared" si="122"/>
        <v>0</v>
      </c>
      <c r="J55" s="80" t="s">
        <v>208</v>
      </c>
      <c r="K55" s="92">
        <f>K44+K46+K48+K50+K52</f>
        <v>0</v>
      </c>
      <c r="L55" s="92">
        <f t="shared" ref="L55:O55" si="123">L44+L46+L48+L50+L52</f>
        <v>0</v>
      </c>
      <c r="M55" s="92">
        <f t="shared" si="123"/>
        <v>0</v>
      </c>
      <c r="N55" s="92">
        <f t="shared" si="123"/>
        <v>0</v>
      </c>
      <c r="O55" s="92">
        <f t="shared" si="123"/>
        <v>0</v>
      </c>
      <c r="R55" s="80" t="s">
        <v>208</v>
      </c>
      <c r="S55" s="92">
        <f>S44+S46+S48+S50+S52</f>
        <v>0</v>
      </c>
      <c r="T55" s="92">
        <f t="shared" ref="T55:W55" si="124">T44+T46+T48+T50+T52</f>
        <v>0</v>
      </c>
      <c r="U55" s="92">
        <f t="shared" si="124"/>
        <v>0</v>
      </c>
      <c r="V55" s="92">
        <f t="shared" si="124"/>
        <v>0</v>
      </c>
      <c r="W55" s="92">
        <f t="shared" si="124"/>
        <v>0</v>
      </c>
      <c r="Z55" s="80" t="s">
        <v>208</v>
      </c>
      <c r="AA55" s="92">
        <f>AA44+AA46+AA48+AA50+AA52</f>
        <v>0</v>
      </c>
      <c r="AB55" s="92">
        <f t="shared" ref="AB55:AE55" si="125">AB44+AB46+AB48+AB50+AB52</f>
        <v>0</v>
      </c>
      <c r="AC55" s="92">
        <f t="shared" si="125"/>
        <v>0</v>
      </c>
      <c r="AD55" s="92">
        <f t="shared" si="125"/>
        <v>0</v>
      </c>
      <c r="AE55" s="92">
        <f t="shared" si="125"/>
        <v>0</v>
      </c>
      <c r="AH55" s="80" t="s">
        <v>208</v>
      </c>
      <c r="AI55" s="92">
        <f>AI44+AI46+AI48+AI50+AI52</f>
        <v>0</v>
      </c>
      <c r="AJ55" s="92">
        <f t="shared" ref="AJ55:AM55" si="126">AJ44+AJ46+AJ48+AJ50+AJ52</f>
        <v>0</v>
      </c>
      <c r="AK55" s="92">
        <f t="shared" si="126"/>
        <v>0</v>
      </c>
      <c r="AL55" s="92">
        <f t="shared" si="126"/>
        <v>0</v>
      </c>
      <c r="AM55" s="92">
        <f t="shared" si="126"/>
        <v>0</v>
      </c>
      <c r="AP55" s="80" t="s">
        <v>208</v>
      </c>
      <c r="AQ55" s="92">
        <f>AQ44+AQ46+AQ48+AQ50+AQ52</f>
        <v>0</v>
      </c>
      <c r="AR55" s="92">
        <f t="shared" ref="AR55:AU55" si="127">AR44+AR46+AR48+AR50+AR52</f>
        <v>0</v>
      </c>
      <c r="AS55" s="92">
        <f t="shared" si="127"/>
        <v>0</v>
      </c>
      <c r="AT55" s="92">
        <f t="shared" si="127"/>
        <v>0</v>
      </c>
      <c r="AU55" s="92">
        <f t="shared" si="127"/>
        <v>0</v>
      </c>
      <c r="AX55" s="80" t="s">
        <v>208</v>
      </c>
      <c r="AY55" s="92">
        <f>AY44+AY46+AY48+AY50+AY52</f>
        <v>0</v>
      </c>
      <c r="AZ55" s="92">
        <f t="shared" ref="AZ55:BC55" si="128">AZ44+AZ46+AZ48+AZ50+AZ52</f>
        <v>0</v>
      </c>
      <c r="BA55" s="92">
        <f t="shared" si="128"/>
        <v>0</v>
      </c>
      <c r="BB55" s="92">
        <f t="shared" si="128"/>
        <v>0</v>
      </c>
      <c r="BC55" s="92">
        <f t="shared" si="128"/>
        <v>0</v>
      </c>
      <c r="BF55" s="80" t="s">
        <v>208</v>
      </c>
      <c r="BG55" s="92">
        <f>BG44+BG46+BG48+BG50+BG52</f>
        <v>0</v>
      </c>
      <c r="BH55" s="92">
        <f t="shared" ref="BH55:BK55" si="129">BH44+BH46+BH48+BH50+BH52</f>
        <v>0</v>
      </c>
      <c r="BI55" s="92">
        <f t="shared" si="129"/>
        <v>0</v>
      </c>
      <c r="BJ55" s="92">
        <f t="shared" si="129"/>
        <v>0</v>
      </c>
      <c r="BK55" s="92">
        <f t="shared" si="129"/>
        <v>0</v>
      </c>
      <c r="BN55" s="80" t="s">
        <v>208</v>
      </c>
      <c r="BO55" s="92">
        <f>BO44+BO46+BO48+BO50+BO52</f>
        <v>0</v>
      </c>
      <c r="BP55" s="92">
        <f t="shared" ref="BP55:BS55" si="130">BP44+BP46+BP48+BP50+BP52</f>
        <v>0</v>
      </c>
      <c r="BQ55" s="92">
        <f t="shared" si="130"/>
        <v>0</v>
      </c>
      <c r="BR55" s="92">
        <f t="shared" si="130"/>
        <v>0</v>
      </c>
      <c r="BS55" s="92">
        <f t="shared" si="130"/>
        <v>0</v>
      </c>
      <c r="BV55" s="80" t="s">
        <v>208</v>
      </c>
      <c r="BW55" s="92">
        <f>BW44+BW46+BW48+BW50+BW52</f>
        <v>0</v>
      </c>
      <c r="BX55" s="92">
        <f t="shared" ref="BX55:CA55" si="131">BX44+BX46+BX48+BX50+BX52</f>
        <v>0</v>
      </c>
      <c r="BY55" s="92">
        <f t="shared" si="131"/>
        <v>0</v>
      </c>
      <c r="BZ55" s="92">
        <f t="shared" si="131"/>
        <v>0</v>
      </c>
      <c r="CA55" s="92">
        <f t="shared" si="131"/>
        <v>0</v>
      </c>
      <c r="CD55" s="80" t="s">
        <v>208</v>
      </c>
      <c r="CE55" s="92">
        <f>CE44+CE46+CE48+CE50+CE52</f>
        <v>0</v>
      </c>
      <c r="CF55" s="92">
        <f t="shared" ref="CF55:CI55" si="132">CF44+CF46+CF48+CF50+CF52</f>
        <v>0</v>
      </c>
      <c r="CG55" s="92">
        <f t="shared" si="132"/>
        <v>0</v>
      </c>
      <c r="CH55" s="92">
        <f t="shared" si="132"/>
        <v>0</v>
      </c>
      <c r="CI55" s="92">
        <f t="shared" si="132"/>
        <v>0</v>
      </c>
      <c r="CL55" s="80" t="s">
        <v>208</v>
      </c>
      <c r="CM55" s="92">
        <f>CM44+CM46+CM48+CM50+CM52</f>
        <v>0</v>
      </c>
      <c r="CN55" s="92">
        <f t="shared" ref="CN55:CQ55" si="133">CN44+CN46+CN48+CN50+CN52</f>
        <v>0</v>
      </c>
      <c r="CO55" s="92">
        <f t="shared" si="133"/>
        <v>0</v>
      </c>
      <c r="CP55" s="92">
        <f t="shared" si="133"/>
        <v>0</v>
      </c>
      <c r="CQ55" s="92">
        <f t="shared" si="133"/>
        <v>0</v>
      </c>
      <c r="CT55" s="80" t="s">
        <v>208</v>
      </c>
      <c r="CU55" s="92">
        <f>CU44+CU46+CU48+CU50+CU52</f>
        <v>0</v>
      </c>
      <c r="CV55" s="92">
        <f t="shared" ref="CV55:CY55" si="134">CV44+CV46+CV48+CV50+CV52</f>
        <v>0</v>
      </c>
      <c r="CW55" s="92">
        <f t="shared" si="134"/>
        <v>0</v>
      </c>
      <c r="CX55" s="92">
        <f t="shared" si="134"/>
        <v>0</v>
      </c>
      <c r="CY55" s="92">
        <f t="shared" si="134"/>
        <v>0</v>
      </c>
      <c r="DB55" s="80" t="s">
        <v>208</v>
      </c>
      <c r="DC55" s="92">
        <f>DC44+DC46+DC48+DC50+DC52</f>
        <v>0</v>
      </c>
      <c r="DD55" s="92">
        <f t="shared" ref="DD55:DG55" si="135">DD44+DD46+DD48+DD50+DD52</f>
        <v>0</v>
      </c>
      <c r="DE55" s="92">
        <f t="shared" si="135"/>
        <v>0</v>
      </c>
      <c r="DF55" s="92">
        <f t="shared" si="135"/>
        <v>0</v>
      </c>
      <c r="DG55" s="92">
        <f t="shared" si="135"/>
        <v>0</v>
      </c>
    </row>
    <row r="56" spans="2:111" ht="15" thickBot="1">
      <c r="B56" s="507" t="str">
        <f>cen_prop2</f>
        <v>high intensity only</v>
      </c>
      <c r="C56" s="508"/>
      <c r="D56" s="508"/>
      <c r="E56" s="508"/>
      <c r="F56" s="508"/>
      <c r="G56" s="509"/>
      <c r="J56" s="507" t="str">
        <f>cen_prop2</f>
        <v>high intensity only</v>
      </c>
      <c r="K56" s="508"/>
      <c r="L56" s="508"/>
      <c r="M56" s="508"/>
      <c r="N56" s="508"/>
      <c r="O56" s="509"/>
      <c r="R56" s="507" t="str">
        <f>cen_prop2</f>
        <v>high intensity only</v>
      </c>
      <c r="S56" s="508"/>
      <c r="T56" s="508"/>
      <c r="U56" s="508"/>
      <c r="V56" s="508"/>
      <c r="W56" s="509"/>
      <c r="Z56" s="507" t="str">
        <f>cen_prop2</f>
        <v>high intensity only</v>
      </c>
      <c r="AA56" s="508"/>
      <c r="AB56" s="508"/>
      <c r="AC56" s="508"/>
      <c r="AD56" s="508"/>
      <c r="AE56" s="509"/>
      <c r="AH56" s="507" t="str">
        <f>cen_prop2</f>
        <v>high intensity only</v>
      </c>
      <c r="AI56" s="508"/>
      <c r="AJ56" s="508"/>
      <c r="AK56" s="508"/>
      <c r="AL56" s="508"/>
      <c r="AM56" s="509"/>
      <c r="AP56" s="507" t="str">
        <f>cen_prop2</f>
        <v>high intensity only</v>
      </c>
      <c r="AQ56" s="508"/>
      <c r="AR56" s="508"/>
      <c r="AS56" s="508"/>
      <c r="AT56" s="508"/>
      <c r="AU56" s="509"/>
      <c r="AX56" s="507" t="str">
        <f>cen_prop2</f>
        <v>high intensity only</v>
      </c>
      <c r="AY56" s="508"/>
      <c r="AZ56" s="508"/>
      <c r="BA56" s="508"/>
      <c r="BB56" s="508"/>
      <c r="BC56" s="509"/>
      <c r="BF56" s="507" t="str">
        <f>cen_prop2</f>
        <v>high intensity only</v>
      </c>
      <c r="BG56" s="508"/>
      <c r="BH56" s="508"/>
      <c r="BI56" s="508"/>
      <c r="BJ56" s="508"/>
      <c r="BK56" s="509"/>
      <c r="BN56" s="507" t="str">
        <f>cen_prop2</f>
        <v>high intensity only</v>
      </c>
      <c r="BO56" s="508"/>
      <c r="BP56" s="508"/>
      <c r="BQ56" s="508"/>
      <c r="BR56" s="508"/>
      <c r="BS56" s="509"/>
      <c r="BV56" s="507" t="str">
        <f>cen_prop2</f>
        <v>high intensity only</v>
      </c>
      <c r="BW56" s="508"/>
      <c r="BX56" s="508"/>
      <c r="BY56" s="508"/>
      <c r="BZ56" s="508"/>
      <c r="CA56" s="509"/>
      <c r="CD56" s="507" t="str">
        <f>cen_prop2</f>
        <v>high intensity only</v>
      </c>
      <c r="CE56" s="508"/>
      <c r="CF56" s="508"/>
      <c r="CG56" s="508"/>
      <c r="CH56" s="508"/>
      <c r="CI56" s="509"/>
      <c r="CL56" s="507" t="str">
        <f>cen_prop2</f>
        <v>high intensity only</v>
      </c>
      <c r="CM56" s="508"/>
      <c r="CN56" s="508"/>
      <c r="CO56" s="508"/>
      <c r="CP56" s="508"/>
      <c r="CQ56" s="509"/>
      <c r="CT56" s="507" t="str">
        <f>cen_prop2</f>
        <v>high intensity only</v>
      </c>
      <c r="CU56" s="508"/>
      <c r="CV56" s="508"/>
      <c r="CW56" s="508"/>
      <c r="CX56" s="508"/>
      <c r="CY56" s="509"/>
      <c r="DB56" s="507" t="str">
        <f>cen_prop2</f>
        <v>high intensity only</v>
      </c>
      <c r="DC56" s="508"/>
      <c r="DD56" s="508"/>
      <c r="DE56" s="508"/>
      <c r="DF56" s="508"/>
      <c r="DG56" s="509"/>
    </row>
    <row r="57" spans="2:111">
      <c r="B57" s="84"/>
      <c r="C57" s="101">
        <f>ano_1</f>
        <v>2026</v>
      </c>
      <c r="D57" s="101">
        <f>C57+1</f>
        <v>2027</v>
      </c>
      <c r="E57" s="101">
        <f t="shared" ref="E57:G57" si="136">D57+1</f>
        <v>2028</v>
      </c>
      <c r="F57" s="101">
        <f t="shared" si="136"/>
        <v>2029</v>
      </c>
      <c r="G57" s="102">
        <f t="shared" si="136"/>
        <v>2030</v>
      </c>
      <c r="J57" s="84"/>
      <c r="K57" s="101">
        <f>ano_1</f>
        <v>2026</v>
      </c>
      <c r="L57" s="101">
        <f>K57+1</f>
        <v>2027</v>
      </c>
      <c r="M57" s="101">
        <f t="shared" ref="M57" si="137">L57+1</f>
        <v>2028</v>
      </c>
      <c r="N57" s="101">
        <f t="shared" ref="N57" si="138">M57+1</f>
        <v>2029</v>
      </c>
      <c r="O57" s="102">
        <f t="shared" ref="O57" si="139">N57+1</f>
        <v>2030</v>
      </c>
      <c r="R57" s="84"/>
      <c r="S57" s="101">
        <f>ano_1</f>
        <v>2026</v>
      </c>
      <c r="T57" s="101">
        <f>S57+1</f>
        <v>2027</v>
      </c>
      <c r="U57" s="101">
        <f t="shared" ref="U57" si="140">T57+1</f>
        <v>2028</v>
      </c>
      <c r="V57" s="101">
        <f t="shared" ref="V57" si="141">U57+1</f>
        <v>2029</v>
      </c>
      <c r="W57" s="102">
        <f t="shared" ref="W57" si="142">V57+1</f>
        <v>2030</v>
      </c>
      <c r="Z57" s="84"/>
      <c r="AA57" s="101">
        <f>ano_1</f>
        <v>2026</v>
      </c>
      <c r="AB57" s="101">
        <f>AA57+1</f>
        <v>2027</v>
      </c>
      <c r="AC57" s="101">
        <f t="shared" ref="AC57" si="143">AB57+1</f>
        <v>2028</v>
      </c>
      <c r="AD57" s="101">
        <f t="shared" ref="AD57" si="144">AC57+1</f>
        <v>2029</v>
      </c>
      <c r="AE57" s="102">
        <f t="shared" ref="AE57" si="145">AD57+1</f>
        <v>2030</v>
      </c>
      <c r="AH57" s="84"/>
      <c r="AI57" s="101">
        <f>ano_1</f>
        <v>2026</v>
      </c>
      <c r="AJ57" s="101">
        <f>AI57+1</f>
        <v>2027</v>
      </c>
      <c r="AK57" s="101">
        <f t="shared" ref="AK57" si="146">AJ57+1</f>
        <v>2028</v>
      </c>
      <c r="AL57" s="101">
        <f t="shared" ref="AL57" si="147">AK57+1</f>
        <v>2029</v>
      </c>
      <c r="AM57" s="102">
        <f t="shared" ref="AM57" si="148">AL57+1</f>
        <v>2030</v>
      </c>
      <c r="AP57" s="84"/>
      <c r="AQ57" s="101">
        <f>ano_1</f>
        <v>2026</v>
      </c>
      <c r="AR57" s="101">
        <f>AQ57+1</f>
        <v>2027</v>
      </c>
      <c r="AS57" s="101">
        <f t="shared" ref="AS57" si="149">AR57+1</f>
        <v>2028</v>
      </c>
      <c r="AT57" s="101">
        <f t="shared" ref="AT57" si="150">AS57+1</f>
        <v>2029</v>
      </c>
      <c r="AU57" s="102">
        <f t="shared" ref="AU57" si="151">AT57+1</f>
        <v>2030</v>
      </c>
      <c r="AX57" s="84"/>
      <c r="AY57" s="101">
        <f>ano_1</f>
        <v>2026</v>
      </c>
      <c r="AZ57" s="101">
        <f>AY57+1</f>
        <v>2027</v>
      </c>
      <c r="BA57" s="101">
        <f t="shared" ref="BA57" si="152">AZ57+1</f>
        <v>2028</v>
      </c>
      <c r="BB57" s="101">
        <f t="shared" ref="BB57" si="153">BA57+1</f>
        <v>2029</v>
      </c>
      <c r="BC57" s="102">
        <f t="shared" ref="BC57" si="154">BB57+1</f>
        <v>2030</v>
      </c>
      <c r="BF57" s="84"/>
      <c r="BG57" s="101">
        <f>ano_1</f>
        <v>2026</v>
      </c>
      <c r="BH57" s="101">
        <f>BG57+1</f>
        <v>2027</v>
      </c>
      <c r="BI57" s="101">
        <f t="shared" ref="BI57" si="155">BH57+1</f>
        <v>2028</v>
      </c>
      <c r="BJ57" s="101">
        <f t="shared" ref="BJ57" si="156">BI57+1</f>
        <v>2029</v>
      </c>
      <c r="BK57" s="102">
        <f t="shared" ref="BK57" si="157">BJ57+1</f>
        <v>2030</v>
      </c>
      <c r="BN57" s="84"/>
      <c r="BO57" s="101">
        <f>ano_1</f>
        <v>2026</v>
      </c>
      <c r="BP57" s="101">
        <f>BO57+1</f>
        <v>2027</v>
      </c>
      <c r="BQ57" s="101">
        <f t="shared" ref="BQ57" si="158">BP57+1</f>
        <v>2028</v>
      </c>
      <c r="BR57" s="101">
        <f t="shared" ref="BR57" si="159">BQ57+1</f>
        <v>2029</v>
      </c>
      <c r="BS57" s="102">
        <f t="shared" ref="BS57" si="160">BR57+1</f>
        <v>2030</v>
      </c>
      <c r="BV57" s="84"/>
      <c r="BW57" s="101">
        <f>ano_1</f>
        <v>2026</v>
      </c>
      <c r="BX57" s="101">
        <f>BW57+1</f>
        <v>2027</v>
      </c>
      <c r="BY57" s="101">
        <f t="shared" ref="BY57" si="161">BX57+1</f>
        <v>2028</v>
      </c>
      <c r="BZ57" s="101">
        <f t="shared" ref="BZ57" si="162">BY57+1</f>
        <v>2029</v>
      </c>
      <c r="CA57" s="102">
        <f t="shared" ref="CA57" si="163">BZ57+1</f>
        <v>2030</v>
      </c>
      <c r="CD57" s="84"/>
      <c r="CE57" s="101">
        <f>ano_1</f>
        <v>2026</v>
      </c>
      <c r="CF57" s="101">
        <f>CE57+1</f>
        <v>2027</v>
      </c>
      <c r="CG57" s="101">
        <f t="shared" ref="CG57" si="164">CF57+1</f>
        <v>2028</v>
      </c>
      <c r="CH57" s="101">
        <f t="shared" ref="CH57" si="165">CG57+1</f>
        <v>2029</v>
      </c>
      <c r="CI57" s="102">
        <f t="shared" ref="CI57" si="166">CH57+1</f>
        <v>2030</v>
      </c>
      <c r="CL57" s="84"/>
      <c r="CM57" s="101">
        <f>ano_1</f>
        <v>2026</v>
      </c>
      <c r="CN57" s="101">
        <f>CM57+1</f>
        <v>2027</v>
      </c>
      <c r="CO57" s="101">
        <f t="shared" ref="CO57" si="167">CN57+1</f>
        <v>2028</v>
      </c>
      <c r="CP57" s="101">
        <f t="shared" ref="CP57" si="168">CO57+1</f>
        <v>2029</v>
      </c>
      <c r="CQ57" s="102">
        <f t="shared" ref="CQ57" si="169">CP57+1</f>
        <v>2030</v>
      </c>
      <c r="CT57" s="84"/>
      <c r="CU57" s="101">
        <f>ano_1</f>
        <v>2026</v>
      </c>
      <c r="CV57" s="101">
        <f>CU57+1</f>
        <v>2027</v>
      </c>
      <c r="CW57" s="101">
        <f t="shared" ref="CW57" si="170">CV57+1</f>
        <v>2028</v>
      </c>
      <c r="CX57" s="101">
        <f t="shared" ref="CX57" si="171">CW57+1</f>
        <v>2029</v>
      </c>
      <c r="CY57" s="102">
        <f t="shared" ref="CY57" si="172">CX57+1</f>
        <v>2030</v>
      </c>
      <c r="DB57" s="84"/>
      <c r="DC57" s="101">
        <f>ano_1</f>
        <v>2026</v>
      </c>
      <c r="DD57" s="101">
        <f>DC57+1</f>
        <v>2027</v>
      </c>
      <c r="DE57" s="101">
        <f t="shared" ref="DE57" si="173">DD57+1</f>
        <v>2028</v>
      </c>
      <c r="DF57" s="101">
        <f t="shared" ref="DF57" si="174">DE57+1</f>
        <v>2029</v>
      </c>
      <c r="DG57" s="102">
        <f t="shared" ref="DG57" si="175">DF57+1</f>
        <v>2030</v>
      </c>
    </row>
    <row r="58" spans="2:111">
      <c r="B58" s="87" t="s">
        <v>170</v>
      </c>
      <c r="C58" s="80">
        <f>C$7*'Mkt share'!$C$62</f>
        <v>0</v>
      </c>
      <c r="D58" s="80">
        <f>C$8*'Mkt share'!$C$62</f>
        <v>0</v>
      </c>
      <c r="E58" s="80">
        <f>C$11*'Mkt share'!$C$62</f>
        <v>0</v>
      </c>
      <c r="F58" s="80">
        <f>C$14*'Mkt share'!$C$62</f>
        <v>0</v>
      </c>
      <c r="G58" s="88">
        <f>C$17*'Mkt share'!$C$62</f>
        <v>0</v>
      </c>
      <c r="J58" s="87" t="s">
        <v>170</v>
      </c>
      <c r="K58" s="80">
        <f>K$7*'Mkt share'!$C$63</f>
        <v>0</v>
      </c>
      <c r="L58" s="80">
        <f>K$8*'Mkt share'!$C$63</f>
        <v>0</v>
      </c>
      <c r="M58" s="80">
        <f>K$11*'Mkt share'!$C$63</f>
        <v>0</v>
      </c>
      <c r="N58" s="80">
        <f>K$14*'Mkt share'!$C$63</f>
        <v>0</v>
      </c>
      <c r="O58" s="88">
        <f>K$17*'Mkt share'!$C$63</f>
        <v>0</v>
      </c>
      <c r="R58" s="87" t="s">
        <v>170</v>
      </c>
      <c r="S58" s="80">
        <f>S$7*'Mkt share'!$C$64</f>
        <v>918812.25246423809</v>
      </c>
      <c r="T58" s="80">
        <f>S$8*'Mkt share'!$C$64</f>
        <v>918812.25246423809</v>
      </c>
      <c r="U58" s="80">
        <f>S$11*'Mkt share'!$C$64</f>
        <v>918812.25246423809</v>
      </c>
      <c r="V58" s="80">
        <f>S$14*'Mkt share'!$C$64</f>
        <v>918812.25246423809</v>
      </c>
      <c r="W58" s="88">
        <f>S$17*'Mkt share'!$C$64</f>
        <v>918812.25246423809</v>
      </c>
      <c r="Z58" s="87" t="s">
        <v>170</v>
      </c>
      <c r="AA58" s="80">
        <f>AA$7*'Mkt share'!$C$65</f>
        <v>132948.76421047046</v>
      </c>
      <c r="AB58" s="80">
        <f>AA$8*'Mkt share'!$C$65</f>
        <v>132948.76421047046</v>
      </c>
      <c r="AC58" s="80">
        <f>AA$11*'Mkt share'!$C$65</f>
        <v>132948.76421047046</v>
      </c>
      <c r="AD58" s="80">
        <f>AA$14*'Mkt share'!$C$65</f>
        <v>132948.76421047046</v>
      </c>
      <c r="AE58" s="88">
        <f>AA$17*'Mkt share'!$C$65</f>
        <v>132948.76421047046</v>
      </c>
      <c r="AH58" s="87" t="s">
        <v>170</v>
      </c>
      <c r="AI58" s="80">
        <f>AI$7*'Mkt share'!$C$66</f>
        <v>182122.16792852723</v>
      </c>
      <c r="AJ58" s="80">
        <f>AI$8*'Mkt share'!$C$66</f>
        <v>182122.16792852723</v>
      </c>
      <c r="AK58" s="80">
        <f>AI$11*'Mkt share'!$C$66</f>
        <v>182122.16792852723</v>
      </c>
      <c r="AL58" s="80">
        <f>AI$14*'Mkt share'!$C$66</f>
        <v>182122.16792852723</v>
      </c>
      <c r="AM58" s="88">
        <f>AI$17*'Mkt share'!$C$66</f>
        <v>182122.16792852723</v>
      </c>
      <c r="AP58" s="87" t="s">
        <v>170</v>
      </c>
      <c r="AQ58" s="80">
        <f>AQ$7*'Mkt share'!$C$67</f>
        <v>913471.24534888833</v>
      </c>
      <c r="AR58" s="80">
        <f>AQ$8*'Mkt share'!$C$67</f>
        <v>913471.24534888833</v>
      </c>
      <c r="AS58" s="80">
        <f>AQ$11*'Mkt share'!$C$67</f>
        <v>913471.24534888833</v>
      </c>
      <c r="AT58" s="80">
        <f>AQ$14*'Mkt share'!$C$67</f>
        <v>913471.24534888833</v>
      </c>
      <c r="AU58" s="88">
        <f>AQ$17*'Mkt share'!$C$67</f>
        <v>913471.24534888833</v>
      </c>
      <c r="AX58" s="87" t="s">
        <v>170</v>
      </c>
      <c r="AY58" s="80">
        <f>AY$7*'Mkt share'!$C$68</f>
        <v>1005885.5118313929</v>
      </c>
      <c r="AZ58" s="80">
        <f>AY$8*'Mkt share'!$C$68</f>
        <v>1005885.5118313929</v>
      </c>
      <c r="BA58" s="80">
        <f>AY$11*'Mkt share'!$C$68</f>
        <v>1005885.5118313929</v>
      </c>
      <c r="BB58" s="80">
        <f>AY$14*'Mkt share'!$C$68</f>
        <v>1005885.5118313929</v>
      </c>
      <c r="BC58" s="88">
        <f>AY$17*'Mkt share'!$C$68</f>
        <v>1005885.5118313929</v>
      </c>
      <c r="BF58" s="87" t="s">
        <v>170</v>
      </c>
      <c r="BG58" s="80">
        <f>BG$7*'Mkt share'!$C$69</f>
        <v>179724.01727923824</v>
      </c>
      <c r="BH58" s="80">
        <f>BG$8*'Mkt share'!$C$69</f>
        <v>179724.01727923824</v>
      </c>
      <c r="BI58" s="80">
        <f>BG$11*'Mkt share'!$C$69</f>
        <v>179724.01727923824</v>
      </c>
      <c r="BJ58" s="80">
        <f>BG$14*'Mkt share'!$C$69</f>
        <v>179724.01727923824</v>
      </c>
      <c r="BK58" s="88">
        <f>BG$17*'Mkt share'!$C$69</f>
        <v>179724.01727923824</v>
      </c>
      <c r="BN58" s="87" t="s">
        <v>170</v>
      </c>
      <c r="BO58" s="80">
        <f>BO$7*'Mkt share'!$C$70</f>
        <v>1739.9924294741088</v>
      </c>
      <c r="BP58" s="80">
        <f>BO$8*'Mkt share'!$C$70</f>
        <v>1739.9924294741088</v>
      </c>
      <c r="BQ58" s="80">
        <f>BO$11*'Mkt share'!$C$70</f>
        <v>1739.9924294741088</v>
      </c>
      <c r="BR58" s="80">
        <f>BO$14*'Mkt share'!$C$70</f>
        <v>1739.9924294741088</v>
      </c>
      <c r="BS58" s="88">
        <f>BO$17*'Mkt share'!$C$70</f>
        <v>1739.9924294741088</v>
      </c>
      <c r="BV58" s="87" t="s">
        <v>170</v>
      </c>
      <c r="BW58" s="80">
        <f>BW$7*'Mkt share'!$C$71</f>
        <v>1187.9254563115358</v>
      </c>
      <c r="BX58" s="80">
        <f>BW$8*'Mkt share'!$C$71</f>
        <v>1187.9254563115358</v>
      </c>
      <c r="BY58" s="80">
        <f>BW$11*'Mkt share'!$C$71</f>
        <v>1187.9254563115358</v>
      </c>
      <c r="BZ58" s="80">
        <f>BW$14*'Mkt share'!$C$71</f>
        <v>1187.9254563115358</v>
      </c>
      <c r="CA58" s="88">
        <f>BW$17*'Mkt share'!$C$71</f>
        <v>1187.9254563115358</v>
      </c>
      <c r="CD58" s="87" t="s">
        <v>170</v>
      </c>
      <c r="CE58" s="80">
        <f>CE$7*'Mkt share'!$C$72</f>
        <v>257333.25433036484</v>
      </c>
      <c r="CF58" s="80">
        <f>CE$8*'Mkt share'!$C$72</f>
        <v>257333.25433036484</v>
      </c>
      <c r="CG58" s="80">
        <f>CE$11*'Mkt share'!$C$72</f>
        <v>257333.25433036484</v>
      </c>
      <c r="CH58" s="80">
        <f>CE$14*'Mkt share'!$C$72</f>
        <v>257333.25433036484</v>
      </c>
      <c r="CI58" s="88">
        <f>CE$17*'Mkt share'!$C$72</f>
        <v>257333.25433036484</v>
      </c>
      <c r="CL58" s="87" t="s">
        <v>170</v>
      </c>
      <c r="CM58" s="80">
        <f>CM$7*'Mkt share'!$C$73</f>
        <v>5513242.8549347809</v>
      </c>
      <c r="CN58" s="80">
        <f>CM$8*'Mkt share'!$C$73</f>
        <v>5513242.8549347809</v>
      </c>
      <c r="CO58" s="80">
        <f>CM$11*'Mkt share'!$C$73</f>
        <v>5513242.8549347809</v>
      </c>
      <c r="CP58" s="80">
        <f>CM$14*'Mkt share'!$C$73</f>
        <v>5513242.8549347809</v>
      </c>
      <c r="CQ58" s="88">
        <f>CM$17*'Mkt share'!$C$73</f>
        <v>5513242.8549347809</v>
      </c>
      <c r="CT58" s="87" t="s">
        <v>170</v>
      </c>
      <c r="CU58" s="80">
        <f>CU$7*'Mkt share'!$C$74</f>
        <v>1411142.1805333972</v>
      </c>
      <c r="CV58" s="80">
        <f>CU$8*'Mkt share'!$C$74</f>
        <v>1411142.1805333972</v>
      </c>
      <c r="CW58" s="80">
        <f>CU$11*'Mkt share'!$C$74</f>
        <v>1411142.1805333972</v>
      </c>
      <c r="CX58" s="80">
        <f>CU$14*'Mkt share'!$C$74</f>
        <v>1411142.1805333972</v>
      </c>
      <c r="CY58" s="88">
        <f>CU$17*'Mkt share'!$C$74</f>
        <v>1411142.1805333972</v>
      </c>
      <c r="DB58" s="87" t="s">
        <v>170</v>
      </c>
      <c r="DC58" s="80">
        <f>DC$7*'Mkt share'!$C$75</f>
        <v>0</v>
      </c>
      <c r="DD58" s="80">
        <f>DC$8*'Mkt share'!$C$75</f>
        <v>0</v>
      </c>
      <c r="DE58" s="80">
        <f>DC$11*'Mkt share'!$C$75</f>
        <v>0</v>
      </c>
      <c r="DF58" s="80">
        <f>DC$14*'Mkt share'!$C$75</f>
        <v>0</v>
      </c>
      <c r="DG58" s="88">
        <f>DC$17*'Mkt share'!$C$75</f>
        <v>0</v>
      </c>
    </row>
    <row r="59" spans="2:111">
      <c r="B59" s="87" t="s">
        <v>175</v>
      </c>
      <c r="C59" s="105">
        <v>0</v>
      </c>
      <c r="D59" s="80">
        <f>C$10*'Mkt share'!$C$62</f>
        <v>0</v>
      </c>
      <c r="E59" s="80">
        <f>C$13*'Mkt share'!$C$62</f>
        <v>0</v>
      </c>
      <c r="F59" s="80">
        <f>C$16*'Mkt share'!$C$62</f>
        <v>0</v>
      </c>
      <c r="G59" s="88">
        <f>C$19*'Mkt share'!$C$62</f>
        <v>0</v>
      </c>
      <c r="J59" s="87" t="s">
        <v>175</v>
      </c>
      <c r="K59" s="105">
        <v>0</v>
      </c>
      <c r="L59" s="80">
        <f>K$10*'Mkt share'!$C$63</f>
        <v>0</v>
      </c>
      <c r="M59" s="80">
        <f>K$13*'Mkt share'!$C$63</f>
        <v>0</v>
      </c>
      <c r="N59" s="80">
        <f>K$16*'Mkt share'!$C$63</f>
        <v>0</v>
      </c>
      <c r="O59" s="88">
        <f>K$19*'Mkt share'!$C$63</f>
        <v>0</v>
      </c>
      <c r="R59" s="87" t="s">
        <v>175</v>
      </c>
      <c r="S59" s="105">
        <v>0</v>
      </c>
      <c r="T59" s="80">
        <f>S$10*'Mkt share'!$C$64</f>
        <v>0</v>
      </c>
      <c r="U59" s="80">
        <f>S$13*'Mkt share'!$C$64</f>
        <v>0</v>
      </c>
      <c r="V59" s="80">
        <f>S$16*'Mkt share'!$C$64</f>
        <v>0</v>
      </c>
      <c r="W59" s="88">
        <f>S$19*'Mkt share'!$C$64</f>
        <v>0</v>
      </c>
      <c r="Z59" s="87" t="s">
        <v>175</v>
      </c>
      <c r="AA59" s="105">
        <v>0</v>
      </c>
      <c r="AB59" s="80">
        <f>AA$10*'Mkt share'!$C$65</f>
        <v>0</v>
      </c>
      <c r="AC59" s="80">
        <f>AA$13*'Mkt share'!$C$65</f>
        <v>0</v>
      </c>
      <c r="AD59" s="80">
        <f>AA$16*'Mkt share'!$C$65</f>
        <v>0</v>
      </c>
      <c r="AE59" s="88">
        <f>AA$19*'Mkt share'!$C$65</f>
        <v>0</v>
      </c>
      <c r="AH59" s="87" t="s">
        <v>175</v>
      </c>
      <c r="AI59" s="105">
        <v>0</v>
      </c>
      <c r="AJ59" s="80">
        <f>AI$10*'Mkt share'!$C$66</f>
        <v>0</v>
      </c>
      <c r="AK59" s="80">
        <f>AI$13*'Mkt share'!$C$66</f>
        <v>0</v>
      </c>
      <c r="AL59" s="80">
        <f>AI$16*'Mkt share'!$C$66</f>
        <v>0</v>
      </c>
      <c r="AM59" s="88">
        <f>AI$19*'Mkt share'!$C$66</f>
        <v>0</v>
      </c>
      <c r="AP59" s="87" t="s">
        <v>175</v>
      </c>
      <c r="AQ59" s="105">
        <v>0</v>
      </c>
      <c r="AR59" s="80">
        <f>AQ$10*'Mkt share'!$C$67</f>
        <v>0</v>
      </c>
      <c r="AS59" s="80">
        <f>AQ$13*'Mkt share'!$C$67</f>
        <v>0</v>
      </c>
      <c r="AT59" s="80">
        <f>AQ$16*'Mkt share'!$C$67</f>
        <v>0</v>
      </c>
      <c r="AU59" s="88">
        <f>AQ$19*'Mkt share'!$C$67</f>
        <v>0</v>
      </c>
      <c r="AX59" s="87" t="s">
        <v>175</v>
      </c>
      <c r="AY59" s="105">
        <v>0</v>
      </c>
      <c r="AZ59" s="80">
        <f>AY$10*'Mkt share'!$C$68</f>
        <v>0</v>
      </c>
      <c r="BA59" s="80">
        <f>AY$13*'Mkt share'!$C$68</f>
        <v>0</v>
      </c>
      <c r="BB59" s="80">
        <f>AY$16*'Mkt share'!$C$68</f>
        <v>0</v>
      </c>
      <c r="BC59" s="88">
        <f>AY$19*'Mkt share'!$C$68</f>
        <v>0</v>
      </c>
      <c r="BF59" s="87" t="s">
        <v>175</v>
      </c>
      <c r="BG59" s="105">
        <v>0</v>
      </c>
      <c r="BH59" s="80">
        <f>BG$10*'Mkt share'!$C$69</f>
        <v>0</v>
      </c>
      <c r="BI59" s="80">
        <f>BG$13*'Mkt share'!$C$69</f>
        <v>0</v>
      </c>
      <c r="BJ59" s="80">
        <f>BG$16*'Mkt share'!$C$69</f>
        <v>0</v>
      </c>
      <c r="BK59" s="88">
        <f>BG$19*'Mkt share'!$C$69</f>
        <v>0</v>
      </c>
      <c r="BN59" s="87" t="s">
        <v>175</v>
      </c>
      <c r="BO59" s="105">
        <v>0</v>
      </c>
      <c r="BP59" s="80">
        <f>BO$10*'Mkt share'!$C$70</f>
        <v>0</v>
      </c>
      <c r="BQ59" s="80">
        <f>BO$13*'Mkt share'!$C$70</f>
        <v>0</v>
      </c>
      <c r="BR59" s="80">
        <f>BO$16*'Mkt share'!$C$70</f>
        <v>0</v>
      </c>
      <c r="BS59" s="88">
        <f>BO$19*'Mkt share'!$C$70</f>
        <v>0</v>
      </c>
      <c r="BV59" s="87" t="s">
        <v>175</v>
      </c>
      <c r="BW59" s="105">
        <v>0</v>
      </c>
      <c r="BX59" s="80">
        <f>BW$10*'Mkt share'!$C$71</f>
        <v>0</v>
      </c>
      <c r="BY59" s="80">
        <f>BW$13*'Mkt share'!$C$71</f>
        <v>0</v>
      </c>
      <c r="BZ59" s="80">
        <f>BW$16*'Mkt share'!$C$71</f>
        <v>0</v>
      </c>
      <c r="CA59" s="88">
        <f>BW$19*'Mkt share'!$C$71</f>
        <v>0</v>
      </c>
      <c r="CD59" s="87" t="s">
        <v>175</v>
      </c>
      <c r="CE59" s="105">
        <v>0</v>
      </c>
      <c r="CF59" s="80">
        <f>CE$10*'Mkt share'!$C$72</f>
        <v>0</v>
      </c>
      <c r="CG59" s="80">
        <f>CE$13*'Mkt share'!$C$72</f>
        <v>0</v>
      </c>
      <c r="CH59" s="80">
        <f>CE$16*'Mkt share'!$C$72</f>
        <v>0</v>
      </c>
      <c r="CI59" s="88">
        <f>CE$19*'Mkt share'!$C$72</f>
        <v>0</v>
      </c>
      <c r="CL59" s="87" t="s">
        <v>175</v>
      </c>
      <c r="CM59" s="105">
        <v>0</v>
      </c>
      <c r="CN59" s="80">
        <f>CM$10*'Mkt share'!$C$73</f>
        <v>0</v>
      </c>
      <c r="CO59" s="80">
        <f>CM$13*'Mkt share'!$C$73</f>
        <v>0</v>
      </c>
      <c r="CP59" s="80">
        <f>CM$16*'Mkt share'!$C$73</f>
        <v>0</v>
      </c>
      <c r="CQ59" s="88">
        <f>CM$19*'Mkt share'!$C$73</f>
        <v>0</v>
      </c>
      <c r="CT59" s="87" t="s">
        <v>175</v>
      </c>
      <c r="CU59" s="105">
        <v>0</v>
      </c>
      <c r="CV59" s="80">
        <f>CU$10*'Mkt share'!$C$74</f>
        <v>0</v>
      </c>
      <c r="CW59" s="80">
        <f>CU$13*'Mkt share'!$C$74</f>
        <v>0</v>
      </c>
      <c r="CX59" s="80">
        <f>CU$16*'Mkt share'!$C$74</f>
        <v>0</v>
      </c>
      <c r="CY59" s="88">
        <f>CU$19*'Mkt share'!$C$74</f>
        <v>0</v>
      </c>
      <c r="DB59" s="87" t="s">
        <v>175</v>
      </c>
      <c r="DC59" s="105">
        <v>0</v>
      </c>
      <c r="DD59" s="80">
        <f>DC$10*'Mkt share'!$C$75</f>
        <v>0</v>
      </c>
      <c r="DE59" s="80">
        <f>DC$13*'Mkt share'!$C$75</f>
        <v>0</v>
      </c>
      <c r="DF59" s="80">
        <f>DC$16*'Mkt share'!$C$75</f>
        <v>0</v>
      </c>
      <c r="DG59" s="88">
        <f>DC$19*'Mkt share'!$C$75</f>
        <v>0</v>
      </c>
    </row>
    <row r="60" spans="2:111">
      <c r="B60" s="87" t="s">
        <v>171</v>
      </c>
      <c r="C60" s="103"/>
      <c r="D60" s="80">
        <f>D$7*'Mkt share'!$D$62</f>
        <v>0</v>
      </c>
      <c r="E60" s="80">
        <f>D$8*'Mkt share'!$D$62</f>
        <v>0</v>
      </c>
      <c r="F60" s="80">
        <f>D$11*'Mkt share'!$D$62</f>
        <v>0</v>
      </c>
      <c r="G60" s="88">
        <f>D$14*'Mkt share'!$D$62</f>
        <v>0</v>
      </c>
      <c r="J60" s="87" t="s">
        <v>171</v>
      </c>
      <c r="K60" s="103"/>
      <c r="L60" s="80">
        <f>L$7*'Mkt share'!$D$63</f>
        <v>0</v>
      </c>
      <c r="M60" s="80">
        <f>L$8*'Mkt share'!$D$63</f>
        <v>0</v>
      </c>
      <c r="N60" s="80">
        <f>L$11*'Mkt share'!$D$63</f>
        <v>0</v>
      </c>
      <c r="O60" s="88">
        <f>L$14*'Mkt share'!$D$63</f>
        <v>0</v>
      </c>
      <c r="R60" s="87" t="s">
        <v>171</v>
      </c>
      <c r="S60" s="103"/>
      <c r="T60" s="80">
        <f>T$7*'Mkt share'!$D$64</f>
        <v>15072.197058347978</v>
      </c>
      <c r="U60" s="80">
        <f>T$8*'Mkt share'!$D$64</f>
        <v>15072.197058347978</v>
      </c>
      <c r="V60" s="80">
        <f>T$11*'Mkt share'!$D$64</f>
        <v>15072.197058347978</v>
      </c>
      <c r="W60" s="88">
        <f>T$14*'Mkt share'!$D$64</f>
        <v>15072.197058347978</v>
      </c>
      <c r="Z60" s="87" t="s">
        <v>171</v>
      </c>
      <c r="AA60" s="103"/>
      <c r="AB60" s="80">
        <f>AB$7*'Mkt share'!$D$65</f>
        <v>2180.8916538387639</v>
      </c>
      <c r="AC60" s="80">
        <f>AB$8*'Mkt share'!$D$65</f>
        <v>2180.8916538387639</v>
      </c>
      <c r="AD60" s="80">
        <f>AB$11*'Mkt share'!$D$65</f>
        <v>2180.8916538387639</v>
      </c>
      <c r="AE60" s="88">
        <f>AB$14*'Mkt share'!$D$65</f>
        <v>2180.8916538387639</v>
      </c>
      <c r="AH60" s="87" t="s">
        <v>171</v>
      </c>
      <c r="AI60" s="103"/>
      <c r="AJ60" s="80">
        <f>AJ$7*'Mkt share'!$D$66</f>
        <v>1327.792095525894</v>
      </c>
      <c r="AK60" s="80">
        <f>AJ$8*'Mkt share'!$D$66</f>
        <v>1327.792095525894</v>
      </c>
      <c r="AL60" s="80">
        <f>AJ$11*'Mkt share'!$D$66</f>
        <v>1327.792095525894</v>
      </c>
      <c r="AM60" s="88">
        <f>AJ$14*'Mkt share'!$D$66</f>
        <v>1327.792095525894</v>
      </c>
      <c r="AP60" s="87" t="s">
        <v>171</v>
      </c>
      <c r="AQ60" s="103"/>
      <c r="AR60" s="80">
        <f>AR$7*'Mkt share'!$D$67</f>
        <v>6659.814743367453</v>
      </c>
      <c r="AS60" s="80">
        <f>AR$8*'Mkt share'!$D$67</f>
        <v>6659.814743367453</v>
      </c>
      <c r="AT60" s="80">
        <f>AR$11*'Mkt share'!$D$67</f>
        <v>6659.814743367453</v>
      </c>
      <c r="AU60" s="88">
        <f>AR$14*'Mkt share'!$D$67</f>
        <v>6659.814743367453</v>
      </c>
      <c r="AX60" s="87" t="s">
        <v>171</v>
      </c>
      <c r="AY60" s="103"/>
      <c r="AZ60" s="80">
        <f>AZ$7*'Mkt share'!$D$68</f>
        <v>7333.5763943788152</v>
      </c>
      <c r="BA60" s="80">
        <f>AZ$8*'Mkt share'!$D$68</f>
        <v>7333.5763943788152</v>
      </c>
      <c r="BB60" s="80">
        <f>AZ$11*'Mkt share'!$D$68</f>
        <v>7333.5763943788152</v>
      </c>
      <c r="BC60" s="88">
        <f>AZ$14*'Mkt share'!$D$68</f>
        <v>7333.5763943788152</v>
      </c>
      <c r="BF60" s="87" t="s">
        <v>171</v>
      </c>
      <c r="BG60" s="103"/>
      <c r="BH60" s="80">
        <f>BH$7*'Mkt share'!$D$69</f>
        <v>1310.307977517504</v>
      </c>
      <c r="BI60" s="80">
        <f>BH$8*'Mkt share'!$D$69</f>
        <v>1310.307977517504</v>
      </c>
      <c r="BJ60" s="80">
        <f>BH$11*'Mkt share'!$D$69</f>
        <v>1310.307977517504</v>
      </c>
      <c r="BK60" s="88">
        <f>BH$14*'Mkt share'!$D$69</f>
        <v>1310.307977517504</v>
      </c>
      <c r="BN60" s="87" t="s">
        <v>171</v>
      </c>
      <c r="BO60" s="103"/>
      <c r="BP60" s="80">
        <f>BP$7*'Mkt share'!$D$70</f>
        <v>14.271418729305724</v>
      </c>
      <c r="BQ60" s="80">
        <f>BP$8*'Mkt share'!$D$70</f>
        <v>14.271418729305724</v>
      </c>
      <c r="BR60" s="80">
        <f>BP$11*'Mkt share'!$D$70</f>
        <v>14.271418729305724</v>
      </c>
      <c r="BS60" s="88">
        <f>BP$14*'Mkt share'!$D$70</f>
        <v>14.271418729305724</v>
      </c>
      <c r="BV60" s="87" t="s">
        <v>171</v>
      </c>
      <c r="BW60" s="103"/>
      <c r="BX60" s="80">
        <f>BX$7*'Mkt share'!$D$71</f>
        <v>8.6607690261157959</v>
      </c>
      <c r="BY60" s="80">
        <f>BX$8*'Mkt share'!$D$71</f>
        <v>8.6607690261157959</v>
      </c>
      <c r="BZ60" s="80">
        <f>BX$11*'Mkt share'!$D$71</f>
        <v>8.6607690261157959</v>
      </c>
      <c r="CA60" s="88">
        <f>BX$14*'Mkt share'!$D$71</f>
        <v>8.6607690261157959</v>
      </c>
      <c r="CD60" s="87" t="s">
        <v>171</v>
      </c>
      <c r="CE60" s="103"/>
      <c r="CF60" s="80">
        <f>CF$7*'Mkt share'!$D$72</f>
        <v>1876.1310877317546</v>
      </c>
      <c r="CG60" s="80">
        <f>CF$8*'Mkt share'!$D$72</f>
        <v>1876.1310877317546</v>
      </c>
      <c r="CH60" s="80">
        <f>CF$11*'Mkt share'!$D$72</f>
        <v>1876.1310877317546</v>
      </c>
      <c r="CI60" s="88">
        <f>CF$14*'Mkt share'!$D$72</f>
        <v>1876.1310877317546</v>
      </c>
      <c r="CL60" s="87" t="s">
        <v>171</v>
      </c>
      <c r="CM60" s="103"/>
      <c r="CN60" s="80">
        <f>CN$7*'Mkt share'!$D$73</f>
        <v>40195.218224998716</v>
      </c>
      <c r="CO60" s="80">
        <f>CN$8*'Mkt share'!$D$73</f>
        <v>40195.218224998716</v>
      </c>
      <c r="CP60" s="80">
        <f>CN$11*'Mkt share'!$D$73</f>
        <v>40195.218224998716</v>
      </c>
      <c r="CQ60" s="88">
        <f>CN$14*'Mkt share'!$D$73</f>
        <v>40195.218224998716</v>
      </c>
      <c r="CT60" s="87" t="s">
        <v>171</v>
      </c>
      <c r="CU60" s="103"/>
      <c r="CV60" s="80">
        <f>CV$7*'Mkt share'!$D$74</f>
        <v>10286.582137471391</v>
      </c>
      <c r="CW60" s="80">
        <f>CV$8*'Mkt share'!$D$74</f>
        <v>10286.582137471391</v>
      </c>
      <c r="CX60" s="80">
        <f>CV$11*'Mkt share'!$D$74</f>
        <v>10286.582137471391</v>
      </c>
      <c r="CY60" s="88">
        <f>CV$14*'Mkt share'!$D$74</f>
        <v>10286.582137471391</v>
      </c>
      <c r="DB60" s="87" t="s">
        <v>171</v>
      </c>
      <c r="DC60" s="103"/>
      <c r="DD60" s="80">
        <f>DD$7*'Mkt share'!$D$75</f>
        <v>0</v>
      </c>
      <c r="DE60" s="80">
        <f>DD$8*'Mkt share'!$D$75</f>
        <v>0</v>
      </c>
      <c r="DF60" s="80">
        <f>DD$11*'Mkt share'!$D$75</f>
        <v>0</v>
      </c>
      <c r="DG60" s="88">
        <f>DD$14*'Mkt share'!$D$75</f>
        <v>0</v>
      </c>
    </row>
    <row r="61" spans="2:111">
      <c r="B61" s="87" t="s">
        <v>176</v>
      </c>
      <c r="C61" s="103"/>
      <c r="D61" s="105">
        <v>0</v>
      </c>
      <c r="E61" s="80">
        <f>D$10*'Mkt share'!$D$62</f>
        <v>0</v>
      </c>
      <c r="F61" s="80">
        <f>D$13*'Mkt share'!$D$62</f>
        <v>0</v>
      </c>
      <c r="G61" s="88">
        <f>D$16*'Mkt share'!$D$62</f>
        <v>0</v>
      </c>
      <c r="J61" s="87" t="s">
        <v>176</v>
      </c>
      <c r="K61" s="103"/>
      <c r="L61" s="105">
        <v>0</v>
      </c>
      <c r="M61" s="80">
        <f>L$10*'Mkt share'!$D$63</f>
        <v>0</v>
      </c>
      <c r="N61" s="80">
        <f>L$13*'Mkt share'!$D$63</f>
        <v>0</v>
      </c>
      <c r="O61" s="88">
        <f>L$16*'Mkt share'!$D$63</f>
        <v>0</v>
      </c>
      <c r="R61" s="87" t="s">
        <v>176</v>
      </c>
      <c r="S61" s="103"/>
      <c r="T61" s="105">
        <v>0</v>
      </c>
      <c r="U61" s="80">
        <f>T$10*'Mkt share'!$D$64</f>
        <v>0</v>
      </c>
      <c r="V61" s="80">
        <f>T$13*'Mkt share'!$D$64</f>
        <v>0</v>
      </c>
      <c r="W61" s="88">
        <f>T$16*'Mkt share'!$D$64</f>
        <v>0</v>
      </c>
      <c r="Z61" s="87" t="s">
        <v>176</v>
      </c>
      <c r="AA61" s="103"/>
      <c r="AB61" s="105">
        <v>0</v>
      </c>
      <c r="AC61" s="80">
        <f>AB$10*'Mkt share'!$D$65</f>
        <v>0</v>
      </c>
      <c r="AD61" s="80">
        <f>AB$13*'Mkt share'!$D$65</f>
        <v>0</v>
      </c>
      <c r="AE61" s="88">
        <f>AB$16*'Mkt share'!$D$65</f>
        <v>0</v>
      </c>
      <c r="AH61" s="87" t="s">
        <v>176</v>
      </c>
      <c r="AI61" s="103"/>
      <c r="AJ61" s="105">
        <v>0</v>
      </c>
      <c r="AK61" s="80">
        <f>AJ$10*'Mkt share'!$D$66</f>
        <v>0</v>
      </c>
      <c r="AL61" s="80">
        <f>AJ$13*'Mkt share'!$D$66</f>
        <v>0</v>
      </c>
      <c r="AM61" s="88">
        <f>AJ$16*'Mkt share'!$D$66</f>
        <v>0</v>
      </c>
      <c r="AP61" s="87" t="s">
        <v>176</v>
      </c>
      <c r="AQ61" s="103"/>
      <c r="AR61" s="105">
        <v>0</v>
      </c>
      <c r="AS61" s="80">
        <f>AR$10*'Mkt share'!$D$67</f>
        <v>0</v>
      </c>
      <c r="AT61" s="80">
        <f>AR$13*'Mkt share'!$D$67</f>
        <v>0</v>
      </c>
      <c r="AU61" s="88">
        <f>AR$16*'Mkt share'!$D$67</f>
        <v>0</v>
      </c>
      <c r="AX61" s="87" t="s">
        <v>176</v>
      </c>
      <c r="AY61" s="103"/>
      <c r="AZ61" s="105">
        <v>0</v>
      </c>
      <c r="BA61" s="80">
        <f>AZ$10*'Mkt share'!$D$68</f>
        <v>0</v>
      </c>
      <c r="BB61" s="80">
        <f>AZ$13*'Mkt share'!$D$68</f>
        <v>0</v>
      </c>
      <c r="BC61" s="88">
        <f>AZ$16*'Mkt share'!$D$68</f>
        <v>0</v>
      </c>
      <c r="BF61" s="87" t="s">
        <v>176</v>
      </c>
      <c r="BG61" s="103"/>
      <c r="BH61" s="105">
        <v>0</v>
      </c>
      <c r="BI61" s="80">
        <f>BH$10*'Mkt share'!$D$69</f>
        <v>0</v>
      </c>
      <c r="BJ61" s="80">
        <f>BH$13*'Mkt share'!$D$69</f>
        <v>0</v>
      </c>
      <c r="BK61" s="88">
        <f>BH$16*'Mkt share'!$D$69</f>
        <v>0</v>
      </c>
      <c r="BN61" s="87" t="s">
        <v>176</v>
      </c>
      <c r="BO61" s="103"/>
      <c r="BP61" s="105">
        <v>0</v>
      </c>
      <c r="BQ61" s="80">
        <f>BP$10*'Mkt share'!$D$70</f>
        <v>0</v>
      </c>
      <c r="BR61" s="80">
        <f>BP$13*'Mkt share'!$D$70</f>
        <v>0</v>
      </c>
      <c r="BS61" s="88">
        <f>BP$16*'Mkt share'!$D$70</f>
        <v>0</v>
      </c>
      <c r="BV61" s="87" t="s">
        <v>176</v>
      </c>
      <c r="BW61" s="103"/>
      <c r="BX61" s="105">
        <v>0</v>
      </c>
      <c r="BY61" s="80">
        <f>BX$10*'Mkt share'!$D$71</f>
        <v>0</v>
      </c>
      <c r="BZ61" s="80">
        <f>BX$13*'Mkt share'!$D$71</f>
        <v>0</v>
      </c>
      <c r="CA61" s="88">
        <f>BX$16*'Mkt share'!$D$71</f>
        <v>0</v>
      </c>
      <c r="CD61" s="87" t="s">
        <v>176</v>
      </c>
      <c r="CE61" s="103"/>
      <c r="CF61" s="105">
        <v>0</v>
      </c>
      <c r="CG61" s="80">
        <f>CF$10*'Mkt share'!$D$72</f>
        <v>0</v>
      </c>
      <c r="CH61" s="80">
        <f>CF$13*'Mkt share'!$D$72</f>
        <v>0</v>
      </c>
      <c r="CI61" s="88">
        <f>CF$16*'Mkt share'!$D$72</f>
        <v>0</v>
      </c>
      <c r="CL61" s="87" t="s">
        <v>176</v>
      </c>
      <c r="CM61" s="103"/>
      <c r="CN61" s="105">
        <v>0</v>
      </c>
      <c r="CO61" s="80">
        <f>CN$10*'Mkt share'!$D$73</f>
        <v>0</v>
      </c>
      <c r="CP61" s="80">
        <f>CN$13*'Mkt share'!$D$73</f>
        <v>0</v>
      </c>
      <c r="CQ61" s="88">
        <f>CN$16*'Mkt share'!$D$73</f>
        <v>0</v>
      </c>
      <c r="CT61" s="87" t="s">
        <v>176</v>
      </c>
      <c r="CU61" s="103"/>
      <c r="CV61" s="105">
        <v>0</v>
      </c>
      <c r="CW61" s="80">
        <f>CV$10*'Mkt share'!$D$74</f>
        <v>0</v>
      </c>
      <c r="CX61" s="80">
        <f>CV$13*'Mkt share'!$D$74</f>
        <v>0</v>
      </c>
      <c r="CY61" s="88">
        <f>CV$16*'Mkt share'!$D$74</f>
        <v>0</v>
      </c>
      <c r="DB61" s="87" t="s">
        <v>176</v>
      </c>
      <c r="DC61" s="103"/>
      <c r="DD61" s="105">
        <v>0</v>
      </c>
      <c r="DE61" s="80">
        <f>DD$10*'Mkt share'!$D$75</f>
        <v>0</v>
      </c>
      <c r="DF61" s="80">
        <f>DD$13*'Mkt share'!$D$75</f>
        <v>0</v>
      </c>
      <c r="DG61" s="88">
        <f>DD$16*'Mkt share'!$D$75</f>
        <v>0</v>
      </c>
    </row>
    <row r="62" spans="2:111">
      <c r="B62" s="87" t="s">
        <v>172</v>
      </c>
      <c r="C62" s="103"/>
      <c r="D62" s="103"/>
      <c r="E62" s="80">
        <f>E$7*'Mkt share'!$E$62</f>
        <v>0</v>
      </c>
      <c r="F62" s="80">
        <f>E$8*'Mkt share'!$E$62</f>
        <v>0</v>
      </c>
      <c r="G62" s="88">
        <f>E$11*'Mkt share'!$E$62</f>
        <v>0</v>
      </c>
      <c r="J62" s="87" t="s">
        <v>172</v>
      </c>
      <c r="K62" s="103"/>
      <c r="L62" s="103"/>
      <c r="M62" s="80">
        <f>M$7*'Mkt share'!$E$63</f>
        <v>0</v>
      </c>
      <c r="N62" s="80">
        <f>M$8*'Mkt share'!$E$63</f>
        <v>0</v>
      </c>
      <c r="O62" s="88">
        <f>M$11*'Mkt share'!$E$63</f>
        <v>0</v>
      </c>
      <c r="R62" s="87" t="s">
        <v>172</v>
      </c>
      <c r="S62" s="103"/>
      <c r="T62" s="103"/>
      <c r="U62" s="80">
        <f>U$7*'Mkt share'!$E$64</f>
        <v>21660.974985298853</v>
      </c>
      <c r="V62" s="80">
        <f>U$8*'Mkt share'!$E$64</f>
        <v>21660.974985298853</v>
      </c>
      <c r="W62" s="88">
        <f>U$11*'Mkt share'!$E$64</f>
        <v>21660.974985298853</v>
      </c>
      <c r="Z62" s="87" t="s">
        <v>172</v>
      </c>
      <c r="AA62" s="103"/>
      <c r="AB62" s="103"/>
      <c r="AC62" s="80">
        <f>AC$7*'Mkt share'!$E$65</f>
        <v>3134.2636628602031</v>
      </c>
      <c r="AD62" s="80">
        <f>AC$8*'Mkt share'!$E$65</f>
        <v>3134.2636628602031</v>
      </c>
      <c r="AE62" s="88">
        <f>AC$11*'Mkt share'!$E$65</f>
        <v>3134.2636628602031</v>
      </c>
      <c r="AH62" s="87" t="s">
        <v>172</v>
      </c>
      <c r="AI62" s="103"/>
      <c r="AJ62" s="103"/>
      <c r="AK62" s="80">
        <f>AK$7*'Mkt share'!$E$66</f>
        <v>1113.1362091663245</v>
      </c>
      <c r="AL62" s="80">
        <f>AK$8*'Mkt share'!$E$66</f>
        <v>1113.1362091663245</v>
      </c>
      <c r="AM62" s="88">
        <f>AK$11*'Mkt share'!$E$66</f>
        <v>1113.1362091663245</v>
      </c>
      <c r="AP62" s="87" t="s">
        <v>172</v>
      </c>
      <c r="AQ62" s="103"/>
      <c r="AR62" s="103"/>
      <c r="AS62" s="80">
        <f>AS$7*'Mkt share'!$E$67</f>
        <v>5583.1639321861549</v>
      </c>
      <c r="AT62" s="80">
        <f>AS$8*'Mkt share'!$E$67</f>
        <v>5583.1639321861549</v>
      </c>
      <c r="AU62" s="88">
        <f>AS$11*'Mkt share'!$E$67</f>
        <v>5583.1639321861549</v>
      </c>
      <c r="AX62" s="87" t="s">
        <v>172</v>
      </c>
      <c r="AY62" s="103"/>
      <c r="AZ62" s="103"/>
      <c r="BA62" s="80">
        <f>BA$7*'Mkt share'!$E$68</f>
        <v>6148.0027293258427</v>
      </c>
      <c r="BB62" s="80">
        <f>BA$8*'Mkt share'!$E$68</f>
        <v>6148.0027293258427</v>
      </c>
      <c r="BC62" s="88">
        <f>BA$11*'Mkt share'!$E$68</f>
        <v>6148.0027293258427</v>
      </c>
      <c r="BF62" s="87" t="s">
        <v>172</v>
      </c>
      <c r="BG62" s="103"/>
      <c r="BH62" s="103"/>
      <c r="BI62" s="80">
        <f>BI$7*'Mkt share'!$E$69</f>
        <v>1098.4786397275129</v>
      </c>
      <c r="BJ62" s="80">
        <f>BI$8*'Mkt share'!$E$69</f>
        <v>1098.4786397275129</v>
      </c>
      <c r="BK62" s="88">
        <f>BI$11*'Mkt share'!$E$69</f>
        <v>1098.4786397275129</v>
      </c>
      <c r="BN62" s="87" t="s">
        <v>172</v>
      </c>
      <c r="BO62" s="103"/>
      <c r="BP62" s="103"/>
      <c r="BQ62" s="80">
        <f>BQ$7*'Mkt share'!$E$70</f>
        <v>13.673425442598793</v>
      </c>
      <c r="BR62" s="80">
        <f>BQ$8*'Mkt share'!$E$70</f>
        <v>13.673425442598793</v>
      </c>
      <c r="BS62" s="88">
        <f>BQ$11*'Mkt share'!$E$70</f>
        <v>13.673425442598793</v>
      </c>
      <c r="BV62" s="87" t="s">
        <v>172</v>
      </c>
      <c r="BW62" s="103"/>
      <c r="BX62" s="103"/>
      <c r="BY62" s="80">
        <f>BY$7*'Mkt share'!$E$71</f>
        <v>7.2606363862840535</v>
      </c>
      <c r="BZ62" s="80">
        <f>BY$8*'Mkt share'!$E$71</f>
        <v>7.2606363862840535</v>
      </c>
      <c r="CA62" s="88">
        <f>BY$11*'Mkt share'!$E$71</f>
        <v>7.2606363862840535</v>
      </c>
      <c r="CD62" s="87" t="s">
        <v>172</v>
      </c>
      <c r="CE62" s="103"/>
      <c r="CF62" s="103"/>
      <c r="CG62" s="80">
        <f>CG$7*'Mkt share'!$E$72</f>
        <v>1572.8286483507625</v>
      </c>
      <c r="CH62" s="80">
        <f>CG$8*'Mkt share'!$E$72</f>
        <v>1572.8286483507625</v>
      </c>
      <c r="CI62" s="88">
        <f>CG$11*'Mkt share'!$E$72</f>
        <v>1572.8286483507625</v>
      </c>
      <c r="CL62" s="87" t="s">
        <v>172</v>
      </c>
      <c r="CM62" s="103"/>
      <c r="CN62" s="103"/>
      <c r="CO62" s="80">
        <f>CO$7*'Mkt share'!$E$73</f>
        <v>33697.10739531638</v>
      </c>
      <c r="CP62" s="80">
        <f>CO$8*'Mkt share'!$E$73</f>
        <v>33697.10739531638</v>
      </c>
      <c r="CQ62" s="88">
        <f>CO$11*'Mkt share'!$E$73</f>
        <v>33697.10739531638</v>
      </c>
      <c r="CT62" s="87" t="s">
        <v>172</v>
      </c>
      <c r="CU62" s="103"/>
      <c r="CV62" s="103"/>
      <c r="CW62" s="80">
        <f>CW$7*'Mkt share'!$E$74</f>
        <v>8621.9052298026054</v>
      </c>
      <c r="CX62" s="80">
        <f>CW$8*'Mkt share'!$E$74</f>
        <v>8621.9052298026054</v>
      </c>
      <c r="CY62" s="88">
        <f>CW$11*'Mkt share'!$E$74</f>
        <v>8621.9052298026054</v>
      </c>
      <c r="DB62" s="87" t="s">
        <v>172</v>
      </c>
      <c r="DC62" s="103"/>
      <c r="DD62" s="103"/>
      <c r="DE62" s="80">
        <f>DE$7*'Mkt share'!$E$75</f>
        <v>0</v>
      </c>
      <c r="DF62" s="80">
        <f>DE$8*'Mkt share'!$E$75</f>
        <v>0</v>
      </c>
      <c r="DG62" s="88">
        <f>DE$11*'Mkt share'!$E$75</f>
        <v>0</v>
      </c>
    </row>
    <row r="63" spans="2:111">
      <c r="B63" s="87" t="s">
        <v>177</v>
      </c>
      <c r="C63" s="103"/>
      <c r="D63" s="103"/>
      <c r="E63" s="105">
        <v>0</v>
      </c>
      <c r="F63" s="80">
        <f>E$10*'Mkt share'!$E$62</f>
        <v>0</v>
      </c>
      <c r="G63" s="88">
        <f>E$13*'Mkt share'!$E$62</f>
        <v>0</v>
      </c>
      <c r="J63" s="87" t="s">
        <v>177</v>
      </c>
      <c r="K63" s="103"/>
      <c r="L63" s="103"/>
      <c r="M63" s="105">
        <v>0</v>
      </c>
      <c r="N63" s="80">
        <f>M$10*'Mkt share'!$E$63</f>
        <v>0</v>
      </c>
      <c r="O63" s="88">
        <f>M$13*'Mkt share'!$E$63</f>
        <v>0</v>
      </c>
      <c r="R63" s="87" t="s">
        <v>177</v>
      </c>
      <c r="S63" s="103"/>
      <c r="T63" s="103"/>
      <c r="U63" s="105">
        <v>0</v>
      </c>
      <c r="V63" s="80">
        <f>U$10*'Mkt share'!$E$64</f>
        <v>0</v>
      </c>
      <c r="W63" s="88">
        <f>U$13*'Mkt share'!$E$64</f>
        <v>0</v>
      </c>
      <c r="Z63" s="87" t="s">
        <v>177</v>
      </c>
      <c r="AA63" s="103"/>
      <c r="AB63" s="103"/>
      <c r="AC63" s="105">
        <v>0</v>
      </c>
      <c r="AD63" s="80">
        <f>AC$10*'Mkt share'!$E$65</f>
        <v>0</v>
      </c>
      <c r="AE63" s="88">
        <f>AC$13*'Mkt share'!$E$65</f>
        <v>0</v>
      </c>
      <c r="AH63" s="87" t="s">
        <v>177</v>
      </c>
      <c r="AI63" s="103"/>
      <c r="AJ63" s="103"/>
      <c r="AK63" s="105">
        <v>0</v>
      </c>
      <c r="AL63" s="80">
        <f>AK$10*'Mkt share'!$E$66</f>
        <v>0</v>
      </c>
      <c r="AM63" s="88">
        <f>AK$13*'Mkt share'!$E$66</f>
        <v>0</v>
      </c>
      <c r="AP63" s="87" t="s">
        <v>177</v>
      </c>
      <c r="AQ63" s="103"/>
      <c r="AR63" s="103"/>
      <c r="AS63" s="105">
        <v>0</v>
      </c>
      <c r="AT63" s="80">
        <f>AS$10*'Mkt share'!$E$67</f>
        <v>0</v>
      </c>
      <c r="AU63" s="88">
        <f>AS$13*'Mkt share'!$E$67</f>
        <v>0</v>
      </c>
      <c r="AX63" s="87" t="s">
        <v>177</v>
      </c>
      <c r="AY63" s="103"/>
      <c r="AZ63" s="103"/>
      <c r="BA63" s="105">
        <v>0</v>
      </c>
      <c r="BB63" s="80">
        <f>BA$10*'Mkt share'!$E$68</f>
        <v>0</v>
      </c>
      <c r="BC63" s="88">
        <f>BA$13*'Mkt share'!$E$68</f>
        <v>0</v>
      </c>
      <c r="BF63" s="87" t="s">
        <v>177</v>
      </c>
      <c r="BG63" s="103"/>
      <c r="BH63" s="103"/>
      <c r="BI63" s="105">
        <v>0</v>
      </c>
      <c r="BJ63" s="80">
        <f>BI$10*'Mkt share'!$E$69</f>
        <v>0</v>
      </c>
      <c r="BK63" s="88">
        <f>BI$13*'Mkt share'!$E$69</f>
        <v>0</v>
      </c>
      <c r="BN63" s="87" t="s">
        <v>177</v>
      </c>
      <c r="BO63" s="103"/>
      <c r="BP63" s="103"/>
      <c r="BQ63" s="105">
        <v>0</v>
      </c>
      <c r="BR63" s="80">
        <f>BQ$10*'Mkt share'!$E$70</f>
        <v>0</v>
      </c>
      <c r="BS63" s="88">
        <f>BQ$13*'Mkt share'!$E$70</f>
        <v>0</v>
      </c>
      <c r="BV63" s="87" t="s">
        <v>177</v>
      </c>
      <c r="BW63" s="103"/>
      <c r="BX63" s="103"/>
      <c r="BY63" s="105">
        <v>0</v>
      </c>
      <c r="BZ63" s="80">
        <f>BY$10*'Mkt share'!$E$71</f>
        <v>0</v>
      </c>
      <c r="CA63" s="88">
        <f>BY$13*'Mkt share'!$E$71</f>
        <v>0</v>
      </c>
      <c r="CD63" s="87" t="s">
        <v>177</v>
      </c>
      <c r="CE63" s="103"/>
      <c r="CF63" s="103"/>
      <c r="CG63" s="105">
        <v>0</v>
      </c>
      <c r="CH63" s="80">
        <f>CG$10*'Mkt share'!$E$72</f>
        <v>0</v>
      </c>
      <c r="CI63" s="88">
        <f>CG$13*'Mkt share'!$E$72</f>
        <v>0</v>
      </c>
      <c r="CL63" s="87" t="s">
        <v>177</v>
      </c>
      <c r="CM63" s="103"/>
      <c r="CN63" s="103"/>
      <c r="CO63" s="105">
        <v>0</v>
      </c>
      <c r="CP63" s="80">
        <f>CO$10*'Mkt share'!$E$73</f>
        <v>0</v>
      </c>
      <c r="CQ63" s="88">
        <f>CO$13*'Mkt share'!$E$73</f>
        <v>0</v>
      </c>
      <c r="CT63" s="87" t="s">
        <v>177</v>
      </c>
      <c r="CU63" s="103"/>
      <c r="CV63" s="103"/>
      <c r="CW63" s="105">
        <v>0</v>
      </c>
      <c r="CX63" s="80">
        <f>CW$10*'Mkt share'!$E$74</f>
        <v>0</v>
      </c>
      <c r="CY63" s="88">
        <f>CW$13*'Mkt share'!$E$74</f>
        <v>0</v>
      </c>
      <c r="DB63" s="87" t="s">
        <v>177</v>
      </c>
      <c r="DC63" s="103"/>
      <c r="DD63" s="103"/>
      <c r="DE63" s="105">
        <v>0</v>
      </c>
      <c r="DF63" s="80">
        <f>DE$10*'Mkt share'!$E$75</f>
        <v>0</v>
      </c>
      <c r="DG63" s="88">
        <f>DE$13*'Mkt share'!$E$75</f>
        <v>0</v>
      </c>
    </row>
    <row r="64" spans="2:111">
      <c r="B64" s="87" t="s">
        <v>173</v>
      </c>
      <c r="C64" s="103"/>
      <c r="D64" s="103"/>
      <c r="E64" s="103"/>
      <c r="F64" s="80">
        <f>F$7*'Mkt share'!$F$62</f>
        <v>0</v>
      </c>
      <c r="G64" s="88">
        <f>F$8*'Mkt share'!$F$62</f>
        <v>0</v>
      </c>
      <c r="J64" s="87" t="s">
        <v>173</v>
      </c>
      <c r="K64" s="103"/>
      <c r="L64" s="103"/>
      <c r="M64" s="103"/>
      <c r="N64" s="80">
        <f>N$7*'Mkt share'!$F$63</f>
        <v>0</v>
      </c>
      <c r="O64" s="88">
        <f>N$8*'Mkt share'!$F$63</f>
        <v>0</v>
      </c>
      <c r="R64" s="87" t="s">
        <v>173</v>
      </c>
      <c r="S64" s="103"/>
      <c r="T64" s="103"/>
      <c r="U64" s="103"/>
      <c r="V64" s="80">
        <f>V$7*'Mkt share'!$F$64</f>
        <v>28949.929882955788</v>
      </c>
      <c r="W64" s="88">
        <f>V$8*'Mkt share'!$F$64</f>
        <v>28949.929882955788</v>
      </c>
      <c r="Z64" s="87" t="s">
        <v>173</v>
      </c>
      <c r="AA64" s="103"/>
      <c r="AB64" s="103"/>
      <c r="AC64" s="103"/>
      <c r="AD64" s="80">
        <f>AD$7*'Mkt share'!$F$65</f>
        <v>4188.9487124232128</v>
      </c>
      <c r="AE64" s="88">
        <f>AD$8*'Mkt share'!$F$65</f>
        <v>4188.9487124232128</v>
      </c>
      <c r="AH64" s="87" t="s">
        <v>173</v>
      </c>
      <c r="AI64" s="103"/>
      <c r="AJ64" s="103"/>
      <c r="AK64" s="103"/>
      <c r="AL64" s="80">
        <f>AL$7*'Mkt share'!$F$66</f>
        <v>956.38399421322015</v>
      </c>
      <c r="AM64" s="88">
        <f>AL$8*'Mkt share'!$F$66</f>
        <v>956.38399421322015</v>
      </c>
      <c r="AP64" s="87" t="s">
        <v>173</v>
      </c>
      <c r="AQ64" s="103"/>
      <c r="AR64" s="103"/>
      <c r="AS64" s="103"/>
      <c r="AT64" s="80">
        <f>AT$7*'Mkt share'!$F$67</f>
        <v>4796.9409114904947</v>
      </c>
      <c r="AU64" s="88">
        <f>AT$8*'Mkt share'!$F$67</f>
        <v>4796.9409114904947</v>
      </c>
      <c r="AX64" s="87" t="s">
        <v>173</v>
      </c>
      <c r="AY64" s="103"/>
      <c r="AZ64" s="103"/>
      <c r="BA64" s="103"/>
      <c r="BB64" s="80">
        <f>BB$7*'Mkt share'!$F$68</f>
        <v>5282.2389194491307</v>
      </c>
      <c r="BC64" s="88">
        <f>BB$8*'Mkt share'!$F$68</f>
        <v>5282.2389194491307</v>
      </c>
      <c r="BF64" s="87" t="s">
        <v>173</v>
      </c>
      <c r="BG64" s="103"/>
      <c r="BH64" s="103"/>
      <c r="BI64" s="103"/>
      <c r="BJ64" s="80">
        <f>BJ$7*'Mkt share'!$F$69</f>
        <v>943.7905086272583</v>
      </c>
      <c r="BK64" s="88">
        <f>BJ$8*'Mkt share'!$F$69</f>
        <v>943.7905086272583</v>
      </c>
      <c r="BN64" s="87" t="s">
        <v>173</v>
      </c>
      <c r="BO64" s="103"/>
      <c r="BP64" s="103"/>
      <c r="BQ64" s="103"/>
      <c r="BR64" s="80">
        <f>BR$7*'Mkt share'!$F$70</f>
        <v>13.705917257592825</v>
      </c>
      <c r="BS64" s="88">
        <f>BR$8*'Mkt share'!$F$70</f>
        <v>13.705917257592825</v>
      </c>
      <c r="BV64" s="87" t="s">
        <v>173</v>
      </c>
      <c r="BW64" s="103"/>
      <c r="BX64" s="103"/>
      <c r="BY64" s="103"/>
      <c r="BZ64" s="80">
        <f>BZ$7*'Mkt share'!$F$71</f>
        <v>6.238191131025026</v>
      </c>
      <c r="CA64" s="88">
        <f>BZ$8*'Mkt share'!$F$71</f>
        <v>6.238191131025026</v>
      </c>
      <c r="CD64" s="87" t="s">
        <v>173</v>
      </c>
      <c r="CE64" s="103"/>
      <c r="CF64" s="103"/>
      <c r="CG64" s="103"/>
      <c r="CH64" s="80">
        <f>CH$7*'Mkt share'!$F$72</f>
        <v>1351.3423896696913</v>
      </c>
      <c r="CI64" s="88">
        <f>CH$8*'Mkt share'!$F$72</f>
        <v>1351.3423896696913</v>
      </c>
      <c r="CL64" s="87" t="s">
        <v>173</v>
      </c>
      <c r="CM64" s="103"/>
      <c r="CN64" s="103"/>
      <c r="CO64" s="103"/>
      <c r="CP64" s="80">
        <f>CP$7*'Mkt share'!$F$73</f>
        <v>28951.869410753403</v>
      </c>
      <c r="CQ64" s="88">
        <f>CP$8*'Mkt share'!$F$73</f>
        <v>28951.869410753403</v>
      </c>
      <c r="CT64" s="87" t="s">
        <v>173</v>
      </c>
      <c r="CU64" s="103"/>
      <c r="CV64" s="103"/>
      <c r="CW64" s="103"/>
      <c r="CX64" s="80">
        <f>CX$7*'Mkt share'!$F$74</f>
        <v>7405.8076504766686</v>
      </c>
      <c r="CY64" s="88">
        <f>CX$8*'Mkt share'!$F$74</f>
        <v>7405.8076504766686</v>
      </c>
      <c r="DB64" s="87" t="s">
        <v>173</v>
      </c>
      <c r="DC64" s="103"/>
      <c r="DD64" s="103"/>
      <c r="DE64" s="103"/>
      <c r="DF64" s="80">
        <f>DF$7*'Mkt share'!$F$75</f>
        <v>0</v>
      </c>
      <c r="DG64" s="88">
        <f>DF$8*'Mkt share'!$F$75</f>
        <v>0</v>
      </c>
    </row>
    <row r="65" spans="2:111">
      <c r="B65" s="87" t="s">
        <v>178</v>
      </c>
      <c r="C65" s="103"/>
      <c r="D65" s="103"/>
      <c r="E65" s="103"/>
      <c r="F65" s="105">
        <v>0</v>
      </c>
      <c r="G65" s="88">
        <f>F$10*'Mkt share'!$F$62</f>
        <v>0</v>
      </c>
      <c r="J65" s="87" t="s">
        <v>178</v>
      </c>
      <c r="K65" s="103"/>
      <c r="L65" s="103"/>
      <c r="M65" s="103"/>
      <c r="N65" s="105">
        <v>0</v>
      </c>
      <c r="O65" s="88">
        <f>N$10*'Mkt share'!$F$63</f>
        <v>0</v>
      </c>
      <c r="R65" s="87" t="s">
        <v>178</v>
      </c>
      <c r="S65" s="103"/>
      <c r="T65" s="103"/>
      <c r="U65" s="103"/>
      <c r="V65" s="105">
        <v>0</v>
      </c>
      <c r="W65" s="88">
        <f>V$10*'Mkt share'!$F$64</f>
        <v>0</v>
      </c>
      <c r="Z65" s="87" t="s">
        <v>178</v>
      </c>
      <c r="AA65" s="103"/>
      <c r="AB65" s="103"/>
      <c r="AC65" s="103"/>
      <c r="AD65" s="105">
        <v>0</v>
      </c>
      <c r="AE65" s="88">
        <f>AD$10*'Mkt share'!$F$65</f>
        <v>0</v>
      </c>
      <c r="AH65" s="87" t="s">
        <v>178</v>
      </c>
      <c r="AI65" s="103"/>
      <c r="AJ65" s="103"/>
      <c r="AK65" s="103"/>
      <c r="AL65" s="105">
        <v>0</v>
      </c>
      <c r="AM65" s="88">
        <f>AL$10*'Mkt share'!$F$66</f>
        <v>0</v>
      </c>
      <c r="AP65" s="87" t="s">
        <v>178</v>
      </c>
      <c r="AQ65" s="103"/>
      <c r="AR65" s="103"/>
      <c r="AS65" s="103"/>
      <c r="AT65" s="105">
        <v>0</v>
      </c>
      <c r="AU65" s="88">
        <f>AT$10*'Mkt share'!$F$67</f>
        <v>0</v>
      </c>
      <c r="AX65" s="87" t="s">
        <v>178</v>
      </c>
      <c r="AY65" s="103"/>
      <c r="AZ65" s="103"/>
      <c r="BA65" s="103"/>
      <c r="BB65" s="105">
        <v>0</v>
      </c>
      <c r="BC65" s="88">
        <f>BB$10*'Mkt share'!$F$68</f>
        <v>0</v>
      </c>
      <c r="BF65" s="87" t="s">
        <v>178</v>
      </c>
      <c r="BG65" s="103"/>
      <c r="BH65" s="103"/>
      <c r="BI65" s="103"/>
      <c r="BJ65" s="105">
        <v>0</v>
      </c>
      <c r="BK65" s="88">
        <f>BJ$10*'Mkt share'!$F$69</f>
        <v>0</v>
      </c>
      <c r="BN65" s="87" t="s">
        <v>178</v>
      </c>
      <c r="BO65" s="103"/>
      <c r="BP65" s="103"/>
      <c r="BQ65" s="103"/>
      <c r="BR65" s="105">
        <v>0</v>
      </c>
      <c r="BS65" s="88">
        <f>BR$10*'Mkt share'!$F$70</f>
        <v>0</v>
      </c>
      <c r="BV65" s="87" t="s">
        <v>178</v>
      </c>
      <c r="BW65" s="103"/>
      <c r="BX65" s="103"/>
      <c r="BY65" s="103"/>
      <c r="BZ65" s="105">
        <v>0</v>
      </c>
      <c r="CA65" s="88">
        <f>BZ$10*'Mkt share'!$F$71</f>
        <v>0</v>
      </c>
      <c r="CD65" s="87" t="s">
        <v>178</v>
      </c>
      <c r="CE65" s="103"/>
      <c r="CF65" s="103"/>
      <c r="CG65" s="103"/>
      <c r="CH65" s="105">
        <v>0</v>
      </c>
      <c r="CI65" s="88">
        <f>CH$10*'Mkt share'!$F$72</f>
        <v>0</v>
      </c>
      <c r="CL65" s="87" t="s">
        <v>178</v>
      </c>
      <c r="CM65" s="103"/>
      <c r="CN65" s="103"/>
      <c r="CO65" s="103"/>
      <c r="CP65" s="105">
        <v>0</v>
      </c>
      <c r="CQ65" s="88">
        <f>CP$10*'Mkt share'!$F$73</f>
        <v>0</v>
      </c>
      <c r="CT65" s="87" t="s">
        <v>178</v>
      </c>
      <c r="CU65" s="103"/>
      <c r="CV65" s="103"/>
      <c r="CW65" s="103"/>
      <c r="CX65" s="105">
        <v>0</v>
      </c>
      <c r="CY65" s="88">
        <f>CX$10*'Mkt share'!$F$74</f>
        <v>0</v>
      </c>
      <c r="DB65" s="87" t="s">
        <v>178</v>
      </c>
      <c r="DC65" s="103"/>
      <c r="DD65" s="103"/>
      <c r="DE65" s="103"/>
      <c r="DF65" s="105">
        <v>0</v>
      </c>
      <c r="DG65" s="88">
        <f>DF$10*'Mkt share'!$F$75</f>
        <v>0</v>
      </c>
    </row>
    <row r="66" spans="2:111">
      <c r="B66" s="87" t="s">
        <v>174</v>
      </c>
      <c r="C66" s="103"/>
      <c r="D66" s="103"/>
      <c r="E66" s="103"/>
      <c r="F66" s="103"/>
      <c r="G66" s="88">
        <f>G$7*'Mkt share'!$G$62</f>
        <v>0</v>
      </c>
      <c r="J66" s="87" t="s">
        <v>174</v>
      </c>
      <c r="K66" s="103"/>
      <c r="L66" s="103"/>
      <c r="M66" s="103"/>
      <c r="N66" s="103"/>
      <c r="O66" s="88">
        <f>O$7*'Mkt share'!$G$63</f>
        <v>0</v>
      </c>
      <c r="R66" s="87" t="s">
        <v>174</v>
      </c>
      <c r="S66" s="103"/>
      <c r="T66" s="103"/>
      <c r="U66" s="103"/>
      <c r="V66" s="103"/>
      <c r="W66" s="88">
        <f>W$7*'Mkt share'!$G$64</f>
        <v>36385.608852656318</v>
      </c>
      <c r="Z66" s="87" t="s">
        <v>174</v>
      </c>
      <c r="AA66" s="103"/>
      <c r="AB66" s="103"/>
      <c r="AC66" s="103"/>
      <c r="AD66" s="103"/>
      <c r="AE66" s="88">
        <f>AE$7*'Mkt share'!$G$65</f>
        <v>5264.8641972637324</v>
      </c>
      <c r="AH66" s="87" t="s">
        <v>174</v>
      </c>
      <c r="AI66" s="103"/>
      <c r="AJ66" s="103"/>
      <c r="AK66" s="103"/>
      <c r="AL66" s="103"/>
      <c r="AM66" s="88">
        <f>AM$7*'Mkt share'!$G$66</f>
        <v>801.35171465754217</v>
      </c>
      <c r="AP66" s="87" t="s">
        <v>174</v>
      </c>
      <c r="AQ66" s="103"/>
      <c r="AR66" s="103"/>
      <c r="AS66" s="103"/>
      <c r="AT66" s="103"/>
      <c r="AU66" s="88">
        <f>AU$7*'Mkt share'!$G$67</f>
        <v>4019.3445810395028</v>
      </c>
      <c r="AX66" s="87" t="s">
        <v>174</v>
      </c>
      <c r="AY66" s="103"/>
      <c r="AZ66" s="103"/>
      <c r="BA66" s="103"/>
      <c r="BB66" s="103"/>
      <c r="BC66" s="88">
        <f>BC$7*'Mkt share'!$G$68</f>
        <v>4425.974546775672</v>
      </c>
      <c r="BF66" s="87" t="s">
        <v>174</v>
      </c>
      <c r="BG66" s="103"/>
      <c r="BH66" s="103"/>
      <c r="BI66" s="103"/>
      <c r="BJ66" s="103"/>
      <c r="BK66" s="88">
        <f>BK$7*'Mkt share'!$G$69</f>
        <v>790.79966513675561</v>
      </c>
      <c r="BN66" s="87" t="s">
        <v>174</v>
      </c>
      <c r="BO66" s="103"/>
      <c r="BP66" s="103"/>
      <c r="BQ66" s="103"/>
      <c r="BR66" s="103"/>
      <c r="BS66" s="88">
        <f>BS$7*'Mkt share'!$G$70</f>
        <v>13.780983824634466</v>
      </c>
      <c r="BV66" s="87" t="s">
        <v>174</v>
      </c>
      <c r="BW66" s="103"/>
      <c r="BX66" s="103"/>
      <c r="BY66" s="103"/>
      <c r="BZ66" s="103"/>
      <c r="CA66" s="88">
        <f>CA$7*'Mkt share'!$G$71</f>
        <v>5.2269644718603292</v>
      </c>
      <c r="CD66" s="87" t="s">
        <v>174</v>
      </c>
      <c r="CE66" s="103"/>
      <c r="CF66" s="103"/>
      <c r="CG66" s="103"/>
      <c r="CH66" s="103"/>
      <c r="CI66" s="88">
        <f>CI$7*'Mkt share'!$G$72</f>
        <v>1132.286349001572</v>
      </c>
      <c r="CL66" s="87" t="s">
        <v>174</v>
      </c>
      <c r="CM66" s="103"/>
      <c r="CN66" s="103"/>
      <c r="CO66" s="103"/>
      <c r="CP66" s="103"/>
      <c r="CQ66" s="88">
        <f>CQ$7*'Mkt share'!$G$73</f>
        <v>24258.697693842882</v>
      </c>
      <c r="CT66" s="87" t="s">
        <v>174</v>
      </c>
      <c r="CU66" s="103"/>
      <c r="CV66" s="103"/>
      <c r="CW66" s="103"/>
      <c r="CX66" s="103"/>
      <c r="CY66" s="88">
        <f>CY$7*'Mkt share'!$G$74</f>
        <v>6203.0105511696393</v>
      </c>
      <c r="DB66" s="87" t="s">
        <v>174</v>
      </c>
      <c r="DC66" s="103"/>
      <c r="DD66" s="103"/>
      <c r="DE66" s="103"/>
      <c r="DF66" s="103"/>
      <c r="DG66" s="88">
        <f>DG$7*'Mkt share'!$G$75</f>
        <v>0</v>
      </c>
    </row>
    <row r="67" spans="2:111" ht="15" thickBot="1">
      <c r="B67" s="87" t="s">
        <v>179</v>
      </c>
      <c r="C67" s="103"/>
      <c r="D67" s="103"/>
      <c r="E67" s="103"/>
      <c r="F67" s="103"/>
      <c r="G67" s="106">
        <v>0</v>
      </c>
      <c r="J67" s="87" t="s">
        <v>179</v>
      </c>
      <c r="K67" s="103"/>
      <c r="L67" s="103"/>
      <c r="M67" s="103"/>
      <c r="N67" s="103"/>
      <c r="O67" s="106">
        <v>0</v>
      </c>
      <c r="R67" s="87" t="s">
        <v>179</v>
      </c>
      <c r="S67" s="103"/>
      <c r="T67" s="103"/>
      <c r="U67" s="103"/>
      <c r="V67" s="103"/>
      <c r="W67" s="106">
        <v>0</v>
      </c>
      <c r="Z67" s="87" t="s">
        <v>179</v>
      </c>
      <c r="AA67" s="103"/>
      <c r="AB67" s="103"/>
      <c r="AC67" s="103"/>
      <c r="AD67" s="103"/>
      <c r="AE67" s="106">
        <v>0</v>
      </c>
      <c r="AH67" s="87" t="s">
        <v>179</v>
      </c>
      <c r="AI67" s="103"/>
      <c r="AJ67" s="103"/>
      <c r="AK67" s="103"/>
      <c r="AL67" s="103"/>
      <c r="AM67" s="106">
        <v>0</v>
      </c>
      <c r="AP67" s="87" t="s">
        <v>179</v>
      </c>
      <c r="AQ67" s="103"/>
      <c r="AR67" s="103"/>
      <c r="AS67" s="103"/>
      <c r="AT67" s="103"/>
      <c r="AU67" s="106">
        <v>0</v>
      </c>
      <c r="AX67" s="87" t="s">
        <v>179</v>
      </c>
      <c r="AY67" s="103"/>
      <c r="AZ67" s="103"/>
      <c r="BA67" s="103"/>
      <c r="BB67" s="103"/>
      <c r="BC67" s="106">
        <v>0</v>
      </c>
      <c r="BF67" s="87" t="s">
        <v>179</v>
      </c>
      <c r="BG67" s="103"/>
      <c r="BH67" s="103"/>
      <c r="BI67" s="103"/>
      <c r="BJ67" s="103"/>
      <c r="BK67" s="106">
        <v>0</v>
      </c>
      <c r="BN67" s="87" t="s">
        <v>179</v>
      </c>
      <c r="BO67" s="103"/>
      <c r="BP67" s="103"/>
      <c r="BQ67" s="103"/>
      <c r="BR67" s="103"/>
      <c r="BS67" s="106">
        <v>0</v>
      </c>
      <c r="BV67" s="87" t="s">
        <v>179</v>
      </c>
      <c r="BW67" s="103"/>
      <c r="BX67" s="103"/>
      <c r="BY67" s="103"/>
      <c r="BZ67" s="103"/>
      <c r="CA67" s="106">
        <v>0</v>
      </c>
      <c r="CD67" s="87" t="s">
        <v>179</v>
      </c>
      <c r="CE67" s="103"/>
      <c r="CF67" s="103"/>
      <c r="CG67" s="103"/>
      <c r="CH67" s="103"/>
      <c r="CI67" s="106">
        <v>0</v>
      </c>
      <c r="CL67" s="87" t="s">
        <v>179</v>
      </c>
      <c r="CM67" s="103"/>
      <c r="CN67" s="103"/>
      <c r="CO67" s="103"/>
      <c r="CP67" s="103"/>
      <c r="CQ67" s="106">
        <v>0</v>
      </c>
      <c r="CT67" s="87" t="s">
        <v>179</v>
      </c>
      <c r="CU67" s="103"/>
      <c r="CV67" s="103"/>
      <c r="CW67" s="103"/>
      <c r="CX67" s="103"/>
      <c r="CY67" s="106">
        <v>0</v>
      </c>
      <c r="DB67" s="87" t="s">
        <v>179</v>
      </c>
      <c r="DC67" s="103"/>
      <c r="DD67" s="103"/>
      <c r="DE67" s="103"/>
      <c r="DF67" s="103"/>
      <c r="DG67" s="106">
        <v>0</v>
      </c>
    </row>
    <row r="68" spans="2:111" ht="15" thickBot="1">
      <c r="B68" s="89" t="s">
        <v>114</v>
      </c>
      <c r="C68" s="90">
        <f>SUM(C58:C67)</f>
        <v>0</v>
      </c>
      <c r="D68" s="90">
        <f>SUM(D58:D66)</f>
        <v>0</v>
      </c>
      <c r="E68" s="90">
        <f>SUM(E58:E66)</f>
        <v>0</v>
      </c>
      <c r="F68" s="90">
        <f>SUM(F58:F66)</f>
        <v>0</v>
      </c>
      <c r="G68" s="91">
        <f>SUM(G58:G67)</f>
        <v>0</v>
      </c>
      <c r="J68" s="89" t="s">
        <v>114</v>
      </c>
      <c r="K68" s="90">
        <f>SUM(K58:K67)</f>
        <v>0</v>
      </c>
      <c r="L68" s="90">
        <f>SUM(L58:L66)</f>
        <v>0</v>
      </c>
      <c r="M68" s="90">
        <f>SUM(M58:M66)</f>
        <v>0</v>
      </c>
      <c r="N68" s="90">
        <f>SUM(N58:N66)</f>
        <v>0</v>
      </c>
      <c r="O68" s="91">
        <f>SUM(O58:O67)</f>
        <v>0</v>
      </c>
      <c r="R68" s="89" t="s">
        <v>114</v>
      </c>
      <c r="S68" s="90">
        <f>SUM(S58:S67)</f>
        <v>918812.25246423809</v>
      </c>
      <c r="T68" s="90">
        <f>SUM(T58:T66)</f>
        <v>933884.44952258607</v>
      </c>
      <c r="U68" s="90">
        <f>SUM(U58:U66)</f>
        <v>955545.42450788489</v>
      </c>
      <c r="V68" s="90">
        <f>SUM(V58:V66)</f>
        <v>984495.35439084063</v>
      </c>
      <c r="W68" s="91">
        <f>SUM(W58:W67)</f>
        <v>1020880.963243497</v>
      </c>
      <c r="Z68" s="89" t="s">
        <v>114</v>
      </c>
      <c r="AA68" s="90">
        <f>SUM(AA58:AA67)</f>
        <v>132948.76421047046</v>
      </c>
      <c r="AB68" s="90">
        <f>SUM(AB58:AB66)</f>
        <v>135129.65586430923</v>
      </c>
      <c r="AC68" s="90">
        <f>SUM(AC58:AC66)</f>
        <v>138263.91952716943</v>
      </c>
      <c r="AD68" s="90">
        <f>SUM(AD58:AD66)</f>
        <v>142452.86823959264</v>
      </c>
      <c r="AE68" s="91">
        <f>SUM(AE58:AE67)</f>
        <v>147717.73243685637</v>
      </c>
      <c r="AH68" s="89" t="s">
        <v>114</v>
      </c>
      <c r="AI68" s="90">
        <f>SUM(AI58:AI67)</f>
        <v>182122.16792852723</v>
      </c>
      <c r="AJ68" s="90">
        <f>SUM(AJ58:AJ66)</f>
        <v>183449.96002405311</v>
      </c>
      <c r="AK68" s="90">
        <f>SUM(AK58:AK66)</f>
        <v>184563.09623321943</v>
      </c>
      <c r="AL68" s="90">
        <f>SUM(AL58:AL66)</f>
        <v>185519.48022743265</v>
      </c>
      <c r="AM68" s="91">
        <f>SUM(AM58:AM67)</f>
        <v>186320.83194209018</v>
      </c>
      <c r="AP68" s="89" t="s">
        <v>114</v>
      </c>
      <c r="AQ68" s="90">
        <f>SUM(AQ58:AQ67)</f>
        <v>913471.24534888833</v>
      </c>
      <c r="AR68" s="90">
        <f>SUM(AR58:AR66)</f>
        <v>920131.06009225582</v>
      </c>
      <c r="AS68" s="90">
        <f>SUM(AS58:AS66)</f>
        <v>925714.22402444202</v>
      </c>
      <c r="AT68" s="90">
        <f>SUM(AT58:AT66)</f>
        <v>930511.16493593249</v>
      </c>
      <c r="AU68" s="91">
        <f>SUM(AU58:AU67)</f>
        <v>934530.509516972</v>
      </c>
      <c r="AX68" s="89" t="s">
        <v>114</v>
      </c>
      <c r="AY68" s="90">
        <f>SUM(AY58:AY67)</f>
        <v>1005885.5118313929</v>
      </c>
      <c r="AZ68" s="90">
        <f>SUM(AZ58:AZ66)</f>
        <v>1013219.0882257717</v>
      </c>
      <c r="BA68" s="90">
        <f>SUM(BA58:BA66)</f>
        <v>1019367.0909550975</v>
      </c>
      <c r="BB68" s="90">
        <f>SUM(BB58:BB66)</f>
        <v>1024649.3298745466</v>
      </c>
      <c r="BC68" s="91">
        <f>SUM(BC58:BC67)</f>
        <v>1029075.3044213223</v>
      </c>
      <c r="BF68" s="89" t="s">
        <v>114</v>
      </c>
      <c r="BG68" s="90">
        <f>SUM(BG58:BG67)</f>
        <v>179724.01727923824</v>
      </c>
      <c r="BH68" s="90">
        <f>SUM(BH58:BH66)</f>
        <v>181034.32525675575</v>
      </c>
      <c r="BI68" s="90">
        <f>SUM(BI58:BI66)</f>
        <v>182132.80389648327</v>
      </c>
      <c r="BJ68" s="90">
        <f>SUM(BJ58:BJ66)</f>
        <v>183076.59440511052</v>
      </c>
      <c r="BK68" s="91">
        <f>SUM(BK58:BK67)</f>
        <v>183867.39407024728</v>
      </c>
      <c r="BN68" s="89" t="s">
        <v>114</v>
      </c>
      <c r="BO68" s="90">
        <f>SUM(BO58:BO67)</f>
        <v>1739.9924294741088</v>
      </c>
      <c r="BP68" s="90">
        <f>SUM(BP58:BP66)</f>
        <v>1754.2638482034145</v>
      </c>
      <c r="BQ68" s="90">
        <f>SUM(BQ58:BQ66)</f>
        <v>1767.9372736460132</v>
      </c>
      <c r="BR68" s="90">
        <f>SUM(BR58:BR66)</f>
        <v>1781.643190903606</v>
      </c>
      <c r="BS68" s="91">
        <f>SUM(BS58:BS67)</f>
        <v>1795.4241747282404</v>
      </c>
      <c r="BV68" s="89" t="s">
        <v>114</v>
      </c>
      <c r="BW68" s="90">
        <f>SUM(BW58:BW67)</f>
        <v>1187.9254563115358</v>
      </c>
      <c r="BX68" s="90">
        <f>SUM(BX58:BX66)</f>
        <v>1196.5862253376515</v>
      </c>
      <c r="BY68" s="90">
        <f>SUM(BY58:BY66)</f>
        <v>1203.8468617239355</v>
      </c>
      <c r="BZ68" s="90">
        <f>SUM(BZ58:BZ66)</f>
        <v>1210.0850528549606</v>
      </c>
      <c r="CA68" s="91">
        <f>SUM(CA58:CA67)</f>
        <v>1215.312017326821</v>
      </c>
      <c r="CD68" s="89" t="s">
        <v>114</v>
      </c>
      <c r="CE68" s="90">
        <f>SUM(CE58:CE67)</f>
        <v>257333.25433036484</v>
      </c>
      <c r="CF68" s="90">
        <f>SUM(CF58:CF66)</f>
        <v>259209.38541809659</v>
      </c>
      <c r="CG68" s="90">
        <f>SUM(CG58:CG66)</f>
        <v>260782.21406644734</v>
      </c>
      <c r="CH68" s="90">
        <f>SUM(CH58:CH66)</f>
        <v>262133.55645611702</v>
      </c>
      <c r="CI68" s="91">
        <f>SUM(CI58:CI67)</f>
        <v>263265.84280511859</v>
      </c>
      <c r="CL68" s="89" t="s">
        <v>114</v>
      </c>
      <c r="CM68" s="90">
        <f>SUM(CM58:CM67)</f>
        <v>5513242.8549347809</v>
      </c>
      <c r="CN68" s="90">
        <f>SUM(CN58:CN66)</f>
        <v>5553438.0731597794</v>
      </c>
      <c r="CO68" s="90">
        <f>SUM(CO58:CO66)</f>
        <v>5587135.1805550959</v>
      </c>
      <c r="CP68" s="90">
        <f>SUM(CP58:CP66)</f>
        <v>5616087.0499658491</v>
      </c>
      <c r="CQ68" s="91">
        <f>SUM(CQ58:CQ67)</f>
        <v>5640345.7476596916</v>
      </c>
      <c r="CT68" s="89" t="s">
        <v>114</v>
      </c>
      <c r="CU68" s="90">
        <f>SUM(CU58:CU67)</f>
        <v>1411142.1805333972</v>
      </c>
      <c r="CV68" s="90">
        <f>SUM(CV58:CV66)</f>
        <v>1421428.7626708685</v>
      </c>
      <c r="CW68" s="90">
        <f>SUM(CW58:CW66)</f>
        <v>1430050.6679006713</v>
      </c>
      <c r="CX68" s="90">
        <f>SUM(CX58:CX66)</f>
        <v>1437456.4755511479</v>
      </c>
      <c r="CY68" s="91">
        <f>SUM(CY58:CY67)</f>
        <v>1443659.4861023177</v>
      </c>
      <c r="DB68" s="89" t="s">
        <v>114</v>
      </c>
      <c r="DC68" s="90">
        <f>SUM(DC58:DC67)</f>
        <v>0</v>
      </c>
      <c r="DD68" s="90">
        <f>SUM(DD58:DD66)</f>
        <v>0</v>
      </c>
      <c r="DE68" s="90">
        <f>SUM(DE58:DE66)</f>
        <v>0</v>
      </c>
      <c r="DF68" s="90">
        <f>SUM(DF58:DF66)</f>
        <v>0</v>
      </c>
      <c r="DG68" s="91">
        <f>SUM(DG58:DG67)</f>
        <v>0</v>
      </c>
    </row>
    <row r="69" spans="2:111">
      <c r="B69" s="80" t="s">
        <v>206</v>
      </c>
      <c r="C69" s="92">
        <f>C58+C60+C62+C64+C66</f>
        <v>0</v>
      </c>
      <c r="D69" s="92">
        <f t="shared" ref="D69:G69" si="176">D58+D60+D62+D64+D66</f>
        <v>0</v>
      </c>
      <c r="E69" s="92">
        <f t="shared" si="176"/>
        <v>0</v>
      </c>
      <c r="F69" s="92">
        <f t="shared" si="176"/>
        <v>0</v>
      </c>
      <c r="G69" s="92">
        <f t="shared" si="176"/>
        <v>0</v>
      </c>
      <c r="J69" s="80" t="s">
        <v>206</v>
      </c>
      <c r="K69" s="92">
        <f>K58+K60+K62+K64+K66</f>
        <v>0</v>
      </c>
      <c r="L69" s="92">
        <f t="shared" ref="L69:O69" si="177">L58+L60+L62+L64+L66</f>
        <v>0</v>
      </c>
      <c r="M69" s="92">
        <f t="shared" si="177"/>
        <v>0</v>
      </c>
      <c r="N69" s="92">
        <f t="shared" si="177"/>
        <v>0</v>
      </c>
      <c r="O69" s="92">
        <f t="shared" si="177"/>
        <v>0</v>
      </c>
      <c r="R69" s="80" t="s">
        <v>206</v>
      </c>
      <c r="S69" s="92">
        <f>S58+S60+S62+S64+S66</f>
        <v>918812.25246423809</v>
      </c>
      <c r="T69" s="92">
        <f t="shared" ref="T69:W69" si="178">T58+T60+T62+T64+T66</f>
        <v>933884.44952258607</v>
      </c>
      <c r="U69" s="92">
        <f t="shared" si="178"/>
        <v>955545.42450788489</v>
      </c>
      <c r="V69" s="92">
        <f t="shared" si="178"/>
        <v>984495.35439084063</v>
      </c>
      <c r="W69" s="92">
        <f t="shared" si="178"/>
        <v>1020880.963243497</v>
      </c>
      <c r="Z69" s="80" t="s">
        <v>206</v>
      </c>
      <c r="AA69" s="92">
        <f>AA58+AA60+AA62+AA64+AA66</f>
        <v>132948.76421047046</v>
      </c>
      <c r="AB69" s="92">
        <f t="shared" ref="AB69:AE69" si="179">AB58+AB60+AB62+AB64+AB66</f>
        <v>135129.65586430923</v>
      </c>
      <c r="AC69" s="92">
        <f t="shared" si="179"/>
        <v>138263.91952716943</v>
      </c>
      <c r="AD69" s="92">
        <f t="shared" si="179"/>
        <v>142452.86823959264</v>
      </c>
      <c r="AE69" s="92">
        <f t="shared" si="179"/>
        <v>147717.73243685637</v>
      </c>
      <c r="AH69" s="80" t="s">
        <v>206</v>
      </c>
      <c r="AI69" s="92">
        <f>AI58+AI60+AI62+AI64+AI66</f>
        <v>182122.16792852723</v>
      </c>
      <c r="AJ69" s="92">
        <f t="shared" ref="AJ69:AM69" si="180">AJ58+AJ60+AJ62+AJ64+AJ66</f>
        <v>183449.96002405311</v>
      </c>
      <c r="AK69" s="92">
        <f t="shared" si="180"/>
        <v>184563.09623321943</v>
      </c>
      <c r="AL69" s="92">
        <f t="shared" si="180"/>
        <v>185519.48022743265</v>
      </c>
      <c r="AM69" s="92">
        <f t="shared" si="180"/>
        <v>186320.83194209018</v>
      </c>
      <c r="AP69" s="80" t="s">
        <v>206</v>
      </c>
      <c r="AQ69" s="92">
        <f>AQ58+AQ60+AQ62+AQ64+AQ66</f>
        <v>913471.24534888833</v>
      </c>
      <c r="AR69" s="92">
        <f t="shared" ref="AR69:AU69" si="181">AR58+AR60+AR62+AR64+AR66</f>
        <v>920131.06009225582</v>
      </c>
      <c r="AS69" s="92">
        <f t="shared" si="181"/>
        <v>925714.22402444202</v>
      </c>
      <c r="AT69" s="92">
        <f t="shared" si="181"/>
        <v>930511.16493593249</v>
      </c>
      <c r="AU69" s="92">
        <f t="shared" si="181"/>
        <v>934530.509516972</v>
      </c>
      <c r="AX69" s="80" t="s">
        <v>206</v>
      </c>
      <c r="AY69" s="92">
        <f>AY58+AY60+AY62+AY64+AY66</f>
        <v>1005885.5118313929</v>
      </c>
      <c r="AZ69" s="92">
        <f t="shared" ref="AZ69:BC69" si="182">AZ58+AZ60+AZ62+AZ64+AZ66</f>
        <v>1013219.0882257717</v>
      </c>
      <c r="BA69" s="92">
        <f t="shared" si="182"/>
        <v>1019367.0909550975</v>
      </c>
      <c r="BB69" s="92">
        <f t="shared" si="182"/>
        <v>1024649.3298745466</v>
      </c>
      <c r="BC69" s="92">
        <f t="shared" si="182"/>
        <v>1029075.3044213223</v>
      </c>
      <c r="BF69" s="80" t="s">
        <v>206</v>
      </c>
      <c r="BG69" s="92">
        <f>BG58+BG60+BG62+BG64+BG66</f>
        <v>179724.01727923824</v>
      </c>
      <c r="BH69" s="92">
        <f t="shared" ref="BH69:BK69" si="183">BH58+BH60+BH62+BH64+BH66</f>
        <v>181034.32525675575</v>
      </c>
      <c r="BI69" s="92">
        <f t="shared" si="183"/>
        <v>182132.80389648327</v>
      </c>
      <c r="BJ69" s="92">
        <f t="shared" si="183"/>
        <v>183076.59440511052</v>
      </c>
      <c r="BK69" s="92">
        <f t="shared" si="183"/>
        <v>183867.39407024728</v>
      </c>
      <c r="BN69" s="80" t="s">
        <v>206</v>
      </c>
      <c r="BO69" s="92">
        <f>BO58+BO60+BO62+BO64+BO66</f>
        <v>1739.9924294741088</v>
      </c>
      <c r="BP69" s="92">
        <f t="shared" ref="BP69:BS69" si="184">BP58+BP60+BP62+BP64+BP66</f>
        <v>1754.2638482034145</v>
      </c>
      <c r="BQ69" s="92">
        <f t="shared" si="184"/>
        <v>1767.9372736460132</v>
      </c>
      <c r="BR69" s="92">
        <f t="shared" si="184"/>
        <v>1781.643190903606</v>
      </c>
      <c r="BS69" s="92">
        <f t="shared" si="184"/>
        <v>1795.4241747282404</v>
      </c>
      <c r="BV69" s="80" t="s">
        <v>206</v>
      </c>
      <c r="BW69" s="92">
        <f>BW58+BW60+BW62+BW64+BW66</f>
        <v>1187.9254563115358</v>
      </c>
      <c r="BX69" s="92">
        <f t="shared" ref="BX69:CA69" si="185">BX58+BX60+BX62+BX64+BX66</f>
        <v>1196.5862253376515</v>
      </c>
      <c r="BY69" s="92">
        <f t="shared" si="185"/>
        <v>1203.8468617239355</v>
      </c>
      <c r="BZ69" s="92">
        <f t="shared" si="185"/>
        <v>1210.0850528549606</v>
      </c>
      <c r="CA69" s="92">
        <f t="shared" si="185"/>
        <v>1215.312017326821</v>
      </c>
      <c r="CD69" s="80" t="s">
        <v>206</v>
      </c>
      <c r="CE69" s="92">
        <f>CE58+CE60+CE62+CE64+CE66</f>
        <v>257333.25433036484</v>
      </c>
      <c r="CF69" s="92">
        <f t="shared" ref="CF69:CI69" si="186">CF58+CF60+CF62+CF64+CF66</f>
        <v>259209.38541809659</v>
      </c>
      <c r="CG69" s="92">
        <f t="shared" si="186"/>
        <v>260782.21406644734</v>
      </c>
      <c r="CH69" s="92">
        <f t="shared" si="186"/>
        <v>262133.55645611702</v>
      </c>
      <c r="CI69" s="92">
        <f t="shared" si="186"/>
        <v>263265.84280511859</v>
      </c>
      <c r="CL69" s="80" t="s">
        <v>206</v>
      </c>
      <c r="CM69" s="92">
        <f>CM58+CM60+CM62+CM64+CM66</f>
        <v>5513242.8549347809</v>
      </c>
      <c r="CN69" s="92">
        <f t="shared" ref="CN69:CQ69" si="187">CN58+CN60+CN62+CN64+CN66</f>
        <v>5553438.0731597794</v>
      </c>
      <c r="CO69" s="92">
        <f t="shared" si="187"/>
        <v>5587135.1805550959</v>
      </c>
      <c r="CP69" s="92">
        <f t="shared" si="187"/>
        <v>5616087.0499658491</v>
      </c>
      <c r="CQ69" s="92">
        <f t="shared" si="187"/>
        <v>5640345.7476596916</v>
      </c>
      <c r="CT69" s="80" t="s">
        <v>206</v>
      </c>
      <c r="CU69" s="92">
        <f>CU58+CU60+CU62+CU64+CU66</f>
        <v>1411142.1805333972</v>
      </c>
      <c r="CV69" s="92">
        <f t="shared" ref="CV69:CY69" si="188">CV58+CV60+CV62+CV64+CV66</f>
        <v>1421428.7626708685</v>
      </c>
      <c r="CW69" s="92">
        <f t="shared" si="188"/>
        <v>1430050.6679006713</v>
      </c>
      <c r="CX69" s="92">
        <f t="shared" si="188"/>
        <v>1437456.4755511479</v>
      </c>
      <c r="CY69" s="92">
        <f t="shared" si="188"/>
        <v>1443659.4861023177</v>
      </c>
      <c r="DB69" s="80" t="s">
        <v>206</v>
      </c>
      <c r="DC69" s="92">
        <f>DC58+DC60+DC62+DC64+DC66</f>
        <v>0</v>
      </c>
      <c r="DD69" s="92">
        <f t="shared" ref="DD69:DG69" si="189">DD58+DD60+DD62+DD64+DD66</f>
        <v>0</v>
      </c>
      <c r="DE69" s="92">
        <f t="shared" si="189"/>
        <v>0</v>
      </c>
      <c r="DF69" s="92">
        <f t="shared" si="189"/>
        <v>0</v>
      </c>
      <c r="DG69" s="92">
        <f t="shared" si="189"/>
        <v>0</v>
      </c>
    </row>
    <row r="70" spans="2:111" ht="15" thickBot="1">
      <c r="B70" s="80" t="s">
        <v>208</v>
      </c>
      <c r="C70" s="92">
        <f>C59+C61+C63+C65+C67</f>
        <v>0</v>
      </c>
      <c r="D70" s="92">
        <f t="shared" ref="D70:G70" si="190">D59+D61+D63+D65+D67</f>
        <v>0</v>
      </c>
      <c r="E70" s="92">
        <f t="shared" si="190"/>
        <v>0</v>
      </c>
      <c r="F70" s="92">
        <f t="shared" si="190"/>
        <v>0</v>
      </c>
      <c r="G70" s="92">
        <f t="shared" si="190"/>
        <v>0</v>
      </c>
      <c r="J70" s="80" t="s">
        <v>208</v>
      </c>
      <c r="K70" s="92">
        <f>K59+K61+K63+K65+K67</f>
        <v>0</v>
      </c>
      <c r="L70" s="92">
        <f t="shared" ref="L70:O70" si="191">L59+L61+L63+L65+L67</f>
        <v>0</v>
      </c>
      <c r="M70" s="92">
        <f t="shared" si="191"/>
        <v>0</v>
      </c>
      <c r="N70" s="92">
        <f t="shared" si="191"/>
        <v>0</v>
      </c>
      <c r="O70" s="92">
        <f t="shared" si="191"/>
        <v>0</v>
      </c>
      <c r="R70" s="80" t="s">
        <v>208</v>
      </c>
      <c r="S70" s="92">
        <f>S59+S61+S63+S65+S67</f>
        <v>0</v>
      </c>
      <c r="T70" s="92">
        <f t="shared" ref="T70:W70" si="192">T59+T61+T63+T65+T67</f>
        <v>0</v>
      </c>
      <c r="U70" s="92">
        <f t="shared" si="192"/>
        <v>0</v>
      </c>
      <c r="V70" s="92">
        <f t="shared" si="192"/>
        <v>0</v>
      </c>
      <c r="W70" s="92">
        <f t="shared" si="192"/>
        <v>0</v>
      </c>
      <c r="Z70" s="80" t="s">
        <v>208</v>
      </c>
      <c r="AA70" s="92">
        <f>AA59+AA61+AA63+AA65+AA67</f>
        <v>0</v>
      </c>
      <c r="AB70" s="92">
        <f t="shared" ref="AB70:AE70" si="193">AB59+AB61+AB63+AB65+AB67</f>
        <v>0</v>
      </c>
      <c r="AC70" s="92">
        <f t="shared" si="193"/>
        <v>0</v>
      </c>
      <c r="AD70" s="92">
        <f t="shared" si="193"/>
        <v>0</v>
      </c>
      <c r="AE70" s="92">
        <f t="shared" si="193"/>
        <v>0</v>
      </c>
      <c r="AH70" s="80" t="s">
        <v>208</v>
      </c>
      <c r="AI70" s="92">
        <f>AI59+AI61+AI63+AI65+AI67</f>
        <v>0</v>
      </c>
      <c r="AJ70" s="92">
        <f t="shared" ref="AJ70:AM70" si="194">AJ59+AJ61+AJ63+AJ65+AJ67</f>
        <v>0</v>
      </c>
      <c r="AK70" s="92">
        <f t="shared" si="194"/>
        <v>0</v>
      </c>
      <c r="AL70" s="92">
        <f t="shared" si="194"/>
        <v>0</v>
      </c>
      <c r="AM70" s="92">
        <f t="shared" si="194"/>
        <v>0</v>
      </c>
      <c r="AP70" s="80" t="s">
        <v>208</v>
      </c>
      <c r="AQ70" s="92">
        <f>AQ59+AQ61+AQ63+AQ65+AQ67</f>
        <v>0</v>
      </c>
      <c r="AR70" s="92">
        <f t="shared" ref="AR70:AU70" si="195">AR59+AR61+AR63+AR65+AR67</f>
        <v>0</v>
      </c>
      <c r="AS70" s="92">
        <f t="shared" si="195"/>
        <v>0</v>
      </c>
      <c r="AT70" s="92">
        <f t="shared" si="195"/>
        <v>0</v>
      </c>
      <c r="AU70" s="92">
        <f t="shared" si="195"/>
        <v>0</v>
      </c>
      <c r="AX70" s="80" t="s">
        <v>208</v>
      </c>
      <c r="AY70" s="92">
        <f>AY59+AY61+AY63+AY65+AY67</f>
        <v>0</v>
      </c>
      <c r="AZ70" s="92">
        <f t="shared" ref="AZ70:BC70" si="196">AZ59+AZ61+AZ63+AZ65+AZ67</f>
        <v>0</v>
      </c>
      <c r="BA70" s="92">
        <f t="shared" si="196"/>
        <v>0</v>
      </c>
      <c r="BB70" s="92">
        <f t="shared" si="196"/>
        <v>0</v>
      </c>
      <c r="BC70" s="92">
        <f t="shared" si="196"/>
        <v>0</v>
      </c>
      <c r="BF70" s="80" t="s">
        <v>208</v>
      </c>
      <c r="BG70" s="92">
        <f>BG59+BG61+BG63+BG65+BG67</f>
        <v>0</v>
      </c>
      <c r="BH70" s="92">
        <f t="shared" ref="BH70:BK70" si="197">BH59+BH61+BH63+BH65+BH67</f>
        <v>0</v>
      </c>
      <c r="BI70" s="92">
        <f t="shared" si="197"/>
        <v>0</v>
      </c>
      <c r="BJ70" s="92">
        <f t="shared" si="197"/>
        <v>0</v>
      </c>
      <c r="BK70" s="92">
        <f t="shared" si="197"/>
        <v>0</v>
      </c>
      <c r="BN70" s="80" t="s">
        <v>208</v>
      </c>
      <c r="BO70" s="92">
        <f>BO59+BO61+BO63+BO65+BO67</f>
        <v>0</v>
      </c>
      <c r="BP70" s="92">
        <f t="shared" ref="BP70:BS70" si="198">BP59+BP61+BP63+BP65+BP67</f>
        <v>0</v>
      </c>
      <c r="BQ70" s="92">
        <f t="shared" si="198"/>
        <v>0</v>
      </c>
      <c r="BR70" s="92">
        <f t="shared" si="198"/>
        <v>0</v>
      </c>
      <c r="BS70" s="92">
        <f t="shared" si="198"/>
        <v>0</v>
      </c>
      <c r="BV70" s="80" t="s">
        <v>208</v>
      </c>
      <c r="BW70" s="92">
        <f>BW59+BW61+BW63+BW65+BW67</f>
        <v>0</v>
      </c>
      <c r="BX70" s="92">
        <f t="shared" ref="BX70:CA70" si="199">BX59+BX61+BX63+BX65+BX67</f>
        <v>0</v>
      </c>
      <c r="BY70" s="92">
        <f t="shared" si="199"/>
        <v>0</v>
      </c>
      <c r="BZ70" s="92">
        <f t="shared" si="199"/>
        <v>0</v>
      </c>
      <c r="CA70" s="92">
        <f t="shared" si="199"/>
        <v>0</v>
      </c>
      <c r="CD70" s="80" t="s">
        <v>208</v>
      </c>
      <c r="CE70" s="92">
        <f>CE59+CE61+CE63+CE65+CE67</f>
        <v>0</v>
      </c>
      <c r="CF70" s="92">
        <f t="shared" ref="CF70:CI70" si="200">CF59+CF61+CF63+CF65+CF67</f>
        <v>0</v>
      </c>
      <c r="CG70" s="92">
        <f t="shared" si="200"/>
        <v>0</v>
      </c>
      <c r="CH70" s="92">
        <f t="shared" si="200"/>
        <v>0</v>
      </c>
      <c r="CI70" s="92">
        <f t="shared" si="200"/>
        <v>0</v>
      </c>
      <c r="CL70" s="80" t="s">
        <v>208</v>
      </c>
      <c r="CM70" s="92">
        <f>CM59+CM61+CM63+CM65+CM67</f>
        <v>0</v>
      </c>
      <c r="CN70" s="92">
        <f t="shared" ref="CN70:CQ70" si="201">CN59+CN61+CN63+CN65+CN67</f>
        <v>0</v>
      </c>
      <c r="CO70" s="92">
        <f t="shared" si="201"/>
        <v>0</v>
      </c>
      <c r="CP70" s="92">
        <f t="shared" si="201"/>
        <v>0</v>
      </c>
      <c r="CQ70" s="92">
        <f t="shared" si="201"/>
        <v>0</v>
      </c>
      <c r="CT70" s="80" t="s">
        <v>208</v>
      </c>
      <c r="CU70" s="92">
        <f>CU59+CU61+CU63+CU65+CU67</f>
        <v>0</v>
      </c>
      <c r="CV70" s="92">
        <f t="shared" ref="CV70:CY70" si="202">CV59+CV61+CV63+CV65+CV67</f>
        <v>0</v>
      </c>
      <c r="CW70" s="92">
        <f t="shared" si="202"/>
        <v>0</v>
      </c>
      <c r="CX70" s="92">
        <f t="shared" si="202"/>
        <v>0</v>
      </c>
      <c r="CY70" s="92">
        <f t="shared" si="202"/>
        <v>0</v>
      </c>
      <c r="DB70" s="80" t="s">
        <v>208</v>
      </c>
      <c r="DC70" s="92">
        <f>DC59+DC61+DC63+DC65+DC67</f>
        <v>0</v>
      </c>
      <c r="DD70" s="92">
        <f t="shared" ref="DD70:DG70" si="203">DD59+DD61+DD63+DD65+DD67</f>
        <v>0</v>
      </c>
      <c r="DE70" s="92">
        <f t="shared" si="203"/>
        <v>0</v>
      </c>
      <c r="DF70" s="92">
        <f t="shared" si="203"/>
        <v>0</v>
      </c>
      <c r="DG70" s="92">
        <f t="shared" si="203"/>
        <v>0</v>
      </c>
    </row>
    <row r="71" spans="2:111" ht="15" thickBot="1">
      <c r="B71" s="507" t="str">
        <f>cen_prop3</f>
        <v>moderate intensity only</v>
      </c>
      <c r="C71" s="508"/>
      <c r="D71" s="508"/>
      <c r="E71" s="508"/>
      <c r="F71" s="508"/>
      <c r="G71" s="509"/>
      <c r="J71" s="507" t="str">
        <f>cen_prop3</f>
        <v>moderate intensity only</v>
      </c>
      <c r="K71" s="508"/>
      <c r="L71" s="508"/>
      <c r="M71" s="508"/>
      <c r="N71" s="508"/>
      <c r="O71" s="509"/>
      <c r="R71" s="507" t="str">
        <f>cen_prop3</f>
        <v>moderate intensity only</v>
      </c>
      <c r="S71" s="508"/>
      <c r="T71" s="508"/>
      <c r="U71" s="508"/>
      <c r="V71" s="508"/>
      <c r="W71" s="509"/>
      <c r="Z71" s="507" t="str">
        <f>cen_prop3</f>
        <v>moderate intensity only</v>
      </c>
      <c r="AA71" s="508"/>
      <c r="AB71" s="508"/>
      <c r="AC71" s="508"/>
      <c r="AD71" s="508"/>
      <c r="AE71" s="509"/>
      <c r="AH71" s="507" t="str">
        <f>cen_prop3</f>
        <v>moderate intensity only</v>
      </c>
      <c r="AI71" s="508"/>
      <c r="AJ71" s="508"/>
      <c r="AK71" s="508"/>
      <c r="AL71" s="508"/>
      <c r="AM71" s="509"/>
      <c r="AP71" s="507" t="str">
        <f>cen_prop3</f>
        <v>moderate intensity only</v>
      </c>
      <c r="AQ71" s="508"/>
      <c r="AR71" s="508"/>
      <c r="AS71" s="508"/>
      <c r="AT71" s="508"/>
      <c r="AU71" s="509"/>
      <c r="AX71" s="507" t="str">
        <f>cen_prop3</f>
        <v>moderate intensity only</v>
      </c>
      <c r="AY71" s="508"/>
      <c r="AZ71" s="508"/>
      <c r="BA71" s="508"/>
      <c r="BB71" s="508"/>
      <c r="BC71" s="509"/>
      <c r="BF71" s="507" t="str">
        <f>cen_prop3</f>
        <v>moderate intensity only</v>
      </c>
      <c r="BG71" s="508"/>
      <c r="BH71" s="508"/>
      <c r="BI71" s="508"/>
      <c r="BJ71" s="508"/>
      <c r="BK71" s="509"/>
      <c r="BN71" s="507" t="str">
        <f>cen_prop3</f>
        <v>moderate intensity only</v>
      </c>
      <c r="BO71" s="508"/>
      <c r="BP71" s="508"/>
      <c r="BQ71" s="508"/>
      <c r="BR71" s="508"/>
      <c r="BS71" s="509"/>
      <c r="BV71" s="507" t="str">
        <f>cen_prop3</f>
        <v>moderate intensity only</v>
      </c>
      <c r="BW71" s="508"/>
      <c r="BX71" s="508"/>
      <c r="BY71" s="508"/>
      <c r="BZ71" s="508"/>
      <c r="CA71" s="509"/>
      <c r="CD71" s="507" t="str">
        <f>cen_prop3</f>
        <v>moderate intensity only</v>
      </c>
      <c r="CE71" s="508"/>
      <c r="CF71" s="508"/>
      <c r="CG71" s="508"/>
      <c r="CH71" s="508"/>
      <c r="CI71" s="509"/>
      <c r="CL71" s="507" t="str">
        <f>cen_prop3</f>
        <v>moderate intensity only</v>
      </c>
      <c r="CM71" s="508"/>
      <c r="CN71" s="508"/>
      <c r="CO71" s="508"/>
      <c r="CP71" s="508"/>
      <c r="CQ71" s="509"/>
      <c r="CT71" s="507" t="str">
        <f>cen_prop3</f>
        <v>moderate intensity only</v>
      </c>
      <c r="CU71" s="508"/>
      <c r="CV71" s="508"/>
      <c r="CW71" s="508"/>
      <c r="CX71" s="508"/>
      <c r="CY71" s="509"/>
      <c r="DB71" s="507" t="str">
        <f>cen_prop3</f>
        <v>moderate intensity only</v>
      </c>
      <c r="DC71" s="508"/>
      <c r="DD71" s="508"/>
      <c r="DE71" s="508"/>
      <c r="DF71" s="508"/>
      <c r="DG71" s="509"/>
    </row>
    <row r="72" spans="2:111">
      <c r="B72" s="84"/>
      <c r="C72" s="101">
        <f>ano_1</f>
        <v>2026</v>
      </c>
      <c r="D72" s="101">
        <f>C72+1</f>
        <v>2027</v>
      </c>
      <c r="E72" s="101">
        <f t="shared" ref="E72:G72" si="204">D72+1</f>
        <v>2028</v>
      </c>
      <c r="F72" s="101">
        <f t="shared" si="204"/>
        <v>2029</v>
      </c>
      <c r="G72" s="102">
        <f t="shared" si="204"/>
        <v>2030</v>
      </c>
      <c r="J72" s="84"/>
      <c r="K72" s="101">
        <f>ano_1</f>
        <v>2026</v>
      </c>
      <c r="L72" s="101">
        <f>K72+1</f>
        <v>2027</v>
      </c>
      <c r="M72" s="101">
        <f t="shared" ref="M72" si="205">L72+1</f>
        <v>2028</v>
      </c>
      <c r="N72" s="101">
        <f t="shared" ref="N72" si="206">M72+1</f>
        <v>2029</v>
      </c>
      <c r="O72" s="102">
        <f t="shared" ref="O72" si="207">N72+1</f>
        <v>2030</v>
      </c>
      <c r="R72" s="84"/>
      <c r="S72" s="101">
        <f>ano_1</f>
        <v>2026</v>
      </c>
      <c r="T72" s="101">
        <f>S72+1</f>
        <v>2027</v>
      </c>
      <c r="U72" s="101">
        <f t="shared" ref="U72" si="208">T72+1</f>
        <v>2028</v>
      </c>
      <c r="V72" s="101">
        <f t="shared" ref="V72" si="209">U72+1</f>
        <v>2029</v>
      </c>
      <c r="W72" s="102">
        <f t="shared" ref="W72" si="210">V72+1</f>
        <v>2030</v>
      </c>
      <c r="Z72" s="84"/>
      <c r="AA72" s="101">
        <f>ano_1</f>
        <v>2026</v>
      </c>
      <c r="AB72" s="101">
        <f>AA72+1</f>
        <v>2027</v>
      </c>
      <c r="AC72" s="101">
        <f t="shared" ref="AC72" si="211">AB72+1</f>
        <v>2028</v>
      </c>
      <c r="AD72" s="101">
        <f t="shared" ref="AD72" si="212">AC72+1</f>
        <v>2029</v>
      </c>
      <c r="AE72" s="102">
        <f t="shared" ref="AE72" si="213">AD72+1</f>
        <v>2030</v>
      </c>
      <c r="AH72" s="84"/>
      <c r="AI72" s="101">
        <f>ano_1</f>
        <v>2026</v>
      </c>
      <c r="AJ72" s="101">
        <f>AI72+1</f>
        <v>2027</v>
      </c>
      <c r="AK72" s="101">
        <f t="shared" ref="AK72" si="214">AJ72+1</f>
        <v>2028</v>
      </c>
      <c r="AL72" s="101">
        <f t="shared" ref="AL72" si="215">AK72+1</f>
        <v>2029</v>
      </c>
      <c r="AM72" s="102">
        <f t="shared" ref="AM72" si="216">AL72+1</f>
        <v>2030</v>
      </c>
      <c r="AP72" s="84"/>
      <c r="AQ72" s="101">
        <f>ano_1</f>
        <v>2026</v>
      </c>
      <c r="AR72" s="101">
        <f>AQ72+1</f>
        <v>2027</v>
      </c>
      <c r="AS72" s="101">
        <f t="shared" ref="AS72" si="217">AR72+1</f>
        <v>2028</v>
      </c>
      <c r="AT72" s="101">
        <f t="shared" ref="AT72" si="218">AS72+1</f>
        <v>2029</v>
      </c>
      <c r="AU72" s="102">
        <f t="shared" ref="AU72" si="219">AT72+1</f>
        <v>2030</v>
      </c>
      <c r="AX72" s="84"/>
      <c r="AY72" s="101">
        <f>ano_1</f>
        <v>2026</v>
      </c>
      <c r="AZ72" s="101">
        <f>AY72+1</f>
        <v>2027</v>
      </c>
      <c r="BA72" s="101">
        <f t="shared" ref="BA72" si="220">AZ72+1</f>
        <v>2028</v>
      </c>
      <c r="BB72" s="101">
        <f t="shared" ref="BB72" si="221">BA72+1</f>
        <v>2029</v>
      </c>
      <c r="BC72" s="102">
        <f t="shared" ref="BC72" si="222">BB72+1</f>
        <v>2030</v>
      </c>
      <c r="BF72" s="84"/>
      <c r="BG72" s="101">
        <f>ano_1</f>
        <v>2026</v>
      </c>
      <c r="BH72" s="101">
        <f>BG72+1</f>
        <v>2027</v>
      </c>
      <c r="BI72" s="101">
        <f t="shared" ref="BI72" si="223">BH72+1</f>
        <v>2028</v>
      </c>
      <c r="BJ72" s="101">
        <f t="shared" ref="BJ72" si="224">BI72+1</f>
        <v>2029</v>
      </c>
      <c r="BK72" s="102">
        <f t="shared" ref="BK72" si="225">BJ72+1</f>
        <v>2030</v>
      </c>
      <c r="BN72" s="84"/>
      <c r="BO72" s="101">
        <f>ano_1</f>
        <v>2026</v>
      </c>
      <c r="BP72" s="101">
        <f>BO72+1</f>
        <v>2027</v>
      </c>
      <c r="BQ72" s="101">
        <f t="shared" ref="BQ72" si="226">BP72+1</f>
        <v>2028</v>
      </c>
      <c r="BR72" s="101">
        <f t="shared" ref="BR72" si="227">BQ72+1</f>
        <v>2029</v>
      </c>
      <c r="BS72" s="102">
        <f t="shared" ref="BS72" si="228">BR72+1</f>
        <v>2030</v>
      </c>
      <c r="BV72" s="84"/>
      <c r="BW72" s="101">
        <f>ano_1</f>
        <v>2026</v>
      </c>
      <c r="BX72" s="101">
        <f>BW72+1</f>
        <v>2027</v>
      </c>
      <c r="BY72" s="101">
        <f t="shared" ref="BY72" si="229">BX72+1</f>
        <v>2028</v>
      </c>
      <c r="BZ72" s="101">
        <f t="shared" ref="BZ72" si="230">BY72+1</f>
        <v>2029</v>
      </c>
      <c r="CA72" s="102">
        <f t="shared" ref="CA72" si="231">BZ72+1</f>
        <v>2030</v>
      </c>
      <c r="CD72" s="84"/>
      <c r="CE72" s="101">
        <f>ano_1</f>
        <v>2026</v>
      </c>
      <c r="CF72" s="101">
        <f>CE72+1</f>
        <v>2027</v>
      </c>
      <c r="CG72" s="101">
        <f t="shared" ref="CG72" si="232">CF72+1</f>
        <v>2028</v>
      </c>
      <c r="CH72" s="101">
        <f t="shared" ref="CH72" si="233">CG72+1</f>
        <v>2029</v>
      </c>
      <c r="CI72" s="102">
        <f t="shared" ref="CI72" si="234">CH72+1</f>
        <v>2030</v>
      </c>
      <c r="CL72" s="84"/>
      <c r="CM72" s="101">
        <f>ano_1</f>
        <v>2026</v>
      </c>
      <c r="CN72" s="101">
        <f>CM72+1</f>
        <v>2027</v>
      </c>
      <c r="CO72" s="101">
        <f t="shared" ref="CO72" si="235">CN72+1</f>
        <v>2028</v>
      </c>
      <c r="CP72" s="101">
        <f t="shared" ref="CP72" si="236">CO72+1</f>
        <v>2029</v>
      </c>
      <c r="CQ72" s="102">
        <f t="shared" ref="CQ72" si="237">CP72+1</f>
        <v>2030</v>
      </c>
      <c r="CT72" s="84"/>
      <c r="CU72" s="101">
        <f>ano_1</f>
        <v>2026</v>
      </c>
      <c r="CV72" s="101">
        <f>CU72+1</f>
        <v>2027</v>
      </c>
      <c r="CW72" s="101">
        <f t="shared" ref="CW72" si="238">CV72+1</f>
        <v>2028</v>
      </c>
      <c r="CX72" s="101">
        <f t="shared" ref="CX72" si="239">CW72+1</f>
        <v>2029</v>
      </c>
      <c r="CY72" s="102">
        <f t="shared" ref="CY72" si="240">CX72+1</f>
        <v>2030</v>
      </c>
      <c r="DB72" s="84"/>
      <c r="DC72" s="101">
        <f>ano_1</f>
        <v>2026</v>
      </c>
      <c r="DD72" s="101">
        <f>DC72+1</f>
        <v>2027</v>
      </c>
      <c r="DE72" s="101">
        <f t="shared" ref="DE72" si="241">DD72+1</f>
        <v>2028</v>
      </c>
      <c r="DF72" s="101">
        <f t="shared" ref="DF72" si="242">DE72+1</f>
        <v>2029</v>
      </c>
      <c r="DG72" s="102">
        <f t="shared" ref="DG72" si="243">DF72+1</f>
        <v>2030</v>
      </c>
    </row>
    <row r="73" spans="2:111">
      <c r="B73" s="87" t="s">
        <v>170</v>
      </c>
      <c r="C73" s="80">
        <f>C$7*'Mkt share'!$C$82</f>
        <v>243637.42243143308</v>
      </c>
      <c r="D73" s="80">
        <f>C$8*'Mkt share'!$C$82</f>
        <v>243637.42243143308</v>
      </c>
      <c r="E73" s="80">
        <f>C$11*'Mkt share'!$C$82</f>
        <v>243637.42243143308</v>
      </c>
      <c r="F73" s="80">
        <f>C$14*'Mkt share'!$C$82</f>
        <v>243637.42243143308</v>
      </c>
      <c r="G73" s="88">
        <f>C$17*'Mkt share'!$C$82</f>
        <v>243637.42243143308</v>
      </c>
      <c r="J73" s="87" t="s">
        <v>170</v>
      </c>
      <c r="K73" s="80">
        <f>K$7*'Mkt share'!$C$83</f>
        <v>808123.59424327535</v>
      </c>
      <c r="L73" s="80">
        <f>K$8*'Mkt share'!$C$83</f>
        <v>808123.59424327535</v>
      </c>
      <c r="M73" s="80">
        <f>K$11*'Mkt share'!$C$83</f>
        <v>808123.59424327535</v>
      </c>
      <c r="N73" s="80">
        <f>K$14*'Mkt share'!$C$83</f>
        <v>808123.59424327535</v>
      </c>
      <c r="O73" s="88">
        <f>K$17*'Mkt share'!$C$83</f>
        <v>808123.59424327535</v>
      </c>
      <c r="R73" s="87" t="s">
        <v>170</v>
      </c>
      <c r="S73" s="80">
        <f>S$7*'Mkt share'!$C$84</f>
        <v>0</v>
      </c>
      <c r="T73" s="80">
        <f>S$8*'Mkt share'!$C$84</f>
        <v>0</v>
      </c>
      <c r="U73" s="80">
        <f>S$11*'Mkt share'!$C$84</f>
        <v>0</v>
      </c>
      <c r="V73" s="80">
        <f>S$14*'Mkt share'!$C$84</f>
        <v>0</v>
      </c>
      <c r="W73" s="88">
        <f>S$17*'Mkt share'!$C$84</f>
        <v>0</v>
      </c>
      <c r="Z73" s="87" t="s">
        <v>170</v>
      </c>
      <c r="AA73" s="80">
        <f>AA$7*'Mkt share'!$C$85</f>
        <v>0</v>
      </c>
      <c r="AB73" s="80">
        <f>AA$8*'Mkt share'!$C$85</f>
        <v>0</v>
      </c>
      <c r="AC73" s="80">
        <f>AA$11*'Mkt share'!$C$85</f>
        <v>0</v>
      </c>
      <c r="AD73" s="80">
        <f>AA$14*'Mkt share'!$C$85</f>
        <v>0</v>
      </c>
      <c r="AE73" s="88">
        <f>AA$17*'Mkt share'!$C$85</f>
        <v>0</v>
      </c>
      <c r="AH73" s="87" t="s">
        <v>170</v>
      </c>
      <c r="AI73" s="80">
        <f>AI$7*'Mkt share'!$C$86</f>
        <v>182122.16792852723</v>
      </c>
      <c r="AJ73" s="80">
        <f>AI$8*'Mkt share'!$C$86</f>
        <v>182122.16792852723</v>
      </c>
      <c r="AK73" s="80">
        <f>AI$11*'Mkt share'!$C$86</f>
        <v>182122.16792852723</v>
      </c>
      <c r="AL73" s="80">
        <f>AI$14*'Mkt share'!$C$86</f>
        <v>182122.16792852723</v>
      </c>
      <c r="AM73" s="88">
        <f>AI$17*'Mkt share'!$C$86</f>
        <v>182122.16792852723</v>
      </c>
      <c r="AP73" s="87" t="s">
        <v>170</v>
      </c>
      <c r="AQ73" s="80">
        <f>AQ$7*'Mkt share'!$C$87</f>
        <v>913471.24534888833</v>
      </c>
      <c r="AR73" s="80">
        <f>AQ$8*'Mkt share'!$C$87</f>
        <v>913471.24534888833</v>
      </c>
      <c r="AS73" s="80">
        <f>AQ$11*'Mkt share'!$C$87</f>
        <v>913471.24534888833</v>
      </c>
      <c r="AT73" s="80">
        <f>AQ$14*'Mkt share'!$C$87</f>
        <v>913471.24534888833</v>
      </c>
      <c r="AU73" s="88">
        <f>AQ$17*'Mkt share'!$C$87</f>
        <v>913471.24534888833</v>
      </c>
      <c r="AX73" s="87" t="s">
        <v>170</v>
      </c>
      <c r="AY73" s="80">
        <f>AY$7*'Mkt share'!$C$88</f>
        <v>1005885.5118313929</v>
      </c>
      <c r="AZ73" s="80">
        <f>AY$8*'Mkt share'!$C$88</f>
        <v>1005885.5118313929</v>
      </c>
      <c r="BA73" s="80">
        <f>AY$11*'Mkt share'!$C$88</f>
        <v>1005885.5118313929</v>
      </c>
      <c r="BB73" s="80">
        <f>AY$14*'Mkt share'!$C$88</f>
        <v>1005885.5118313929</v>
      </c>
      <c r="BC73" s="88">
        <f>AY$17*'Mkt share'!$C$88</f>
        <v>1005885.5118313929</v>
      </c>
      <c r="BF73" s="87" t="s">
        <v>170</v>
      </c>
      <c r="BG73" s="80">
        <f>BG$7*'Mkt share'!$C$89</f>
        <v>179724.01727923824</v>
      </c>
      <c r="BH73" s="80">
        <f>BG$8*'Mkt share'!$C$89</f>
        <v>179724.01727923824</v>
      </c>
      <c r="BI73" s="80">
        <f>BG$11*'Mkt share'!$C$89</f>
        <v>179724.01727923824</v>
      </c>
      <c r="BJ73" s="80">
        <f>BG$14*'Mkt share'!$C$89</f>
        <v>179724.01727923824</v>
      </c>
      <c r="BK73" s="88">
        <f>BG$17*'Mkt share'!$C$89</f>
        <v>179724.01727923824</v>
      </c>
      <c r="BN73" s="87" t="s">
        <v>170</v>
      </c>
      <c r="BO73" s="80">
        <f>BO$7*'Mkt share'!$C$90</f>
        <v>1739.9924294741088</v>
      </c>
      <c r="BP73" s="80">
        <f>BO$8*'Mkt share'!$C$90</f>
        <v>1739.9924294741088</v>
      </c>
      <c r="BQ73" s="80">
        <f>BO$11*'Mkt share'!$C$90</f>
        <v>1739.9924294741088</v>
      </c>
      <c r="BR73" s="80">
        <f>BO$14*'Mkt share'!$C$90</f>
        <v>1739.9924294741088</v>
      </c>
      <c r="BS73" s="88">
        <f>BO$17*'Mkt share'!$C$90</f>
        <v>1739.9924294741088</v>
      </c>
      <c r="BV73" s="87" t="s">
        <v>170</v>
      </c>
      <c r="BW73" s="80">
        <f>BW$7*'Mkt share'!$C$91</f>
        <v>1187.9254563115358</v>
      </c>
      <c r="BX73" s="80">
        <f>BW$8*'Mkt share'!$C$91</f>
        <v>1187.9254563115358</v>
      </c>
      <c r="BY73" s="80">
        <f>BW$11*'Mkt share'!$C$91</f>
        <v>1187.9254563115358</v>
      </c>
      <c r="BZ73" s="80">
        <f>BW$14*'Mkt share'!$C$91</f>
        <v>1187.9254563115358</v>
      </c>
      <c r="CA73" s="88">
        <f>BW$17*'Mkt share'!$C$91</f>
        <v>1187.9254563115358</v>
      </c>
      <c r="CD73" s="87" t="s">
        <v>170</v>
      </c>
      <c r="CE73" s="80">
        <f>CE$7*'Mkt share'!$C$92</f>
        <v>257333.25433036484</v>
      </c>
      <c r="CF73" s="80">
        <f>CE$8*'Mkt share'!$C$92</f>
        <v>257333.25433036484</v>
      </c>
      <c r="CG73" s="80">
        <f>CE$11*'Mkt share'!$C$92</f>
        <v>257333.25433036484</v>
      </c>
      <c r="CH73" s="80">
        <f>CE$14*'Mkt share'!$C$92</f>
        <v>257333.25433036484</v>
      </c>
      <c r="CI73" s="88">
        <f>CE$17*'Mkt share'!$C$92</f>
        <v>257333.25433036484</v>
      </c>
      <c r="CL73" s="87" t="s">
        <v>170</v>
      </c>
      <c r="CM73" s="80">
        <f>CM$7*'Mkt share'!$C$93</f>
        <v>5513242.8549347809</v>
      </c>
      <c r="CN73" s="80">
        <f>CM$8*'Mkt share'!$C$93</f>
        <v>5513242.8549347809</v>
      </c>
      <c r="CO73" s="80">
        <f>CM$11*'Mkt share'!$C$93</f>
        <v>5513242.8549347809</v>
      </c>
      <c r="CP73" s="80">
        <f>CM$14*'Mkt share'!$C$93</f>
        <v>5513242.8549347809</v>
      </c>
      <c r="CQ73" s="88">
        <f>CM$17*'Mkt share'!$C$93</f>
        <v>5513242.8549347809</v>
      </c>
      <c r="CT73" s="87" t="s">
        <v>170</v>
      </c>
      <c r="CU73" s="80">
        <f>CU$7*'Mkt share'!$C$94</f>
        <v>1411142.1805333972</v>
      </c>
      <c r="CV73" s="80">
        <f>CU$8*'Mkt share'!$C$94</f>
        <v>1411142.1805333972</v>
      </c>
      <c r="CW73" s="80">
        <f>CU$11*'Mkt share'!$C$94</f>
        <v>1411142.1805333972</v>
      </c>
      <c r="CX73" s="80">
        <f>CU$14*'Mkt share'!$C$94</f>
        <v>1411142.1805333972</v>
      </c>
      <c r="CY73" s="88">
        <f>CU$17*'Mkt share'!$C$94</f>
        <v>1411142.1805333972</v>
      </c>
      <c r="DB73" s="87" t="s">
        <v>170</v>
      </c>
      <c r="DC73" s="80">
        <f>DC$7*'Mkt share'!$C$95</f>
        <v>0</v>
      </c>
      <c r="DD73" s="80">
        <f>DC$8*'Mkt share'!$C$95</f>
        <v>0</v>
      </c>
      <c r="DE73" s="80">
        <f>DC$11*'Mkt share'!$C$95</f>
        <v>0</v>
      </c>
      <c r="DF73" s="80">
        <f>DC$14*'Mkt share'!$C$95</f>
        <v>0</v>
      </c>
      <c r="DG73" s="88">
        <f>DC$17*'Mkt share'!$C$95</f>
        <v>0</v>
      </c>
    </row>
    <row r="74" spans="2:111">
      <c r="B74" s="87" t="s">
        <v>175</v>
      </c>
      <c r="C74" s="105">
        <v>0</v>
      </c>
      <c r="D74" s="80">
        <f>C$10*'Mkt share'!$C$82</f>
        <v>0</v>
      </c>
      <c r="E74" s="80">
        <f>C$13*'Mkt share'!$C$82</f>
        <v>0</v>
      </c>
      <c r="F74" s="80">
        <f>C$16*'Mkt share'!$C$82</f>
        <v>0</v>
      </c>
      <c r="G74" s="88">
        <f>C$19*'Mkt share'!$C$82</f>
        <v>0</v>
      </c>
      <c r="J74" s="87" t="s">
        <v>175</v>
      </c>
      <c r="K74" s="105">
        <v>0</v>
      </c>
      <c r="L74" s="80">
        <f>K$10*'Mkt share'!$C$83</f>
        <v>0</v>
      </c>
      <c r="M74" s="80">
        <f>K$13*'Mkt share'!$C$83</f>
        <v>0</v>
      </c>
      <c r="N74" s="80">
        <f>K$16*'Mkt share'!$C$83</f>
        <v>0</v>
      </c>
      <c r="O74" s="88">
        <f>K$19*'Mkt share'!$C$83</f>
        <v>0</v>
      </c>
      <c r="R74" s="87" t="s">
        <v>175</v>
      </c>
      <c r="S74" s="105">
        <v>0</v>
      </c>
      <c r="T74" s="80">
        <f>S$10*'Mkt share'!$C$84</f>
        <v>0</v>
      </c>
      <c r="U74" s="80">
        <f>S$13*'Mkt share'!$C$84</f>
        <v>0</v>
      </c>
      <c r="V74" s="80">
        <f>S$16*'Mkt share'!$C$84</f>
        <v>0</v>
      </c>
      <c r="W74" s="88">
        <f>S$19*'Mkt share'!$C$84</f>
        <v>0</v>
      </c>
      <c r="Z74" s="87" t="s">
        <v>175</v>
      </c>
      <c r="AA74" s="105">
        <v>0</v>
      </c>
      <c r="AB74" s="80">
        <f>AA$10*'Mkt share'!$C$85</f>
        <v>0</v>
      </c>
      <c r="AC74" s="80">
        <f>AA$13*'Mkt share'!$C$85</f>
        <v>0</v>
      </c>
      <c r="AD74" s="80">
        <f>AA$16*'Mkt share'!$C$85</f>
        <v>0</v>
      </c>
      <c r="AE74" s="88">
        <f>AA$19*'Mkt share'!$C$85</f>
        <v>0</v>
      </c>
      <c r="AH74" s="87" t="s">
        <v>175</v>
      </c>
      <c r="AI74" s="105">
        <v>0</v>
      </c>
      <c r="AJ74" s="80">
        <f>AI$10*'Mkt share'!$C$86</f>
        <v>0</v>
      </c>
      <c r="AK74" s="80">
        <f>AI$13*'Mkt share'!$C$86</f>
        <v>0</v>
      </c>
      <c r="AL74" s="80">
        <f>AI$16*'Mkt share'!$C$86</f>
        <v>0</v>
      </c>
      <c r="AM74" s="88">
        <f>AI$19*'Mkt share'!$C$86</f>
        <v>0</v>
      </c>
      <c r="AP74" s="87" t="s">
        <v>175</v>
      </c>
      <c r="AQ74" s="105">
        <v>0</v>
      </c>
      <c r="AR74" s="80">
        <f>AQ$10*'Mkt share'!$C$87</f>
        <v>0</v>
      </c>
      <c r="AS74" s="80">
        <f>AQ$13*'Mkt share'!$C$87</f>
        <v>0</v>
      </c>
      <c r="AT74" s="80">
        <f>AQ$16*'Mkt share'!$C$87</f>
        <v>0</v>
      </c>
      <c r="AU74" s="88">
        <f>AQ$19*'Mkt share'!$C$87</f>
        <v>0</v>
      </c>
      <c r="AX74" s="87" t="s">
        <v>175</v>
      </c>
      <c r="AY74" s="105">
        <v>0</v>
      </c>
      <c r="AZ74" s="80">
        <f>AY$10*'Mkt share'!$C$88</f>
        <v>0</v>
      </c>
      <c r="BA74" s="80">
        <f>AY$13*'Mkt share'!$C$88</f>
        <v>0</v>
      </c>
      <c r="BB74" s="80">
        <f>AY$16*'Mkt share'!$C$88</f>
        <v>0</v>
      </c>
      <c r="BC74" s="88">
        <f>AY$19*'Mkt share'!$C$88</f>
        <v>0</v>
      </c>
      <c r="BF74" s="87" t="s">
        <v>175</v>
      </c>
      <c r="BG74" s="105">
        <v>0</v>
      </c>
      <c r="BH74" s="80">
        <f>BG$10*'Mkt share'!$C$89</f>
        <v>0</v>
      </c>
      <c r="BI74" s="80">
        <f>BG$13*'Mkt share'!$C$89</f>
        <v>0</v>
      </c>
      <c r="BJ74" s="80">
        <f>BG$16*'Mkt share'!$C$89</f>
        <v>0</v>
      </c>
      <c r="BK74" s="88">
        <f>BG$19*'Mkt share'!$C$89</f>
        <v>0</v>
      </c>
      <c r="BN74" s="87" t="s">
        <v>175</v>
      </c>
      <c r="BO74" s="105">
        <v>0</v>
      </c>
      <c r="BP74" s="80">
        <f>BO$10*'Mkt share'!$C$90</f>
        <v>0</v>
      </c>
      <c r="BQ74" s="80">
        <f>BO$13*'Mkt share'!$C$90</f>
        <v>0</v>
      </c>
      <c r="BR74" s="80">
        <f>BO$16*'Mkt share'!$C$90</f>
        <v>0</v>
      </c>
      <c r="BS74" s="88">
        <f>BO$19*'Mkt share'!$C$90</f>
        <v>0</v>
      </c>
      <c r="BV74" s="87" t="s">
        <v>175</v>
      </c>
      <c r="BW74" s="105">
        <v>0</v>
      </c>
      <c r="BX74" s="80">
        <f>BW$10*'Mkt share'!$C$91</f>
        <v>0</v>
      </c>
      <c r="BY74" s="80">
        <f>BW$13*'Mkt share'!$C$91</f>
        <v>0</v>
      </c>
      <c r="BZ74" s="80">
        <f>BW$16*'Mkt share'!$C$91</f>
        <v>0</v>
      </c>
      <c r="CA74" s="88">
        <f>BW$19*'Mkt share'!$C$91</f>
        <v>0</v>
      </c>
      <c r="CD74" s="87" t="s">
        <v>175</v>
      </c>
      <c r="CE74" s="105">
        <v>0</v>
      </c>
      <c r="CF74" s="80">
        <f>CE$10*'Mkt share'!$C$92</f>
        <v>0</v>
      </c>
      <c r="CG74" s="80">
        <f>CE$13*'Mkt share'!$C$92</f>
        <v>0</v>
      </c>
      <c r="CH74" s="80">
        <f>CE$16*'Mkt share'!$C$92</f>
        <v>0</v>
      </c>
      <c r="CI74" s="88">
        <f>CE$19*'Mkt share'!$C$92</f>
        <v>0</v>
      </c>
      <c r="CL74" s="87" t="s">
        <v>175</v>
      </c>
      <c r="CM74" s="105">
        <v>0</v>
      </c>
      <c r="CN74" s="80">
        <f>CM$10*'Mkt share'!$C$93</f>
        <v>0</v>
      </c>
      <c r="CO74" s="80">
        <f>CM$13*'Mkt share'!$C$93</f>
        <v>0</v>
      </c>
      <c r="CP74" s="80">
        <f>CM$16*'Mkt share'!$C$93</f>
        <v>0</v>
      </c>
      <c r="CQ74" s="88">
        <f>CM$19*'Mkt share'!$C$93</f>
        <v>0</v>
      </c>
      <c r="CT74" s="87" t="s">
        <v>175</v>
      </c>
      <c r="CU74" s="105">
        <v>0</v>
      </c>
      <c r="CV74" s="80">
        <f>CU$10*'Mkt share'!$C$94</f>
        <v>0</v>
      </c>
      <c r="CW74" s="80">
        <f>CU$13*'Mkt share'!$C$94</f>
        <v>0</v>
      </c>
      <c r="CX74" s="80">
        <f>CU$16*'Mkt share'!$C$94</f>
        <v>0</v>
      </c>
      <c r="CY74" s="88">
        <f>CU$19*'Mkt share'!$C$94</f>
        <v>0</v>
      </c>
      <c r="DB74" s="87" t="s">
        <v>175</v>
      </c>
      <c r="DC74" s="105">
        <v>0</v>
      </c>
      <c r="DD74" s="80">
        <f>DC$10*'Mkt share'!$C$95</f>
        <v>0</v>
      </c>
      <c r="DE74" s="80">
        <f>DC$13*'Mkt share'!$C$95</f>
        <v>0</v>
      </c>
      <c r="DF74" s="80">
        <f>DC$16*'Mkt share'!$C$95</f>
        <v>0</v>
      </c>
      <c r="DG74" s="88">
        <f>DC$19*'Mkt share'!$C$95</f>
        <v>0</v>
      </c>
    </row>
    <row r="75" spans="2:111">
      <c r="B75" s="87" t="s">
        <v>171</v>
      </c>
      <c r="C75" s="103"/>
      <c r="D75" s="80">
        <f>D$7*'Mkt share'!$D$82</f>
        <v>3996.6285079741647</v>
      </c>
      <c r="E75" s="80">
        <f>D$8*'Mkt share'!$D$82</f>
        <v>3996.6285079741647</v>
      </c>
      <c r="F75" s="80">
        <f>D$11*'Mkt share'!$D$82</f>
        <v>3996.6285079741647</v>
      </c>
      <c r="G75" s="88">
        <f>D$14*'Mkt share'!$D$82</f>
        <v>3996.6285079741647</v>
      </c>
      <c r="J75" s="87" t="s">
        <v>171</v>
      </c>
      <c r="K75" s="103"/>
      <c r="L75" s="80">
        <f>L$7*'Mkt share'!$D$83</f>
        <v>13256.460204212575</v>
      </c>
      <c r="M75" s="80">
        <f>L$8*'Mkt share'!$D$83</f>
        <v>13256.460204212575</v>
      </c>
      <c r="N75" s="80">
        <f>L$11*'Mkt share'!$D$83</f>
        <v>13256.460204212575</v>
      </c>
      <c r="O75" s="88">
        <f>L$14*'Mkt share'!$D$83</f>
        <v>13256.460204212575</v>
      </c>
      <c r="R75" s="87" t="s">
        <v>171</v>
      </c>
      <c r="S75" s="103"/>
      <c r="T75" s="80">
        <f>T$7*'Mkt share'!$D$84</f>
        <v>0</v>
      </c>
      <c r="U75" s="80">
        <f>T$8*'Mkt share'!$D$84</f>
        <v>0</v>
      </c>
      <c r="V75" s="80">
        <f>T$11*'Mkt share'!$D$84</f>
        <v>0</v>
      </c>
      <c r="W75" s="88">
        <f>T$14*'Mkt share'!$D$84</f>
        <v>0</v>
      </c>
      <c r="Z75" s="87" t="s">
        <v>171</v>
      </c>
      <c r="AA75" s="103"/>
      <c r="AB75" s="80">
        <f>AB$7*'Mkt share'!$D$85</f>
        <v>0</v>
      </c>
      <c r="AC75" s="80">
        <f>AB$8*'Mkt share'!$D$85</f>
        <v>0</v>
      </c>
      <c r="AD75" s="80">
        <f>AB$11*'Mkt share'!$D$85</f>
        <v>0</v>
      </c>
      <c r="AE75" s="88">
        <f>AB$14*'Mkt share'!$D$85</f>
        <v>0</v>
      </c>
      <c r="AH75" s="87" t="s">
        <v>171</v>
      </c>
      <c r="AI75" s="103"/>
      <c r="AJ75" s="80">
        <f>AJ$7*'Mkt share'!$D$86</f>
        <v>1327.792095525894</v>
      </c>
      <c r="AK75" s="80">
        <f>AJ$8*'Mkt share'!$D$86</f>
        <v>1327.792095525894</v>
      </c>
      <c r="AL75" s="80">
        <f>AJ$11*'Mkt share'!$D$86</f>
        <v>1327.792095525894</v>
      </c>
      <c r="AM75" s="88">
        <f>AJ$14*'Mkt share'!$D$86</f>
        <v>1327.792095525894</v>
      </c>
      <c r="AP75" s="87" t="s">
        <v>171</v>
      </c>
      <c r="AQ75" s="103"/>
      <c r="AR75" s="80">
        <f>AR$7*'Mkt share'!$D$87</f>
        <v>6659.814743367453</v>
      </c>
      <c r="AS75" s="80">
        <f>AR$8*'Mkt share'!$D$87</f>
        <v>6659.814743367453</v>
      </c>
      <c r="AT75" s="80">
        <f>AR$11*'Mkt share'!$D$87</f>
        <v>6659.814743367453</v>
      </c>
      <c r="AU75" s="88">
        <f>AR$14*'Mkt share'!$D$87</f>
        <v>6659.814743367453</v>
      </c>
      <c r="AX75" s="87" t="s">
        <v>171</v>
      </c>
      <c r="AY75" s="103"/>
      <c r="AZ75" s="80">
        <f>AZ$7*'Mkt share'!$D$88</f>
        <v>7333.5763943788152</v>
      </c>
      <c r="BA75" s="80">
        <f>AZ$8*'Mkt share'!$D$88</f>
        <v>7333.5763943788152</v>
      </c>
      <c r="BB75" s="80">
        <f>AZ$11*'Mkt share'!$D$88</f>
        <v>7333.5763943788152</v>
      </c>
      <c r="BC75" s="88">
        <f>AZ$14*'Mkt share'!$D$88</f>
        <v>7333.5763943788152</v>
      </c>
      <c r="BF75" s="87" t="s">
        <v>171</v>
      </c>
      <c r="BG75" s="103"/>
      <c r="BH75" s="80">
        <f>BH$7*'Mkt share'!$D$89</f>
        <v>1310.307977517504</v>
      </c>
      <c r="BI75" s="80">
        <f>BH$8*'Mkt share'!$D$89</f>
        <v>1310.307977517504</v>
      </c>
      <c r="BJ75" s="80">
        <f>BH$11*'Mkt share'!$D$89</f>
        <v>1310.307977517504</v>
      </c>
      <c r="BK75" s="88">
        <f>BH$14*'Mkt share'!$D$89</f>
        <v>1310.307977517504</v>
      </c>
      <c r="BN75" s="87" t="s">
        <v>171</v>
      </c>
      <c r="BO75" s="103"/>
      <c r="BP75" s="80">
        <f>BP$7*'Mkt share'!$D$90</f>
        <v>14.271418729305724</v>
      </c>
      <c r="BQ75" s="80">
        <f>BP$8*'Mkt share'!$D$90</f>
        <v>14.271418729305724</v>
      </c>
      <c r="BR75" s="80">
        <f>BP$11*'Mkt share'!$D$90</f>
        <v>14.271418729305724</v>
      </c>
      <c r="BS75" s="88">
        <f>BP$14*'Mkt share'!$D$90</f>
        <v>14.271418729305724</v>
      </c>
      <c r="BV75" s="87" t="s">
        <v>171</v>
      </c>
      <c r="BW75" s="103"/>
      <c r="BX75" s="80">
        <f>BX$7*'Mkt share'!$D$91</f>
        <v>8.6607690261157959</v>
      </c>
      <c r="BY75" s="80">
        <f>BX$8*'Mkt share'!$D$91</f>
        <v>8.6607690261157959</v>
      </c>
      <c r="BZ75" s="80">
        <f>BX$11*'Mkt share'!$D$91</f>
        <v>8.6607690261157959</v>
      </c>
      <c r="CA75" s="88">
        <f>BX$14*'Mkt share'!$D$91</f>
        <v>8.6607690261157959</v>
      </c>
      <c r="CD75" s="87" t="s">
        <v>171</v>
      </c>
      <c r="CE75" s="103"/>
      <c r="CF75" s="80">
        <f>CF$7*'Mkt share'!$D$92</f>
        <v>1876.1310877317546</v>
      </c>
      <c r="CG75" s="80">
        <f>CF$8*'Mkt share'!$D$92</f>
        <v>1876.1310877317546</v>
      </c>
      <c r="CH75" s="80">
        <f>CF$11*'Mkt share'!$D$92</f>
        <v>1876.1310877317546</v>
      </c>
      <c r="CI75" s="88">
        <f>CF$14*'Mkt share'!$D$92</f>
        <v>1876.1310877317546</v>
      </c>
      <c r="CL75" s="87" t="s">
        <v>171</v>
      </c>
      <c r="CM75" s="103"/>
      <c r="CN75" s="80">
        <f>CN$7*'Mkt share'!$D$93</f>
        <v>40195.218224998716</v>
      </c>
      <c r="CO75" s="80">
        <f>CN$8*'Mkt share'!$D$93</f>
        <v>40195.218224998716</v>
      </c>
      <c r="CP75" s="80">
        <f>CN$11*'Mkt share'!$D$93</f>
        <v>40195.218224998716</v>
      </c>
      <c r="CQ75" s="88">
        <f>CN$14*'Mkt share'!$D$93</f>
        <v>40195.218224998716</v>
      </c>
      <c r="CT75" s="87" t="s">
        <v>171</v>
      </c>
      <c r="CU75" s="103"/>
      <c r="CV75" s="80">
        <f>CV$7*'Mkt share'!$D$94</f>
        <v>10286.582137471391</v>
      </c>
      <c r="CW75" s="80">
        <f>CV$8*'Mkt share'!$D$94</f>
        <v>10286.582137471391</v>
      </c>
      <c r="CX75" s="80">
        <f>CV$11*'Mkt share'!$D$94</f>
        <v>10286.582137471391</v>
      </c>
      <c r="CY75" s="88">
        <f>CV$14*'Mkt share'!$D$94</f>
        <v>10286.582137471391</v>
      </c>
      <c r="DB75" s="87" t="s">
        <v>171</v>
      </c>
      <c r="DC75" s="103"/>
      <c r="DD75" s="80">
        <f>DD$7*'Mkt share'!$D$95</f>
        <v>0</v>
      </c>
      <c r="DE75" s="80">
        <f>DD$8*'Mkt share'!$D$95</f>
        <v>0</v>
      </c>
      <c r="DF75" s="80">
        <f>DD$11*'Mkt share'!$D$95</f>
        <v>0</v>
      </c>
      <c r="DG75" s="88">
        <f>DD$14*'Mkt share'!$D$95</f>
        <v>0</v>
      </c>
    </row>
    <row r="76" spans="2:111">
      <c r="B76" s="87" t="s">
        <v>176</v>
      </c>
      <c r="C76" s="103"/>
      <c r="D76" s="105">
        <v>0</v>
      </c>
      <c r="E76" s="80">
        <f>D$10*'Mkt share'!$D$82</f>
        <v>0</v>
      </c>
      <c r="F76" s="80">
        <f>D$13*'Mkt share'!$D$82</f>
        <v>0</v>
      </c>
      <c r="G76" s="88">
        <f>D$16*'Mkt share'!$D$82</f>
        <v>0</v>
      </c>
      <c r="J76" s="87" t="s">
        <v>176</v>
      </c>
      <c r="K76" s="103"/>
      <c r="L76" s="105">
        <v>0</v>
      </c>
      <c r="M76" s="80">
        <f>L$10*'Mkt share'!$D$83</f>
        <v>0</v>
      </c>
      <c r="N76" s="80">
        <f>L$13*'Mkt share'!$D$83</f>
        <v>0</v>
      </c>
      <c r="O76" s="88">
        <f>L$16*'Mkt share'!$D$83</f>
        <v>0</v>
      </c>
      <c r="R76" s="87" t="s">
        <v>176</v>
      </c>
      <c r="S76" s="103"/>
      <c r="T76" s="105">
        <v>0</v>
      </c>
      <c r="U76" s="80">
        <f>T$10*'Mkt share'!$D$84</f>
        <v>0</v>
      </c>
      <c r="V76" s="80">
        <f>T$13*'Mkt share'!$D$84</f>
        <v>0</v>
      </c>
      <c r="W76" s="88">
        <f>T$16*'Mkt share'!$D$84</f>
        <v>0</v>
      </c>
      <c r="Z76" s="87" t="s">
        <v>176</v>
      </c>
      <c r="AA76" s="103"/>
      <c r="AB76" s="105">
        <v>0</v>
      </c>
      <c r="AC76" s="80">
        <f>AB$10*'Mkt share'!$D$85</f>
        <v>0</v>
      </c>
      <c r="AD76" s="80">
        <f>AB$13*'Mkt share'!$D$85</f>
        <v>0</v>
      </c>
      <c r="AE76" s="88">
        <f>AB$16*'Mkt share'!$D$85</f>
        <v>0</v>
      </c>
      <c r="AH76" s="87" t="s">
        <v>176</v>
      </c>
      <c r="AI76" s="103"/>
      <c r="AJ76" s="105">
        <v>0</v>
      </c>
      <c r="AK76" s="80">
        <f>AJ$10*'Mkt share'!$D$86</f>
        <v>0</v>
      </c>
      <c r="AL76" s="80">
        <f>AJ$13*'Mkt share'!$D$86</f>
        <v>0</v>
      </c>
      <c r="AM76" s="88">
        <f>AJ$16*'Mkt share'!$D$86</f>
        <v>0</v>
      </c>
      <c r="AP76" s="87" t="s">
        <v>176</v>
      </c>
      <c r="AQ76" s="103"/>
      <c r="AR76" s="105">
        <v>0</v>
      </c>
      <c r="AS76" s="80">
        <f>AR$10*'Mkt share'!$D$87</f>
        <v>0</v>
      </c>
      <c r="AT76" s="80">
        <f>AR$13*'Mkt share'!$D$87</f>
        <v>0</v>
      </c>
      <c r="AU76" s="88">
        <f>AR$16*'Mkt share'!$D$87</f>
        <v>0</v>
      </c>
      <c r="AX76" s="87" t="s">
        <v>176</v>
      </c>
      <c r="AY76" s="103"/>
      <c r="AZ76" s="105">
        <v>0</v>
      </c>
      <c r="BA76" s="80">
        <f>AZ$10*'Mkt share'!$D$88</f>
        <v>0</v>
      </c>
      <c r="BB76" s="80">
        <f>AZ$13*'Mkt share'!$D$88</f>
        <v>0</v>
      </c>
      <c r="BC76" s="88">
        <f>AZ$16*'Mkt share'!$D$88</f>
        <v>0</v>
      </c>
      <c r="BF76" s="87" t="s">
        <v>176</v>
      </c>
      <c r="BG76" s="103"/>
      <c r="BH76" s="105">
        <v>0</v>
      </c>
      <c r="BI76" s="80">
        <f>BH$10*'Mkt share'!$D$89</f>
        <v>0</v>
      </c>
      <c r="BJ76" s="80">
        <f>BH$13*'Mkt share'!$D$89</f>
        <v>0</v>
      </c>
      <c r="BK76" s="88">
        <f>BH$16*'Mkt share'!$D$89</f>
        <v>0</v>
      </c>
      <c r="BN76" s="87" t="s">
        <v>176</v>
      </c>
      <c r="BO76" s="103"/>
      <c r="BP76" s="105">
        <v>0</v>
      </c>
      <c r="BQ76" s="80">
        <f>BP$10*'Mkt share'!$D$90</f>
        <v>0</v>
      </c>
      <c r="BR76" s="80">
        <f>BP$13*'Mkt share'!$D$90</f>
        <v>0</v>
      </c>
      <c r="BS76" s="88">
        <f>BP$16*'Mkt share'!$D$90</f>
        <v>0</v>
      </c>
      <c r="BV76" s="87" t="s">
        <v>176</v>
      </c>
      <c r="BW76" s="103"/>
      <c r="BX76" s="105">
        <v>0</v>
      </c>
      <c r="BY76" s="80">
        <f>BX$10*'Mkt share'!$D$91</f>
        <v>0</v>
      </c>
      <c r="BZ76" s="80">
        <f>BX$13*'Mkt share'!$D$91</f>
        <v>0</v>
      </c>
      <c r="CA76" s="88">
        <f>BX$16*'Mkt share'!$D$91</f>
        <v>0</v>
      </c>
      <c r="CD76" s="87" t="s">
        <v>176</v>
      </c>
      <c r="CE76" s="103"/>
      <c r="CF76" s="105">
        <v>0</v>
      </c>
      <c r="CG76" s="80">
        <f>CF$10*'Mkt share'!$D$92</f>
        <v>0</v>
      </c>
      <c r="CH76" s="80">
        <f>CF$13*'Mkt share'!$D$92</f>
        <v>0</v>
      </c>
      <c r="CI76" s="88">
        <f>CF$16*'Mkt share'!$D$92</f>
        <v>0</v>
      </c>
      <c r="CL76" s="87" t="s">
        <v>176</v>
      </c>
      <c r="CM76" s="103"/>
      <c r="CN76" s="105">
        <v>0</v>
      </c>
      <c r="CO76" s="80">
        <f>CN$10*'Mkt share'!$D$93</f>
        <v>0</v>
      </c>
      <c r="CP76" s="80">
        <f>CN$13*'Mkt share'!$D$93</f>
        <v>0</v>
      </c>
      <c r="CQ76" s="88">
        <f>CN$16*'Mkt share'!$D$93</f>
        <v>0</v>
      </c>
      <c r="CT76" s="87" t="s">
        <v>176</v>
      </c>
      <c r="CU76" s="103"/>
      <c r="CV76" s="105">
        <v>0</v>
      </c>
      <c r="CW76" s="80">
        <f>CV$10*'Mkt share'!$D$94</f>
        <v>0</v>
      </c>
      <c r="CX76" s="80">
        <f>CV$13*'Mkt share'!$D$94</f>
        <v>0</v>
      </c>
      <c r="CY76" s="88">
        <f>CV$16*'Mkt share'!$D$94</f>
        <v>0</v>
      </c>
      <c r="DB76" s="87" t="s">
        <v>176</v>
      </c>
      <c r="DC76" s="103"/>
      <c r="DD76" s="105">
        <v>0</v>
      </c>
      <c r="DE76" s="80">
        <f>DD$10*'Mkt share'!$D$95</f>
        <v>0</v>
      </c>
      <c r="DF76" s="80">
        <f>DD$13*'Mkt share'!$D$95</f>
        <v>0</v>
      </c>
      <c r="DG76" s="88">
        <f>DD$16*'Mkt share'!$D$95</f>
        <v>0</v>
      </c>
    </row>
    <row r="77" spans="2:111">
      <c r="B77" s="87" t="s">
        <v>172</v>
      </c>
      <c r="C77" s="103"/>
      <c r="D77" s="103"/>
      <c r="E77" s="80">
        <f>E$7*'Mkt share'!$E$82</f>
        <v>5743.7459052336371</v>
      </c>
      <c r="F77" s="80">
        <f>E$8*'Mkt share'!$E$82</f>
        <v>5743.7459052336371</v>
      </c>
      <c r="G77" s="88">
        <f>E$11*'Mkt share'!$E$82</f>
        <v>5743.7459052336371</v>
      </c>
      <c r="J77" s="87" t="s">
        <v>172</v>
      </c>
      <c r="K77" s="103"/>
      <c r="L77" s="103"/>
      <c r="M77" s="80">
        <f>M$7*'Mkt share'!$E$83</f>
        <v>19051.492742925417</v>
      </c>
      <c r="N77" s="80">
        <f>M$8*'Mkt share'!$E$83</f>
        <v>19051.492742925417</v>
      </c>
      <c r="O77" s="88">
        <f>M$11*'Mkt share'!$E$83</f>
        <v>19051.492742925417</v>
      </c>
      <c r="R77" s="87" t="s">
        <v>172</v>
      </c>
      <c r="S77" s="103"/>
      <c r="T77" s="103"/>
      <c r="U77" s="80">
        <f>U$7*'Mkt share'!$E$84</f>
        <v>0</v>
      </c>
      <c r="V77" s="80">
        <f>U$8*'Mkt share'!$E$84</f>
        <v>0</v>
      </c>
      <c r="W77" s="88">
        <f>U$11*'Mkt share'!$E$84</f>
        <v>0</v>
      </c>
      <c r="Z77" s="87" t="s">
        <v>172</v>
      </c>
      <c r="AA77" s="103"/>
      <c r="AB77" s="103"/>
      <c r="AC77" s="80">
        <f>AC$7*'Mkt share'!$E$85</f>
        <v>0</v>
      </c>
      <c r="AD77" s="80">
        <f>AC$8*'Mkt share'!$E$85</f>
        <v>0</v>
      </c>
      <c r="AE77" s="88">
        <f>AC$11*'Mkt share'!$E$85</f>
        <v>0</v>
      </c>
      <c r="AH77" s="87" t="s">
        <v>172</v>
      </c>
      <c r="AI77" s="103"/>
      <c r="AJ77" s="103"/>
      <c r="AK77" s="80">
        <f>AK$7*'Mkt share'!$E$86</f>
        <v>1113.1362091663245</v>
      </c>
      <c r="AL77" s="80">
        <f>AK$8*'Mkt share'!$E$86</f>
        <v>1113.1362091663245</v>
      </c>
      <c r="AM77" s="88">
        <f>AK$11*'Mkt share'!$E$86</f>
        <v>1113.1362091663245</v>
      </c>
      <c r="AP77" s="87" t="s">
        <v>172</v>
      </c>
      <c r="AQ77" s="103"/>
      <c r="AR77" s="103"/>
      <c r="AS77" s="80">
        <f>AS$7*'Mkt share'!$E$87</f>
        <v>5583.1639321861549</v>
      </c>
      <c r="AT77" s="80">
        <f>AS$8*'Mkt share'!$E$87</f>
        <v>5583.1639321861549</v>
      </c>
      <c r="AU77" s="88">
        <f>AS$11*'Mkt share'!$E$87</f>
        <v>5583.1639321861549</v>
      </c>
      <c r="AX77" s="87" t="s">
        <v>172</v>
      </c>
      <c r="AY77" s="103"/>
      <c r="AZ77" s="103"/>
      <c r="BA77" s="80">
        <f>BA$7*'Mkt share'!$E$88</f>
        <v>6148.0027293258427</v>
      </c>
      <c r="BB77" s="80">
        <f>BA$8*'Mkt share'!$E$88</f>
        <v>6148.0027293258427</v>
      </c>
      <c r="BC77" s="88">
        <f>BA$11*'Mkt share'!$E$88</f>
        <v>6148.0027293258427</v>
      </c>
      <c r="BF77" s="87" t="s">
        <v>172</v>
      </c>
      <c r="BG77" s="103"/>
      <c r="BH77" s="103"/>
      <c r="BI77" s="80">
        <f>BI$7*'Mkt share'!$E$89</f>
        <v>1098.4786397275129</v>
      </c>
      <c r="BJ77" s="80">
        <f>BI$8*'Mkt share'!$E$89</f>
        <v>1098.4786397275129</v>
      </c>
      <c r="BK77" s="88">
        <f>BI$11*'Mkt share'!$E$89</f>
        <v>1098.4786397275129</v>
      </c>
      <c r="BN77" s="87" t="s">
        <v>172</v>
      </c>
      <c r="BO77" s="103"/>
      <c r="BP77" s="103"/>
      <c r="BQ77" s="80">
        <f>BQ$7*'Mkt share'!$E$90</f>
        <v>13.673425442598793</v>
      </c>
      <c r="BR77" s="80">
        <f>BQ$8*'Mkt share'!$E$90</f>
        <v>13.673425442598793</v>
      </c>
      <c r="BS77" s="88">
        <f>BQ$11*'Mkt share'!$E$90</f>
        <v>13.673425442598793</v>
      </c>
      <c r="BV77" s="87" t="s">
        <v>172</v>
      </c>
      <c r="BW77" s="103"/>
      <c r="BX77" s="103"/>
      <c r="BY77" s="80">
        <f>BY$7*'Mkt share'!$E$91</f>
        <v>7.2606363862840535</v>
      </c>
      <c r="BZ77" s="80">
        <f>BY$8*'Mkt share'!$E$91</f>
        <v>7.2606363862840535</v>
      </c>
      <c r="CA77" s="88">
        <f>BY$11*'Mkt share'!$E$91</f>
        <v>7.2606363862840535</v>
      </c>
      <c r="CD77" s="87" t="s">
        <v>172</v>
      </c>
      <c r="CE77" s="103"/>
      <c r="CF77" s="103"/>
      <c r="CG77" s="80">
        <f>CG$7*'Mkt share'!$E$92</f>
        <v>1572.8286483507625</v>
      </c>
      <c r="CH77" s="80">
        <f>CG$8*'Mkt share'!$E$92</f>
        <v>1572.8286483507625</v>
      </c>
      <c r="CI77" s="88">
        <f>CG$11*'Mkt share'!$E$92</f>
        <v>1572.8286483507625</v>
      </c>
      <c r="CL77" s="87" t="s">
        <v>172</v>
      </c>
      <c r="CM77" s="103"/>
      <c r="CN77" s="103"/>
      <c r="CO77" s="80">
        <f>CO$7*'Mkt share'!$E$93</f>
        <v>33697.10739531638</v>
      </c>
      <c r="CP77" s="80">
        <f>CO$8*'Mkt share'!$E$93</f>
        <v>33697.10739531638</v>
      </c>
      <c r="CQ77" s="88">
        <f>CO$11*'Mkt share'!$E$93</f>
        <v>33697.10739531638</v>
      </c>
      <c r="CT77" s="87" t="s">
        <v>172</v>
      </c>
      <c r="CU77" s="103"/>
      <c r="CV77" s="103"/>
      <c r="CW77" s="80">
        <f>CW$7*'Mkt share'!$E$94</f>
        <v>8621.9052298026145</v>
      </c>
      <c r="CX77" s="80">
        <f>CW$8*'Mkt share'!$E$94</f>
        <v>8621.9052298026145</v>
      </c>
      <c r="CY77" s="88">
        <f>CW$11*'Mkt share'!$E$94</f>
        <v>8621.9052298026145</v>
      </c>
      <c r="DB77" s="87" t="s">
        <v>172</v>
      </c>
      <c r="DC77" s="103"/>
      <c r="DD77" s="103"/>
      <c r="DE77" s="80">
        <f>DE$7*'Mkt share'!$E$95</f>
        <v>0</v>
      </c>
      <c r="DF77" s="80">
        <f>DE$8*'Mkt share'!$E$95</f>
        <v>0</v>
      </c>
      <c r="DG77" s="88">
        <f>DE$11*'Mkt share'!$E$95</f>
        <v>0</v>
      </c>
    </row>
    <row r="78" spans="2:111">
      <c r="B78" s="87" t="s">
        <v>177</v>
      </c>
      <c r="C78" s="103"/>
      <c r="D78" s="103"/>
      <c r="E78" s="105">
        <v>0</v>
      </c>
      <c r="F78" s="80">
        <f>E$10*'Mkt share'!$E$82</f>
        <v>0</v>
      </c>
      <c r="G78" s="88">
        <f>E$13*'Mkt share'!$E$82</f>
        <v>0</v>
      </c>
      <c r="J78" s="87" t="s">
        <v>177</v>
      </c>
      <c r="K78" s="103"/>
      <c r="L78" s="103"/>
      <c r="M78" s="105">
        <v>0</v>
      </c>
      <c r="N78" s="80">
        <f>M$10*'Mkt share'!$E$83</f>
        <v>0</v>
      </c>
      <c r="O78" s="88">
        <f>M$13*'Mkt share'!$E$83</f>
        <v>0</v>
      </c>
      <c r="R78" s="87" t="s">
        <v>177</v>
      </c>
      <c r="S78" s="103"/>
      <c r="T78" s="103"/>
      <c r="U78" s="105">
        <v>0</v>
      </c>
      <c r="V78" s="80">
        <f>U$10*'Mkt share'!$E$84</f>
        <v>0</v>
      </c>
      <c r="W78" s="88">
        <f>U$13*'Mkt share'!$E$84</f>
        <v>0</v>
      </c>
      <c r="Z78" s="87" t="s">
        <v>177</v>
      </c>
      <c r="AA78" s="103"/>
      <c r="AB78" s="103"/>
      <c r="AC78" s="105">
        <v>0</v>
      </c>
      <c r="AD78" s="80">
        <f>AC$10*'Mkt share'!$E$85</f>
        <v>0</v>
      </c>
      <c r="AE78" s="88">
        <f>AC$13*'Mkt share'!$E$85</f>
        <v>0</v>
      </c>
      <c r="AH78" s="87" t="s">
        <v>177</v>
      </c>
      <c r="AI78" s="103"/>
      <c r="AJ78" s="103"/>
      <c r="AK78" s="105">
        <v>0</v>
      </c>
      <c r="AL78" s="80">
        <f>AK$10*'Mkt share'!$E$86</f>
        <v>0</v>
      </c>
      <c r="AM78" s="88">
        <f>AK$13*'Mkt share'!$E$86</f>
        <v>0</v>
      </c>
      <c r="AP78" s="87" t="s">
        <v>177</v>
      </c>
      <c r="AQ78" s="103"/>
      <c r="AR78" s="103"/>
      <c r="AS78" s="105">
        <v>0</v>
      </c>
      <c r="AT78" s="80">
        <f>AS$10*'Mkt share'!$E$87</f>
        <v>0</v>
      </c>
      <c r="AU78" s="88">
        <f>AS$13*'Mkt share'!$E$87</f>
        <v>0</v>
      </c>
      <c r="AX78" s="87" t="s">
        <v>177</v>
      </c>
      <c r="AY78" s="103"/>
      <c r="AZ78" s="103"/>
      <c r="BA78" s="105">
        <v>0</v>
      </c>
      <c r="BB78" s="80">
        <f>BA$10*'Mkt share'!$E$88</f>
        <v>0</v>
      </c>
      <c r="BC78" s="88">
        <f>BA$13*'Mkt share'!$E$88</f>
        <v>0</v>
      </c>
      <c r="BF78" s="87" t="s">
        <v>177</v>
      </c>
      <c r="BG78" s="103"/>
      <c r="BH78" s="103"/>
      <c r="BI78" s="105">
        <v>0</v>
      </c>
      <c r="BJ78" s="80">
        <f>BI$10*'Mkt share'!$E$89</f>
        <v>0</v>
      </c>
      <c r="BK78" s="88">
        <f>BI$13*'Mkt share'!$E$89</f>
        <v>0</v>
      </c>
      <c r="BN78" s="87" t="s">
        <v>177</v>
      </c>
      <c r="BO78" s="103"/>
      <c r="BP78" s="103"/>
      <c r="BQ78" s="105">
        <v>0</v>
      </c>
      <c r="BR78" s="80">
        <f>BQ$10*'Mkt share'!$E$90</f>
        <v>0</v>
      </c>
      <c r="BS78" s="88">
        <f>BQ$13*'Mkt share'!$E$90</f>
        <v>0</v>
      </c>
      <c r="BV78" s="87" t="s">
        <v>177</v>
      </c>
      <c r="BW78" s="103"/>
      <c r="BX78" s="103"/>
      <c r="BY78" s="105">
        <v>0</v>
      </c>
      <c r="BZ78" s="80">
        <f>BY$10*'Mkt share'!$E$91</f>
        <v>0</v>
      </c>
      <c r="CA78" s="88">
        <f>BY$13*'Mkt share'!$E$91</f>
        <v>0</v>
      </c>
      <c r="CD78" s="87" t="s">
        <v>177</v>
      </c>
      <c r="CE78" s="103"/>
      <c r="CF78" s="103"/>
      <c r="CG78" s="105">
        <v>0</v>
      </c>
      <c r="CH78" s="80">
        <f>CG$10*'Mkt share'!$E$92</f>
        <v>0</v>
      </c>
      <c r="CI78" s="88">
        <f>CG$13*'Mkt share'!$E$92</f>
        <v>0</v>
      </c>
      <c r="CL78" s="87" t="s">
        <v>177</v>
      </c>
      <c r="CM78" s="103"/>
      <c r="CN78" s="103"/>
      <c r="CO78" s="105">
        <v>0</v>
      </c>
      <c r="CP78" s="80">
        <f>CO$10*'Mkt share'!$E$93</f>
        <v>0</v>
      </c>
      <c r="CQ78" s="88">
        <f>CO$13*'Mkt share'!$E$93</f>
        <v>0</v>
      </c>
      <c r="CT78" s="87" t="s">
        <v>177</v>
      </c>
      <c r="CU78" s="103"/>
      <c r="CV78" s="103"/>
      <c r="CW78" s="105">
        <v>0</v>
      </c>
      <c r="CX78" s="80">
        <f>CW$10*'Mkt share'!$E$94</f>
        <v>0</v>
      </c>
      <c r="CY78" s="88">
        <f>CW$13*'Mkt share'!$E$94</f>
        <v>0</v>
      </c>
      <c r="DB78" s="87" t="s">
        <v>177</v>
      </c>
      <c r="DC78" s="103"/>
      <c r="DD78" s="103"/>
      <c r="DE78" s="105">
        <v>0</v>
      </c>
      <c r="DF78" s="80">
        <f>DE$10*'Mkt share'!$E$95</f>
        <v>0</v>
      </c>
      <c r="DG78" s="88">
        <f>DE$13*'Mkt share'!$E$95</f>
        <v>0</v>
      </c>
    </row>
    <row r="79" spans="2:111">
      <c r="B79" s="87" t="s">
        <v>173</v>
      </c>
      <c r="C79" s="103"/>
      <c r="D79" s="103"/>
      <c r="E79" s="103"/>
      <c r="F79" s="80">
        <f>F$7*'Mkt share'!$F$82</f>
        <v>7676.5261644446728</v>
      </c>
      <c r="G79" s="88">
        <f>F$8*'Mkt share'!$F$82</f>
        <v>7676.5261644446728</v>
      </c>
      <c r="J79" s="87" t="s">
        <v>173</v>
      </c>
      <c r="K79" s="103"/>
      <c r="L79" s="103"/>
      <c r="M79" s="103"/>
      <c r="N79" s="80">
        <f>N$7*'Mkt share'!$F$83</f>
        <v>25462.352430934327</v>
      </c>
      <c r="O79" s="88">
        <f>N$8*'Mkt share'!$F$83</f>
        <v>25462.352430934327</v>
      </c>
      <c r="R79" s="87" t="s">
        <v>173</v>
      </c>
      <c r="S79" s="103"/>
      <c r="T79" s="103"/>
      <c r="U79" s="103"/>
      <c r="V79" s="80">
        <f>V$7*'Mkt share'!$F$84</f>
        <v>0</v>
      </c>
      <c r="W79" s="88">
        <f>V$8*'Mkt share'!$F$84</f>
        <v>0</v>
      </c>
      <c r="Z79" s="87" t="s">
        <v>173</v>
      </c>
      <c r="AA79" s="103"/>
      <c r="AB79" s="103"/>
      <c r="AC79" s="103"/>
      <c r="AD79" s="80">
        <f>AD$7*'Mkt share'!$F$85</f>
        <v>0</v>
      </c>
      <c r="AE79" s="88">
        <f>AD$8*'Mkt share'!$F$85</f>
        <v>0</v>
      </c>
      <c r="AH79" s="87" t="s">
        <v>173</v>
      </c>
      <c r="AI79" s="103"/>
      <c r="AJ79" s="103"/>
      <c r="AK79" s="103"/>
      <c r="AL79" s="80">
        <f>AL$7*'Mkt share'!$F$86</f>
        <v>956.38399421322015</v>
      </c>
      <c r="AM79" s="88">
        <f>AL$8*'Mkt share'!$F$86</f>
        <v>956.38399421322015</v>
      </c>
      <c r="AP79" s="87" t="s">
        <v>173</v>
      </c>
      <c r="AQ79" s="103"/>
      <c r="AR79" s="103"/>
      <c r="AS79" s="103"/>
      <c r="AT79" s="80">
        <f>AT$7*'Mkt share'!$F$87</f>
        <v>4796.9409114904947</v>
      </c>
      <c r="AU79" s="88">
        <f>AT$8*'Mkt share'!$F$87</f>
        <v>4796.9409114904947</v>
      </c>
      <c r="AX79" s="87" t="s">
        <v>173</v>
      </c>
      <c r="AY79" s="103"/>
      <c r="AZ79" s="103"/>
      <c r="BA79" s="103"/>
      <c r="BB79" s="80">
        <f>BB$7*'Mkt share'!$F$88</f>
        <v>5282.2389194491307</v>
      </c>
      <c r="BC79" s="88">
        <f>BB$8*'Mkt share'!$F$88</f>
        <v>5282.2389194491307</v>
      </c>
      <c r="BF79" s="87" t="s">
        <v>173</v>
      </c>
      <c r="BG79" s="103"/>
      <c r="BH79" s="103"/>
      <c r="BI79" s="103"/>
      <c r="BJ79" s="80">
        <f>BJ$7*'Mkt share'!$F$89</f>
        <v>943.7905086272583</v>
      </c>
      <c r="BK79" s="88">
        <f>BJ$8*'Mkt share'!$F$89</f>
        <v>943.7905086272583</v>
      </c>
      <c r="BN79" s="87" t="s">
        <v>173</v>
      </c>
      <c r="BO79" s="103"/>
      <c r="BP79" s="103"/>
      <c r="BQ79" s="103"/>
      <c r="BR79" s="80">
        <f>BR$7*'Mkt share'!$F$90</f>
        <v>13.705917257592825</v>
      </c>
      <c r="BS79" s="88">
        <f>BR$8*'Mkt share'!$F$90</f>
        <v>13.705917257592825</v>
      </c>
      <c r="BV79" s="87" t="s">
        <v>173</v>
      </c>
      <c r="BW79" s="103"/>
      <c r="BX79" s="103"/>
      <c r="BY79" s="103"/>
      <c r="BZ79" s="80">
        <f>BZ$7*'Mkt share'!$F$91</f>
        <v>6.238191131025026</v>
      </c>
      <c r="CA79" s="88">
        <f>BZ$8*'Mkt share'!$F$91</f>
        <v>6.238191131025026</v>
      </c>
      <c r="CD79" s="87" t="s">
        <v>173</v>
      </c>
      <c r="CE79" s="103"/>
      <c r="CF79" s="103"/>
      <c r="CG79" s="103"/>
      <c r="CH79" s="80">
        <f>CH$7*'Mkt share'!$F$92</f>
        <v>1351.3423896696913</v>
      </c>
      <c r="CI79" s="88">
        <f>CH$8*'Mkt share'!$F$92</f>
        <v>1351.3423896696913</v>
      </c>
      <c r="CL79" s="87" t="s">
        <v>173</v>
      </c>
      <c r="CM79" s="103"/>
      <c r="CN79" s="103"/>
      <c r="CO79" s="103"/>
      <c r="CP79" s="80">
        <f>CP$7*'Mkt share'!$F$93</f>
        <v>28951.869410753403</v>
      </c>
      <c r="CQ79" s="88">
        <f>CP$8*'Mkt share'!$F$93</f>
        <v>28951.869410753403</v>
      </c>
      <c r="CT79" s="87" t="s">
        <v>173</v>
      </c>
      <c r="CU79" s="103"/>
      <c r="CV79" s="103"/>
      <c r="CW79" s="103"/>
      <c r="CX79" s="80">
        <f>CX$7*'Mkt share'!$F$94</f>
        <v>7405.8076504766686</v>
      </c>
      <c r="CY79" s="88">
        <f>CX$8*'Mkt share'!$F$94</f>
        <v>7405.8076504766686</v>
      </c>
      <c r="DB79" s="87" t="s">
        <v>173</v>
      </c>
      <c r="DC79" s="103"/>
      <c r="DD79" s="103"/>
      <c r="DE79" s="103"/>
      <c r="DF79" s="80">
        <f>DF$7*'Mkt share'!$F$95</f>
        <v>0</v>
      </c>
      <c r="DG79" s="88">
        <f>DF$8*'Mkt share'!$F$95</f>
        <v>0</v>
      </c>
    </row>
    <row r="80" spans="2:111">
      <c r="B80" s="87" t="s">
        <v>178</v>
      </c>
      <c r="C80" s="103"/>
      <c r="D80" s="103"/>
      <c r="E80" s="103"/>
      <c r="F80" s="105">
        <v>0</v>
      </c>
      <c r="G80" s="88">
        <f>F$10*'Mkt share'!$F$82</f>
        <v>0</v>
      </c>
      <c r="J80" s="87" t="s">
        <v>178</v>
      </c>
      <c r="K80" s="103"/>
      <c r="L80" s="103"/>
      <c r="M80" s="103"/>
      <c r="N80" s="105">
        <v>0</v>
      </c>
      <c r="O80" s="88">
        <f>N$10*'Mkt share'!$F$83</f>
        <v>0</v>
      </c>
      <c r="R80" s="87" t="s">
        <v>178</v>
      </c>
      <c r="S80" s="103"/>
      <c r="T80" s="103"/>
      <c r="U80" s="103"/>
      <c r="V80" s="105">
        <v>0</v>
      </c>
      <c r="W80" s="88">
        <f>V$10*'Mkt share'!$F$84</f>
        <v>0</v>
      </c>
      <c r="Z80" s="87" t="s">
        <v>178</v>
      </c>
      <c r="AA80" s="103"/>
      <c r="AB80" s="103"/>
      <c r="AC80" s="103"/>
      <c r="AD80" s="105">
        <v>0</v>
      </c>
      <c r="AE80" s="88">
        <f>AD$10*'Mkt share'!$F$85</f>
        <v>0</v>
      </c>
      <c r="AH80" s="87" t="s">
        <v>178</v>
      </c>
      <c r="AI80" s="103"/>
      <c r="AJ80" s="103"/>
      <c r="AK80" s="103"/>
      <c r="AL80" s="105">
        <v>0</v>
      </c>
      <c r="AM80" s="88">
        <f>AL$10*'Mkt share'!$F$86</f>
        <v>0</v>
      </c>
      <c r="AP80" s="87" t="s">
        <v>178</v>
      </c>
      <c r="AQ80" s="103"/>
      <c r="AR80" s="103"/>
      <c r="AS80" s="103"/>
      <c r="AT80" s="105">
        <v>0</v>
      </c>
      <c r="AU80" s="88">
        <f>AT$10*'Mkt share'!$F$87</f>
        <v>0</v>
      </c>
      <c r="AX80" s="87" t="s">
        <v>178</v>
      </c>
      <c r="AY80" s="103"/>
      <c r="AZ80" s="103"/>
      <c r="BA80" s="103"/>
      <c r="BB80" s="105">
        <v>0</v>
      </c>
      <c r="BC80" s="88">
        <f>BB$10*'Mkt share'!$F$88</f>
        <v>0</v>
      </c>
      <c r="BF80" s="87" t="s">
        <v>178</v>
      </c>
      <c r="BG80" s="103"/>
      <c r="BH80" s="103"/>
      <c r="BI80" s="103"/>
      <c r="BJ80" s="105">
        <v>0</v>
      </c>
      <c r="BK80" s="88">
        <f>BJ$10*'Mkt share'!$F$89</f>
        <v>0</v>
      </c>
      <c r="BN80" s="87" t="s">
        <v>178</v>
      </c>
      <c r="BO80" s="103"/>
      <c r="BP80" s="103"/>
      <c r="BQ80" s="103"/>
      <c r="BR80" s="105">
        <v>0</v>
      </c>
      <c r="BS80" s="88">
        <f>BR$10*'Mkt share'!$F$90</f>
        <v>0</v>
      </c>
      <c r="BV80" s="87" t="s">
        <v>178</v>
      </c>
      <c r="BW80" s="103"/>
      <c r="BX80" s="103"/>
      <c r="BY80" s="103"/>
      <c r="BZ80" s="105">
        <v>0</v>
      </c>
      <c r="CA80" s="88">
        <f>BZ$10*'Mkt share'!$F$91</f>
        <v>0</v>
      </c>
      <c r="CD80" s="87" t="s">
        <v>178</v>
      </c>
      <c r="CE80" s="103"/>
      <c r="CF80" s="103"/>
      <c r="CG80" s="103"/>
      <c r="CH80" s="105">
        <v>0</v>
      </c>
      <c r="CI80" s="88">
        <f>CH$10*'Mkt share'!$F$92</f>
        <v>0</v>
      </c>
      <c r="CL80" s="87" t="s">
        <v>178</v>
      </c>
      <c r="CM80" s="103"/>
      <c r="CN80" s="103"/>
      <c r="CO80" s="103"/>
      <c r="CP80" s="105">
        <v>0</v>
      </c>
      <c r="CQ80" s="88">
        <f>CP$10*'Mkt share'!$F$93</f>
        <v>0</v>
      </c>
      <c r="CT80" s="87" t="s">
        <v>178</v>
      </c>
      <c r="CU80" s="103"/>
      <c r="CV80" s="103"/>
      <c r="CW80" s="103"/>
      <c r="CX80" s="105">
        <v>0</v>
      </c>
      <c r="CY80" s="88">
        <f>CX$10*'Mkt share'!$F$94</f>
        <v>0</v>
      </c>
      <c r="DB80" s="87" t="s">
        <v>178</v>
      </c>
      <c r="DC80" s="103"/>
      <c r="DD80" s="103"/>
      <c r="DE80" s="103"/>
      <c r="DF80" s="105">
        <v>0</v>
      </c>
      <c r="DG80" s="88">
        <f>DF$10*'Mkt share'!$F$95</f>
        <v>0</v>
      </c>
    </row>
    <row r="81" spans="2:113">
      <c r="B81" s="87" t="s">
        <v>174</v>
      </c>
      <c r="C81" s="103"/>
      <c r="D81" s="103"/>
      <c r="E81" s="103"/>
      <c r="F81" s="103"/>
      <c r="G81" s="88">
        <f>G$7*'Mkt share'!$G$82</f>
        <v>9648.2126034824068</v>
      </c>
      <c r="J81" s="87" t="s">
        <v>174</v>
      </c>
      <c r="K81" s="103"/>
      <c r="L81" s="103"/>
      <c r="M81" s="103"/>
      <c r="N81" s="103"/>
      <c r="O81" s="88">
        <f>O$7*'Mkt share'!$G$83</f>
        <v>32002.260446437645</v>
      </c>
      <c r="R81" s="87" t="s">
        <v>174</v>
      </c>
      <c r="S81" s="103"/>
      <c r="T81" s="103"/>
      <c r="U81" s="103"/>
      <c r="V81" s="103"/>
      <c r="W81" s="88">
        <f>W$7*'Mkt share'!$G$84</f>
        <v>0</v>
      </c>
      <c r="Z81" s="87" t="s">
        <v>174</v>
      </c>
      <c r="AA81" s="103"/>
      <c r="AB81" s="103"/>
      <c r="AC81" s="103"/>
      <c r="AD81" s="103"/>
      <c r="AE81" s="88">
        <f>AE$7*'Mkt share'!$G$85</f>
        <v>0</v>
      </c>
      <c r="AH81" s="87" t="s">
        <v>174</v>
      </c>
      <c r="AI81" s="103"/>
      <c r="AJ81" s="103"/>
      <c r="AK81" s="103"/>
      <c r="AL81" s="103"/>
      <c r="AM81" s="88">
        <f>AM$7*'Mkt share'!$G$86</f>
        <v>801.35171465754217</v>
      </c>
      <c r="AP81" s="87" t="s">
        <v>174</v>
      </c>
      <c r="AQ81" s="103"/>
      <c r="AR81" s="103"/>
      <c r="AS81" s="103"/>
      <c r="AT81" s="103"/>
      <c r="AU81" s="88">
        <f>AU$7*'Mkt share'!$G$87</f>
        <v>4019.3445810395028</v>
      </c>
      <c r="AX81" s="87" t="s">
        <v>174</v>
      </c>
      <c r="AY81" s="103"/>
      <c r="AZ81" s="103"/>
      <c r="BA81" s="103"/>
      <c r="BB81" s="103"/>
      <c r="BC81" s="88">
        <f>BC$7*'Mkt share'!$G$88</f>
        <v>4425.974546775672</v>
      </c>
      <c r="BF81" s="87" t="s">
        <v>174</v>
      </c>
      <c r="BG81" s="103"/>
      <c r="BH81" s="103"/>
      <c r="BI81" s="103"/>
      <c r="BJ81" s="103"/>
      <c r="BK81" s="88">
        <f>BK$7*'Mkt share'!$G$89</f>
        <v>790.79966513675561</v>
      </c>
      <c r="BN81" s="87" t="s">
        <v>174</v>
      </c>
      <c r="BO81" s="103"/>
      <c r="BP81" s="103"/>
      <c r="BQ81" s="103"/>
      <c r="BR81" s="103"/>
      <c r="BS81" s="88">
        <f>BS$7*'Mkt share'!$G$90</f>
        <v>13.780983824634466</v>
      </c>
      <c r="BV81" s="87" t="s">
        <v>174</v>
      </c>
      <c r="BW81" s="103"/>
      <c r="BX81" s="103"/>
      <c r="BY81" s="103"/>
      <c r="BZ81" s="103"/>
      <c r="CA81" s="88">
        <f>CA$7*'Mkt share'!$G$91</f>
        <v>5.2269644718603292</v>
      </c>
      <c r="CD81" s="87" t="s">
        <v>174</v>
      </c>
      <c r="CE81" s="103"/>
      <c r="CF81" s="103"/>
      <c r="CG81" s="103"/>
      <c r="CH81" s="103"/>
      <c r="CI81" s="88">
        <f>CI$7*'Mkt share'!$G$92</f>
        <v>1132.286349001572</v>
      </c>
      <c r="CL81" s="87" t="s">
        <v>174</v>
      </c>
      <c r="CM81" s="103"/>
      <c r="CN81" s="103"/>
      <c r="CO81" s="103"/>
      <c r="CP81" s="103"/>
      <c r="CQ81" s="88">
        <f>CQ$7*'Mkt share'!$G$93</f>
        <v>24258.697693842882</v>
      </c>
      <c r="CT81" s="87" t="s">
        <v>174</v>
      </c>
      <c r="CU81" s="103"/>
      <c r="CV81" s="103"/>
      <c r="CW81" s="103"/>
      <c r="CX81" s="103"/>
      <c r="CY81" s="88">
        <f>CY$7*'Mkt share'!$G$94</f>
        <v>6203.0105511696393</v>
      </c>
      <c r="DB81" s="87" t="s">
        <v>174</v>
      </c>
      <c r="DC81" s="103"/>
      <c r="DD81" s="103"/>
      <c r="DE81" s="103"/>
      <c r="DF81" s="103"/>
      <c r="DG81" s="88">
        <f>DG$7*'Mkt share'!$G$95</f>
        <v>0</v>
      </c>
    </row>
    <row r="82" spans="2:113" ht="15" thickBot="1">
      <c r="B82" s="87" t="s">
        <v>179</v>
      </c>
      <c r="C82" s="103"/>
      <c r="D82" s="103"/>
      <c r="E82" s="103"/>
      <c r="F82" s="103"/>
      <c r="G82" s="106">
        <v>0</v>
      </c>
      <c r="J82" s="87" t="s">
        <v>179</v>
      </c>
      <c r="K82" s="103"/>
      <c r="L82" s="103"/>
      <c r="M82" s="103"/>
      <c r="N82" s="103"/>
      <c r="O82" s="106">
        <v>0</v>
      </c>
      <c r="R82" s="87" t="s">
        <v>179</v>
      </c>
      <c r="S82" s="103"/>
      <c r="T82" s="103"/>
      <c r="U82" s="103"/>
      <c r="V82" s="103"/>
      <c r="W82" s="106">
        <v>0</v>
      </c>
      <c r="Z82" s="87" t="s">
        <v>179</v>
      </c>
      <c r="AA82" s="103"/>
      <c r="AB82" s="103"/>
      <c r="AC82" s="103"/>
      <c r="AD82" s="103"/>
      <c r="AE82" s="106">
        <v>0</v>
      </c>
      <c r="AH82" s="87" t="s">
        <v>179</v>
      </c>
      <c r="AI82" s="103"/>
      <c r="AJ82" s="103"/>
      <c r="AK82" s="103"/>
      <c r="AL82" s="103"/>
      <c r="AM82" s="106">
        <v>0</v>
      </c>
      <c r="AP82" s="87" t="s">
        <v>179</v>
      </c>
      <c r="AQ82" s="103"/>
      <c r="AR82" s="103"/>
      <c r="AS82" s="103"/>
      <c r="AT82" s="103"/>
      <c r="AU82" s="106">
        <v>0</v>
      </c>
      <c r="AX82" s="87" t="s">
        <v>179</v>
      </c>
      <c r="AY82" s="103"/>
      <c r="AZ82" s="103"/>
      <c r="BA82" s="103"/>
      <c r="BB82" s="103"/>
      <c r="BC82" s="106">
        <v>0</v>
      </c>
      <c r="BF82" s="87" t="s">
        <v>179</v>
      </c>
      <c r="BG82" s="103"/>
      <c r="BH82" s="103"/>
      <c r="BI82" s="103"/>
      <c r="BJ82" s="103"/>
      <c r="BK82" s="106">
        <v>0</v>
      </c>
      <c r="BN82" s="87" t="s">
        <v>179</v>
      </c>
      <c r="BO82" s="103"/>
      <c r="BP82" s="103"/>
      <c r="BQ82" s="103"/>
      <c r="BR82" s="103"/>
      <c r="BS82" s="106">
        <v>0</v>
      </c>
      <c r="BV82" s="87" t="s">
        <v>179</v>
      </c>
      <c r="BW82" s="103"/>
      <c r="BX82" s="103"/>
      <c r="BY82" s="103"/>
      <c r="BZ82" s="103"/>
      <c r="CA82" s="106">
        <v>0</v>
      </c>
      <c r="CD82" s="87" t="s">
        <v>179</v>
      </c>
      <c r="CE82" s="103"/>
      <c r="CF82" s="103"/>
      <c r="CG82" s="103"/>
      <c r="CH82" s="103"/>
      <c r="CI82" s="106">
        <v>0</v>
      </c>
      <c r="CL82" s="87" t="s">
        <v>179</v>
      </c>
      <c r="CM82" s="103"/>
      <c r="CN82" s="103"/>
      <c r="CO82" s="103"/>
      <c r="CP82" s="103"/>
      <c r="CQ82" s="106">
        <v>0</v>
      </c>
      <c r="CT82" s="87" t="s">
        <v>179</v>
      </c>
      <c r="CU82" s="103"/>
      <c r="CV82" s="103"/>
      <c r="CW82" s="103"/>
      <c r="CX82" s="103"/>
      <c r="CY82" s="106">
        <v>0</v>
      </c>
      <c r="DB82" s="87" t="s">
        <v>179</v>
      </c>
      <c r="DC82" s="103"/>
      <c r="DD82" s="103"/>
      <c r="DE82" s="103"/>
      <c r="DF82" s="103"/>
      <c r="DG82" s="106">
        <v>0</v>
      </c>
    </row>
    <row r="83" spans="2:113" ht="15" thickBot="1">
      <c r="B83" s="89" t="s">
        <v>114</v>
      </c>
      <c r="C83" s="90">
        <f>SUM(C73:C82)</f>
        <v>243637.42243143308</v>
      </c>
      <c r="D83" s="90">
        <f>SUM(D73:D81)</f>
        <v>247634.05093940726</v>
      </c>
      <c r="E83" s="90">
        <f>SUM(E73:E81)</f>
        <v>253377.79684464089</v>
      </c>
      <c r="F83" s="90">
        <f>SUM(F73:F81)</f>
        <v>261054.32300908555</v>
      </c>
      <c r="G83" s="91">
        <f>SUM(G73:G82)</f>
        <v>270702.53561256797</v>
      </c>
      <c r="J83" s="89" t="s">
        <v>114</v>
      </c>
      <c r="K83" s="90">
        <f>SUM(K73:K82)</f>
        <v>808123.59424327535</v>
      </c>
      <c r="L83" s="90">
        <f>SUM(L73:L81)</f>
        <v>821380.05444748793</v>
      </c>
      <c r="M83" s="90">
        <f>SUM(M73:M81)</f>
        <v>840431.54719041334</v>
      </c>
      <c r="N83" s="90">
        <f>SUM(N73:N81)</f>
        <v>865893.89962134766</v>
      </c>
      <c r="O83" s="91">
        <f>SUM(O73:O82)</f>
        <v>897896.1600677853</v>
      </c>
      <c r="R83" s="89" t="s">
        <v>114</v>
      </c>
      <c r="S83" s="90">
        <f>SUM(S73:S82)</f>
        <v>0</v>
      </c>
      <c r="T83" s="90">
        <f>SUM(T73:T81)</f>
        <v>0</v>
      </c>
      <c r="U83" s="90">
        <f>SUM(U73:U81)</f>
        <v>0</v>
      </c>
      <c r="V83" s="90">
        <f>SUM(V73:V81)</f>
        <v>0</v>
      </c>
      <c r="W83" s="91">
        <f>SUM(W73:W82)</f>
        <v>0</v>
      </c>
      <c r="Z83" s="89" t="s">
        <v>114</v>
      </c>
      <c r="AA83" s="90">
        <f>SUM(AA73:AA82)</f>
        <v>0</v>
      </c>
      <c r="AB83" s="90">
        <f>SUM(AB73:AB81)</f>
        <v>0</v>
      </c>
      <c r="AC83" s="90">
        <f>SUM(AC73:AC81)</f>
        <v>0</v>
      </c>
      <c r="AD83" s="90">
        <f>SUM(AD73:AD81)</f>
        <v>0</v>
      </c>
      <c r="AE83" s="91">
        <f>SUM(AE73:AE82)</f>
        <v>0</v>
      </c>
      <c r="AH83" s="89" t="s">
        <v>114</v>
      </c>
      <c r="AI83" s="90">
        <f>SUM(AI73:AI82)</f>
        <v>182122.16792852723</v>
      </c>
      <c r="AJ83" s="90">
        <f>SUM(AJ73:AJ81)</f>
        <v>183449.96002405311</v>
      </c>
      <c r="AK83" s="90">
        <f>SUM(AK73:AK81)</f>
        <v>184563.09623321943</v>
      </c>
      <c r="AL83" s="90">
        <f>SUM(AL73:AL81)</f>
        <v>185519.48022743265</v>
      </c>
      <c r="AM83" s="91">
        <f>SUM(AM73:AM82)</f>
        <v>186320.83194209018</v>
      </c>
      <c r="AP83" s="89" t="s">
        <v>114</v>
      </c>
      <c r="AQ83" s="90">
        <f>SUM(AQ73:AQ82)</f>
        <v>913471.24534888833</v>
      </c>
      <c r="AR83" s="90">
        <f>SUM(AR73:AR81)</f>
        <v>920131.06009225582</v>
      </c>
      <c r="AS83" s="90">
        <f>SUM(AS73:AS81)</f>
        <v>925714.22402444202</v>
      </c>
      <c r="AT83" s="90">
        <f>SUM(AT73:AT81)</f>
        <v>930511.16493593249</v>
      </c>
      <c r="AU83" s="91">
        <f>SUM(AU73:AU82)</f>
        <v>934530.509516972</v>
      </c>
      <c r="AX83" s="89" t="s">
        <v>114</v>
      </c>
      <c r="AY83" s="90">
        <f>SUM(AY73:AY82)</f>
        <v>1005885.5118313929</v>
      </c>
      <c r="AZ83" s="90">
        <f>SUM(AZ73:AZ81)</f>
        <v>1013219.0882257717</v>
      </c>
      <c r="BA83" s="90">
        <f>SUM(BA73:BA81)</f>
        <v>1019367.0909550975</v>
      </c>
      <c r="BB83" s="90">
        <f>SUM(BB73:BB81)</f>
        <v>1024649.3298745466</v>
      </c>
      <c r="BC83" s="91">
        <f>SUM(BC73:BC82)</f>
        <v>1029075.3044213223</v>
      </c>
      <c r="BF83" s="89" t="s">
        <v>114</v>
      </c>
      <c r="BG83" s="90">
        <f>SUM(BG73:BG82)</f>
        <v>179724.01727923824</v>
      </c>
      <c r="BH83" s="90">
        <f>SUM(BH73:BH81)</f>
        <v>181034.32525675575</v>
      </c>
      <c r="BI83" s="90">
        <f>SUM(BI73:BI81)</f>
        <v>182132.80389648327</v>
      </c>
      <c r="BJ83" s="90">
        <f>SUM(BJ73:BJ81)</f>
        <v>183076.59440511052</v>
      </c>
      <c r="BK83" s="91">
        <f>SUM(BK73:BK82)</f>
        <v>183867.39407024728</v>
      </c>
      <c r="BN83" s="89" t="s">
        <v>114</v>
      </c>
      <c r="BO83" s="90">
        <f>SUM(BO73:BO82)</f>
        <v>1739.9924294741088</v>
      </c>
      <c r="BP83" s="90">
        <f>SUM(BP73:BP81)</f>
        <v>1754.2638482034145</v>
      </c>
      <c r="BQ83" s="90">
        <f>SUM(BQ73:BQ81)</f>
        <v>1767.9372736460132</v>
      </c>
      <c r="BR83" s="90">
        <f>SUM(BR73:BR81)</f>
        <v>1781.643190903606</v>
      </c>
      <c r="BS83" s="91">
        <f>SUM(BS73:BS82)</f>
        <v>1795.4241747282404</v>
      </c>
      <c r="BV83" s="89" t="s">
        <v>114</v>
      </c>
      <c r="BW83" s="90">
        <f>SUM(BW73:BW82)</f>
        <v>1187.9254563115358</v>
      </c>
      <c r="BX83" s="90">
        <f>SUM(BX73:BX81)</f>
        <v>1196.5862253376515</v>
      </c>
      <c r="BY83" s="90">
        <f>SUM(BY73:BY81)</f>
        <v>1203.8468617239355</v>
      </c>
      <c r="BZ83" s="90">
        <f>SUM(BZ73:BZ81)</f>
        <v>1210.0850528549606</v>
      </c>
      <c r="CA83" s="91">
        <f>SUM(CA73:CA82)</f>
        <v>1215.312017326821</v>
      </c>
      <c r="CD83" s="89" t="s">
        <v>114</v>
      </c>
      <c r="CE83" s="90">
        <f>SUM(CE73:CE82)</f>
        <v>257333.25433036484</v>
      </c>
      <c r="CF83" s="90">
        <f>SUM(CF73:CF81)</f>
        <v>259209.38541809659</v>
      </c>
      <c r="CG83" s="90">
        <f>SUM(CG73:CG81)</f>
        <v>260782.21406644734</v>
      </c>
      <c r="CH83" s="90">
        <f>SUM(CH73:CH81)</f>
        <v>262133.55645611702</v>
      </c>
      <c r="CI83" s="91">
        <f>SUM(CI73:CI82)</f>
        <v>263265.84280511859</v>
      </c>
      <c r="CL83" s="89" t="s">
        <v>114</v>
      </c>
      <c r="CM83" s="90">
        <f>SUM(CM73:CM82)</f>
        <v>5513242.8549347809</v>
      </c>
      <c r="CN83" s="90">
        <f>SUM(CN73:CN81)</f>
        <v>5553438.0731597794</v>
      </c>
      <c r="CO83" s="90">
        <f>SUM(CO73:CO81)</f>
        <v>5587135.1805550959</v>
      </c>
      <c r="CP83" s="90">
        <f>SUM(CP73:CP81)</f>
        <v>5616087.0499658491</v>
      </c>
      <c r="CQ83" s="91">
        <f>SUM(CQ73:CQ82)</f>
        <v>5640345.7476596916</v>
      </c>
      <c r="CT83" s="89" t="s">
        <v>114</v>
      </c>
      <c r="CU83" s="90">
        <f>SUM(CU73:CU82)</f>
        <v>1411142.1805333972</v>
      </c>
      <c r="CV83" s="90">
        <f>SUM(CV73:CV81)</f>
        <v>1421428.7626708685</v>
      </c>
      <c r="CW83" s="90">
        <f>SUM(CW73:CW81)</f>
        <v>1430050.6679006713</v>
      </c>
      <c r="CX83" s="90">
        <f>SUM(CX73:CX81)</f>
        <v>1437456.4755511479</v>
      </c>
      <c r="CY83" s="91">
        <f>SUM(CY73:CY82)</f>
        <v>1443659.4861023177</v>
      </c>
      <c r="DB83" s="89" t="s">
        <v>114</v>
      </c>
      <c r="DC83" s="90">
        <f>SUM(DC73:DC82)</f>
        <v>0</v>
      </c>
      <c r="DD83" s="90">
        <f>SUM(DD73:DD81)</f>
        <v>0</v>
      </c>
      <c r="DE83" s="90">
        <f>SUM(DE73:DE81)</f>
        <v>0</v>
      </c>
      <c r="DF83" s="90">
        <f>SUM(DF73:DF81)</f>
        <v>0</v>
      </c>
      <c r="DG83" s="91">
        <f>SUM(DG73:DG82)</f>
        <v>0</v>
      </c>
    </row>
    <row r="84" spans="2:113">
      <c r="B84" s="80" t="s">
        <v>206</v>
      </c>
      <c r="C84" s="92">
        <f>C73+C75+C77+C79+C81</f>
        <v>243637.42243143308</v>
      </c>
      <c r="D84" s="92">
        <f t="shared" ref="D84:G84" si="244">D73+D75+D77+D79+D81</f>
        <v>247634.05093940726</v>
      </c>
      <c r="E84" s="92">
        <f t="shared" si="244"/>
        <v>253377.79684464089</v>
      </c>
      <c r="F84" s="92">
        <f t="shared" si="244"/>
        <v>261054.32300908555</v>
      </c>
      <c r="G84" s="92">
        <f t="shared" si="244"/>
        <v>270702.53561256797</v>
      </c>
      <c r="J84" s="80" t="s">
        <v>206</v>
      </c>
      <c r="K84" s="92">
        <f>K73+K75+K77+K79+K81</f>
        <v>808123.59424327535</v>
      </c>
      <c r="L84" s="92">
        <f t="shared" ref="L84:O84" si="245">L73+L75+L77+L79+L81</f>
        <v>821380.05444748793</v>
      </c>
      <c r="M84" s="92">
        <f t="shared" si="245"/>
        <v>840431.54719041334</v>
      </c>
      <c r="N84" s="92">
        <f t="shared" si="245"/>
        <v>865893.89962134766</v>
      </c>
      <c r="O84" s="92">
        <f t="shared" si="245"/>
        <v>897896.1600677853</v>
      </c>
      <c r="R84" s="80" t="s">
        <v>206</v>
      </c>
      <c r="S84" s="92">
        <f>S73+S75+S77+S79+S81</f>
        <v>0</v>
      </c>
      <c r="T84" s="92">
        <f t="shared" ref="T84:W84" si="246">T73+T75+T77+T79+T81</f>
        <v>0</v>
      </c>
      <c r="U84" s="92">
        <f t="shared" si="246"/>
        <v>0</v>
      </c>
      <c r="V84" s="92">
        <f t="shared" si="246"/>
        <v>0</v>
      </c>
      <c r="W84" s="92">
        <f t="shared" si="246"/>
        <v>0</v>
      </c>
      <c r="Z84" s="80" t="s">
        <v>206</v>
      </c>
      <c r="AA84" s="92">
        <f>AA73+AA75+AA77+AA79+AA81</f>
        <v>0</v>
      </c>
      <c r="AB84" s="92">
        <f t="shared" ref="AB84:AE84" si="247">AB73+AB75+AB77+AB79+AB81</f>
        <v>0</v>
      </c>
      <c r="AC84" s="92">
        <f t="shared" si="247"/>
        <v>0</v>
      </c>
      <c r="AD84" s="92">
        <f t="shared" si="247"/>
        <v>0</v>
      </c>
      <c r="AE84" s="92">
        <f t="shared" si="247"/>
        <v>0</v>
      </c>
      <c r="AH84" s="80" t="s">
        <v>206</v>
      </c>
      <c r="AI84" s="92">
        <f>AI73+AI75+AI77+AI79+AI81</f>
        <v>182122.16792852723</v>
      </c>
      <c r="AJ84" s="92">
        <f t="shared" ref="AJ84:AM84" si="248">AJ73+AJ75+AJ77+AJ79+AJ81</f>
        <v>183449.96002405311</v>
      </c>
      <c r="AK84" s="92">
        <f t="shared" si="248"/>
        <v>184563.09623321943</v>
      </c>
      <c r="AL84" s="92">
        <f t="shared" si="248"/>
        <v>185519.48022743265</v>
      </c>
      <c r="AM84" s="92">
        <f t="shared" si="248"/>
        <v>186320.83194209018</v>
      </c>
      <c r="AP84" s="80" t="s">
        <v>206</v>
      </c>
      <c r="AQ84" s="92">
        <f>AQ73+AQ75+AQ77+AQ79+AQ81</f>
        <v>913471.24534888833</v>
      </c>
      <c r="AR84" s="92">
        <f t="shared" ref="AR84:AU84" si="249">AR73+AR75+AR77+AR79+AR81</f>
        <v>920131.06009225582</v>
      </c>
      <c r="AS84" s="92">
        <f t="shared" si="249"/>
        <v>925714.22402444202</v>
      </c>
      <c r="AT84" s="92">
        <f t="shared" si="249"/>
        <v>930511.16493593249</v>
      </c>
      <c r="AU84" s="92">
        <f t="shared" si="249"/>
        <v>934530.509516972</v>
      </c>
      <c r="AX84" s="80" t="s">
        <v>206</v>
      </c>
      <c r="AY84" s="92">
        <f>AY73+AY75+AY77+AY79+AY81</f>
        <v>1005885.5118313929</v>
      </c>
      <c r="AZ84" s="92">
        <f t="shared" ref="AZ84:BC84" si="250">AZ73+AZ75+AZ77+AZ79+AZ81</f>
        <v>1013219.0882257717</v>
      </c>
      <c r="BA84" s="92">
        <f t="shared" si="250"/>
        <v>1019367.0909550975</v>
      </c>
      <c r="BB84" s="92">
        <f t="shared" si="250"/>
        <v>1024649.3298745466</v>
      </c>
      <c r="BC84" s="92">
        <f t="shared" si="250"/>
        <v>1029075.3044213223</v>
      </c>
      <c r="BF84" s="80" t="s">
        <v>206</v>
      </c>
      <c r="BG84" s="92">
        <f>BG73+BG75+BG77+BG79+BG81</f>
        <v>179724.01727923824</v>
      </c>
      <c r="BH84" s="92">
        <f t="shared" ref="BH84:BK84" si="251">BH73+BH75+BH77+BH79+BH81</f>
        <v>181034.32525675575</v>
      </c>
      <c r="BI84" s="92">
        <f t="shared" si="251"/>
        <v>182132.80389648327</v>
      </c>
      <c r="BJ84" s="92">
        <f t="shared" si="251"/>
        <v>183076.59440511052</v>
      </c>
      <c r="BK84" s="92">
        <f t="shared" si="251"/>
        <v>183867.39407024728</v>
      </c>
      <c r="BN84" s="80" t="s">
        <v>206</v>
      </c>
      <c r="BO84" s="92">
        <f>BO73+BO75+BO77+BO79+BO81</f>
        <v>1739.9924294741088</v>
      </c>
      <c r="BP84" s="92">
        <f t="shared" ref="BP84:BS84" si="252">BP73+BP75+BP77+BP79+BP81</f>
        <v>1754.2638482034145</v>
      </c>
      <c r="BQ84" s="92">
        <f t="shared" si="252"/>
        <v>1767.9372736460132</v>
      </c>
      <c r="BR84" s="92">
        <f t="shared" si="252"/>
        <v>1781.643190903606</v>
      </c>
      <c r="BS84" s="92">
        <f t="shared" si="252"/>
        <v>1795.4241747282404</v>
      </c>
      <c r="BV84" s="80" t="s">
        <v>206</v>
      </c>
      <c r="BW84" s="92">
        <f>BW73+BW75+BW77+BW79+BW81</f>
        <v>1187.9254563115358</v>
      </c>
      <c r="BX84" s="92">
        <f t="shared" ref="BX84:CA84" si="253">BX73+BX75+BX77+BX79+BX81</f>
        <v>1196.5862253376515</v>
      </c>
      <c r="BY84" s="92">
        <f t="shared" si="253"/>
        <v>1203.8468617239355</v>
      </c>
      <c r="BZ84" s="92">
        <f t="shared" si="253"/>
        <v>1210.0850528549606</v>
      </c>
      <c r="CA84" s="92">
        <f t="shared" si="253"/>
        <v>1215.312017326821</v>
      </c>
      <c r="CD84" s="80" t="s">
        <v>206</v>
      </c>
      <c r="CE84" s="92">
        <f>CE73+CE75+CE77+CE79+CE81</f>
        <v>257333.25433036484</v>
      </c>
      <c r="CF84" s="92">
        <f t="shared" ref="CF84:CI84" si="254">CF73+CF75+CF77+CF79+CF81</f>
        <v>259209.38541809659</v>
      </c>
      <c r="CG84" s="92">
        <f t="shared" si="254"/>
        <v>260782.21406644734</v>
      </c>
      <c r="CH84" s="92">
        <f t="shared" si="254"/>
        <v>262133.55645611702</v>
      </c>
      <c r="CI84" s="92">
        <f t="shared" si="254"/>
        <v>263265.84280511859</v>
      </c>
      <c r="CL84" s="80" t="s">
        <v>206</v>
      </c>
      <c r="CM84" s="92">
        <f>CM73+CM75+CM77+CM79+CM81</f>
        <v>5513242.8549347809</v>
      </c>
      <c r="CN84" s="92">
        <f t="shared" ref="CN84:CQ84" si="255">CN73+CN75+CN77+CN79+CN81</f>
        <v>5553438.0731597794</v>
      </c>
      <c r="CO84" s="92">
        <f t="shared" si="255"/>
        <v>5587135.1805550959</v>
      </c>
      <c r="CP84" s="92">
        <f t="shared" si="255"/>
        <v>5616087.0499658491</v>
      </c>
      <c r="CQ84" s="92">
        <f t="shared" si="255"/>
        <v>5640345.7476596916</v>
      </c>
      <c r="CT84" s="80" t="s">
        <v>206</v>
      </c>
      <c r="CU84" s="92">
        <f>CU73+CU75+CU77+CU79+CU81</f>
        <v>1411142.1805333972</v>
      </c>
      <c r="CV84" s="92">
        <f t="shared" ref="CV84:CY84" si="256">CV73+CV75+CV77+CV79+CV81</f>
        <v>1421428.7626708685</v>
      </c>
      <c r="CW84" s="92">
        <f t="shared" si="256"/>
        <v>1430050.6679006713</v>
      </c>
      <c r="CX84" s="92">
        <f t="shared" si="256"/>
        <v>1437456.4755511479</v>
      </c>
      <c r="CY84" s="92">
        <f t="shared" si="256"/>
        <v>1443659.4861023177</v>
      </c>
      <c r="DB84" s="80" t="s">
        <v>206</v>
      </c>
      <c r="DC84" s="92">
        <f>DC73+DC75+DC77+DC79+DC81</f>
        <v>0</v>
      </c>
      <c r="DD84" s="92">
        <f t="shared" ref="DD84:DG84" si="257">DD73+DD75+DD77+DD79+DD81</f>
        <v>0</v>
      </c>
      <c r="DE84" s="92">
        <f t="shared" si="257"/>
        <v>0</v>
      </c>
      <c r="DF84" s="92">
        <f t="shared" si="257"/>
        <v>0</v>
      </c>
      <c r="DG84" s="92">
        <f t="shared" si="257"/>
        <v>0</v>
      </c>
    </row>
    <row r="85" spans="2:113">
      <c r="B85" s="80" t="s">
        <v>208</v>
      </c>
      <c r="C85" s="92">
        <f>C74+C76+C78+C80+C82</f>
        <v>0</v>
      </c>
      <c r="D85" s="92">
        <f t="shared" ref="D85:G85" si="258">D74+D76+D78+D80+D82</f>
        <v>0</v>
      </c>
      <c r="E85" s="92">
        <f t="shared" si="258"/>
        <v>0</v>
      </c>
      <c r="F85" s="92">
        <f t="shared" si="258"/>
        <v>0</v>
      </c>
      <c r="G85" s="92">
        <f t="shared" si="258"/>
        <v>0</v>
      </c>
      <c r="J85" s="80" t="s">
        <v>208</v>
      </c>
      <c r="K85" s="92">
        <f>K74+K76+K78+K80+K82</f>
        <v>0</v>
      </c>
      <c r="L85" s="92">
        <f t="shared" ref="L85:O85" si="259">L74+L76+L78+L80+L82</f>
        <v>0</v>
      </c>
      <c r="M85" s="92">
        <f t="shared" si="259"/>
        <v>0</v>
      </c>
      <c r="N85" s="92">
        <f t="shared" si="259"/>
        <v>0</v>
      </c>
      <c r="O85" s="92">
        <f t="shared" si="259"/>
        <v>0</v>
      </c>
      <c r="R85" s="80" t="s">
        <v>208</v>
      </c>
      <c r="S85" s="92">
        <f>S74+S76+S78+S80+S82</f>
        <v>0</v>
      </c>
      <c r="T85" s="92">
        <f t="shared" ref="T85:W85" si="260">T74+T76+T78+T80+T82</f>
        <v>0</v>
      </c>
      <c r="U85" s="92">
        <f t="shared" si="260"/>
        <v>0</v>
      </c>
      <c r="V85" s="92">
        <f t="shared" si="260"/>
        <v>0</v>
      </c>
      <c r="W85" s="92">
        <f t="shared" si="260"/>
        <v>0</v>
      </c>
      <c r="Z85" s="80" t="s">
        <v>208</v>
      </c>
      <c r="AA85" s="92">
        <f>AA74+AA76+AA78+AA80+AA82</f>
        <v>0</v>
      </c>
      <c r="AB85" s="92">
        <f t="shared" ref="AB85:AE85" si="261">AB74+AB76+AB78+AB80+AB82</f>
        <v>0</v>
      </c>
      <c r="AC85" s="92">
        <f t="shared" si="261"/>
        <v>0</v>
      </c>
      <c r="AD85" s="92">
        <f t="shared" si="261"/>
        <v>0</v>
      </c>
      <c r="AE85" s="92">
        <f t="shared" si="261"/>
        <v>0</v>
      </c>
      <c r="AH85" s="80" t="s">
        <v>208</v>
      </c>
      <c r="AI85" s="92">
        <f>AI74+AI76+AI78+AI80+AI82</f>
        <v>0</v>
      </c>
      <c r="AJ85" s="92">
        <f t="shared" ref="AJ85:AM85" si="262">AJ74+AJ76+AJ78+AJ80+AJ82</f>
        <v>0</v>
      </c>
      <c r="AK85" s="92">
        <f t="shared" si="262"/>
        <v>0</v>
      </c>
      <c r="AL85" s="92">
        <f t="shared" si="262"/>
        <v>0</v>
      </c>
      <c r="AM85" s="92">
        <f t="shared" si="262"/>
        <v>0</v>
      </c>
      <c r="AP85" s="80" t="s">
        <v>208</v>
      </c>
      <c r="AQ85" s="92">
        <f>AQ74+AQ76+AQ78+AQ80+AQ82</f>
        <v>0</v>
      </c>
      <c r="AR85" s="92">
        <f t="shared" ref="AR85:AU85" si="263">AR74+AR76+AR78+AR80+AR82</f>
        <v>0</v>
      </c>
      <c r="AS85" s="92">
        <f t="shared" si="263"/>
        <v>0</v>
      </c>
      <c r="AT85" s="92">
        <f t="shared" si="263"/>
        <v>0</v>
      </c>
      <c r="AU85" s="92">
        <f t="shared" si="263"/>
        <v>0</v>
      </c>
      <c r="AX85" s="80" t="s">
        <v>208</v>
      </c>
      <c r="AY85" s="92">
        <f>AY74+AY76+AY78+AY80+AY82</f>
        <v>0</v>
      </c>
      <c r="AZ85" s="92">
        <f t="shared" ref="AZ85:BC85" si="264">AZ74+AZ76+AZ78+AZ80+AZ82</f>
        <v>0</v>
      </c>
      <c r="BA85" s="92">
        <f t="shared" si="264"/>
        <v>0</v>
      </c>
      <c r="BB85" s="92">
        <f t="shared" si="264"/>
        <v>0</v>
      </c>
      <c r="BC85" s="92">
        <f t="shared" si="264"/>
        <v>0</v>
      </c>
      <c r="BF85" s="80" t="s">
        <v>208</v>
      </c>
      <c r="BG85" s="92">
        <f>BG74+BG76+BG78+BG80+BG82</f>
        <v>0</v>
      </c>
      <c r="BH85" s="92">
        <f t="shared" ref="BH85:BK85" si="265">BH74+BH76+BH78+BH80+BH82</f>
        <v>0</v>
      </c>
      <c r="BI85" s="92">
        <f t="shared" si="265"/>
        <v>0</v>
      </c>
      <c r="BJ85" s="92">
        <f t="shared" si="265"/>
        <v>0</v>
      </c>
      <c r="BK85" s="92">
        <f t="shared" si="265"/>
        <v>0</v>
      </c>
      <c r="BN85" s="80" t="s">
        <v>208</v>
      </c>
      <c r="BO85" s="92">
        <f>BO74+BO76+BO78+BO80+BO82</f>
        <v>0</v>
      </c>
      <c r="BP85" s="92">
        <f t="shared" ref="BP85:BS85" si="266">BP74+BP76+BP78+BP80+BP82</f>
        <v>0</v>
      </c>
      <c r="BQ85" s="92">
        <f t="shared" si="266"/>
        <v>0</v>
      </c>
      <c r="BR85" s="92">
        <f t="shared" si="266"/>
        <v>0</v>
      </c>
      <c r="BS85" s="92">
        <f t="shared" si="266"/>
        <v>0</v>
      </c>
      <c r="BV85" s="80" t="s">
        <v>208</v>
      </c>
      <c r="BW85" s="92">
        <f>BW74+BW76+BW78+BW80+BW82</f>
        <v>0</v>
      </c>
      <c r="BX85" s="92">
        <f t="shared" ref="BX85:CA85" si="267">BX74+BX76+BX78+BX80+BX82</f>
        <v>0</v>
      </c>
      <c r="BY85" s="92">
        <f t="shared" si="267"/>
        <v>0</v>
      </c>
      <c r="BZ85" s="92">
        <f t="shared" si="267"/>
        <v>0</v>
      </c>
      <c r="CA85" s="92">
        <f t="shared" si="267"/>
        <v>0</v>
      </c>
      <c r="CD85" s="80" t="s">
        <v>208</v>
      </c>
      <c r="CE85" s="92">
        <f>CE74+CE76+CE78+CE80+CE82</f>
        <v>0</v>
      </c>
      <c r="CF85" s="92">
        <f t="shared" ref="CF85:CI85" si="268">CF74+CF76+CF78+CF80+CF82</f>
        <v>0</v>
      </c>
      <c r="CG85" s="92">
        <f t="shared" si="268"/>
        <v>0</v>
      </c>
      <c r="CH85" s="92">
        <f t="shared" si="268"/>
        <v>0</v>
      </c>
      <c r="CI85" s="92">
        <f t="shared" si="268"/>
        <v>0</v>
      </c>
      <c r="CL85" s="80" t="s">
        <v>208</v>
      </c>
      <c r="CM85" s="92">
        <f>CM74+CM76+CM78+CM80+CM82</f>
        <v>0</v>
      </c>
      <c r="CN85" s="92">
        <f t="shared" ref="CN85:CQ85" si="269">CN74+CN76+CN78+CN80+CN82</f>
        <v>0</v>
      </c>
      <c r="CO85" s="92">
        <f t="shared" si="269"/>
        <v>0</v>
      </c>
      <c r="CP85" s="92">
        <f t="shared" si="269"/>
        <v>0</v>
      </c>
      <c r="CQ85" s="92">
        <f t="shared" si="269"/>
        <v>0</v>
      </c>
      <c r="CT85" s="80" t="s">
        <v>208</v>
      </c>
      <c r="CU85" s="92">
        <f>CU74+CU76+CU78+CU80+CU82</f>
        <v>0</v>
      </c>
      <c r="CV85" s="92">
        <f t="shared" ref="CV85:CY85" si="270">CV74+CV76+CV78+CV80+CV82</f>
        <v>0</v>
      </c>
      <c r="CW85" s="92">
        <f t="shared" si="270"/>
        <v>0</v>
      </c>
      <c r="CX85" s="92">
        <f t="shared" si="270"/>
        <v>0</v>
      </c>
      <c r="CY85" s="92">
        <f t="shared" si="270"/>
        <v>0</v>
      </c>
      <c r="DB85" s="80" t="s">
        <v>208</v>
      </c>
      <c r="DC85" s="92">
        <f>DC74+DC76+DC78+DC80+DC82</f>
        <v>0</v>
      </c>
      <c r="DD85" s="92">
        <f t="shared" ref="DD85:DG85" si="271">DD74+DD76+DD78+DD80+DD82</f>
        <v>0</v>
      </c>
      <c r="DE85" s="92">
        <f t="shared" si="271"/>
        <v>0</v>
      </c>
      <c r="DF85" s="92">
        <f t="shared" si="271"/>
        <v>0</v>
      </c>
      <c r="DG85" s="92">
        <f t="shared" si="271"/>
        <v>0</v>
      </c>
    </row>
    <row r="87" spans="2:113" s="81" customFormat="1">
      <c r="B87" s="120"/>
      <c r="C87" s="120"/>
      <c r="D87" s="120"/>
      <c r="E87" s="120"/>
      <c r="F87" s="120"/>
      <c r="G87" s="120"/>
      <c r="H87" s="82"/>
      <c r="I87" s="82"/>
      <c r="J87" s="120"/>
      <c r="K87" s="120"/>
      <c r="L87" s="120"/>
      <c r="M87" s="120"/>
      <c r="N87" s="120"/>
      <c r="O87" s="120"/>
      <c r="P87" s="82"/>
      <c r="Q87" s="82"/>
      <c r="R87" s="120"/>
      <c r="S87" s="120"/>
      <c r="T87" s="120"/>
      <c r="U87" s="120"/>
      <c r="V87" s="120"/>
      <c r="W87" s="120"/>
      <c r="X87" s="82"/>
      <c r="Y87" s="82"/>
      <c r="Z87" s="120"/>
      <c r="AA87" s="120"/>
      <c r="AB87" s="120"/>
      <c r="AC87" s="120"/>
      <c r="AD87" s="120"/>
      <c r="AE87" s="120"/>
      <c r="AF87" s="82"/>
      <c r="AG87" s="82"/>
      <c r="AH87" s="120"/>
      <c r="AI87" s="120"/>
      <c r="AJ87" s="120"/>
      <c r="AK87" s="120"/>
      <c r="AL87" s="120"/>
      <c r="AM87" s="120"/>
      <c r="AN87" s="82"/>
      <c r="AO87" s="82"/>
      <c r="AP87" s="120"/>
      <c r="AQ87" s="120"/>
      <c r="AR87" s="120"/>
      <c r="AS87" s="120"/>
      <c r="AT87" s="120"/>
      <c r="AU87" s="120"/>
      <c r="AV87" s="82"/>
      <c r="AW87" s="82"/>
      <c r="AX87" s="120"/>
      <c r="AY87" s="120"/>
      <c r="AZ87" s="120"/>
      <c r="BA87" s="120"/>
      <c r="BB87" s="120"/>
      <c r="BC87" s="120"/>
      <c r="BD87" s="82"/>
      <c r="BE87" s="82"/>
      <c r="BF87" s="120"/>
      <c r="BG87" s="120"/>
      <c r="BH87" s="120"/>
      <c r="BI87" s="120"/>
      <c r="BJ87" s="120"/>
      <c r="BK87" s="120"/>
      <c r="BL87" s="82"/>
      <c r="BM87" s="82"/>
      <c r="BN87" s="120"/>
      <c r="BO87" s="120"/>
      <c r="BP87" s="120"/>
      <c r="BQ87" s="120"/>
      <c r="BR87" s="120"/>
      <c r="BS87" s="120"/>
      <c r="BT87" s="82"/>
      <c r="BU87" s="82"/>
      <c r="BV87" s="120"/>
      <c r="BW87" s="120"/>
      <c r="BX87" s="120"/>
      <c r="BY87" s="120"/>
      <c r="BZ87" s="120"/>
      <c r="CA87" s="120"/>
      <c r="CB87" s="82"/>
      <c r="CC87" s="82"/>
      <c r="CD87" s="120"/>
      <c r="CE87" s="120"/>
      <c r="CF87" s="120"/>
      <c r="CG87" s="120"/>
      <c r="CH87" s="120"/>
      <c r="CI87" s="120"/>
      <c r="CJ87" s="82"/>
      <c r="CK87" s="82"/>
      <c r="CL87" s="120"/>
      <c r="CM87" s="120"/>
      <c r="CN87" s="120"/>
      <c r="CO87" s="120"/>
      <c r="CP87" s="120"/>
      <c r="CQ87" s="120"/>
      <c r="CR87" s="82"/>
      <c r="CS87" s="82"/>
      <c r="CT87" s="120"/>
      <c r="CU87" s="120"/>
      <c r="CV87" s="120"/>
      <c r="CW87" s="120"/>
      <c r="CX87" s="120"/>
      <c r="CY87" s="120"/>
      <c r="CZ87" s="82"/>
      <c r="DA87" s="82"/>
      <c r="DB87" s="120"/>
      <c r="DC87" s="120"/>
      <c r="DD87" s="120"/>
      <c r="DE87" s="120"/>
      <c r="DF87" s="120"/>
      <c r="DG87" s="120"/>
      <c r="DH87" s="82"/>
      <c r="DI87" s="82"/>
    </row>
    <row r="88" spans="2:113" s="76" customFormat="1" ht="21">
      <c r="B88" s="502" t="str">
        <f>intervencao1</f>
        <v>Rosuvastatin 5mg</v>
      </c>
      <c r="C88" s="502"/>
      <c r="D88" s="502"/>
      <c r="E88" s="502"/>
      <c r="F88" s="502"/>
      <c r="G88" s="502"/>
      <c r="H88" s="502"/>
      <c r="I88" s="77"/>
      <c r="J88" s="502" t="str">
        <f>intervencao2</f>
        <v>Rosuvastatin 10mg</v>
      </c>
      <c r="K88" s="502"/>
      <c r="L88" s="502"/>
      <c r="M88" s="502"/>
      <c r="N88" s="502"/>
      <c r="O88" s="502"/>
      <c r="P88" s="502"/>
      <c r="Q88" s="77"/>
      <c r="R88" s="502" t="str">
        <f>intervencao3</f>
        <v>Rosuvastatin 20mg</v>
      </c>
      <c r="S88" s="502"/>
      <c r="T88" s="502"/>
      <c r="U88" s="502"/>
      <c r="V88" s="502"/>
      <c r="W88" s="502"/>
      <c r="X88" s="502"/>
      <c r="Y88" s="77"/>
      <c r="Z88" s="502" t="str">
        <f>intervencao4</f>
        <v>Rosuvastatin 40mg</v>
      </c>
      <c r="AA88" s="502"/>
      <c r="AB88" s="502"/>
      <c r="AC88" s="502"/>
      <c r="AD88" s="502"/>
      <c r="AE88" s="502"/>
      <c r="AF88" s="502"/>
      <c r="AG88" s="77"/>
      <c r="AH88" s="502" t="str">
        <f>comparador1</f>
        <v>Atorvastatin 10mg</v>
      </c>
      <c r="AI88" s="502"/>
      <c r="AJ88" s="502"/>
      <c r="AK88" s="502"/>
      <c r="AL88" s="502"/>
      <c r="AM88" s="502"/>
      <c r="AN88" s="502"/>
      <c r="AO88" s="77"/>
      <c r="AP88" s="502" t="str">
        <f>comparador2</f>
        <v>Atorvastatin 20mg</v>
      </c>
      <c r="AQ88" s="502"/>
      <c r="AR88" s="502"/>
      <c r="AS88" s="502"/>
      <c r="AT88" s="502"/>
      <c r="AU88" s="502"/>
      <c r="AV88" s="502"/>
      <c r="AW88" s="77"/>
      <c r="AX88" s="502" t="str">
        <f>comparador3</f>
        <v>Atorvastatin 40mg</v>
      </c>
      <c r="AY88" s="502"/>
      <c r="AZ88" s="502"/>
      <c r="BA88" s="502"/>
      <c r="BB88" s="502"/>
      <c r="BC88" s="502"/>
      <c r="BD88" s="502"/>
      <c r="BE88" s="77"/>
      <c r="BF88" s="502" t="str">
        <f>comparador4</f>
        <v>Atorvastatin 80mg</v>
      </c>
      <c r="BG88" s="502"/>
      <c r="BH88" s="502"/>
      <c r="BI88" s="502"/>
      <c r="BJ88" s="502"/>
      <c r="BK88" s="502"/>
      <c r="BL88" s="502"/>
      <c r="BM88" s="77"/>
      <c r="BN88" s="502" t="str">
        <f>comparador5</f>
        <v>Pravastatin</v>
      </c>
      <c r="BO88" s="502"/>
      <c r="BP88" s="502"/>
      <c r="BQ88" s="502"/>
      <c r="BR88" s="502"/>
      <c r="BS88" s="502"/>
      <c r="BT88" s="502"/>
      <c r="BU88" s="77"/>
      <c r="BV88" s="502" t="str">
        <f>comparador6</f>
        <v>Simvastatin 5mg</v>
      </c>
      <c r="BW88" s="502"/>
      <c r="BX88" s="502"/>
      <c r="BY88" s="502"/>
      <c r="BZ88" s="502"/>
      <c r="CA88" s="502"/>
      <c r="CB88" s="502"/>
      <c r="CC88" s="77"/>
      <c r="CD88" s="502" t="str">
        <f>comparador7</f>
        <v>Simvastatin 10mg</v>
      </c>
      <c r="CE88" s="502"/>
      <c r="CF88" s="502"/>
      <c r="CG88" s="502"/>
      <c r="CH88" s="502"/>
      <c r="CI88" s="502"/>
      <c r="CJ88" s="502"/>
      <c r="CK88" s="77"/>
      <c r="CL88" s="502" t="str">
        <f>comparador8</f>
        <v>Simvastatin 20mg</v>
      </c>
      <c r="CM88" s="502"/>
      <c r="CN88" s="502"/>
      <c r="CO88" s="502"/>
      <c r="CP88" s="502"/>
      <c r="CQ88" s="502"/>
      <c r="CR88" s="502"/>
      <c r="CS88" s="77"/>
      <c r="CT88" s="502" t="str">
        <f>comparador9</f>
        <v>Simvastatin 40mg</v>
      </c>
      <c r="CU88" s="502"/>
      <c r="CV88" s="502"/>
      <c r="CW88" s="502"/>
      <c r="CX88" s="502"/>
      <c r="CY88" s="502"/>
      <c r="CZ88" s="502"/>
      <c r="DA88" s="77"/>
      <c r="DB88" s="502">
        <f>comparador10</f>
        <v>0</v>
      </c>
      <c r="DC88" s="502"/>
      <c r="DD88" s="502"/>
      <c r="DE88" s="502"/>
      <c r="DF88" s="502"/>
      <c r="DG88" s="502"/>
      <c r="DH88" s="502"/>
      <c r="DI88" s="77"/>
    </row>
    <row r="89" spans="2:113" ht="18">
      <c r="B89" s="503" t="s">
        <v>181</v>
      </c>
      <c r="C89" s="503"/>
      <c r="D89" s="503"/>
      <c r="E89" s="503"/>
      <c r="F89" s="503"/>
      <c r="G89" s="503"/>
      <c r="H89" s="71"/>
      <c r="I89" s="71"/>
      <c r="J89" s="503" t="s">
        <v>181</v>
      </c>
      <c r="K89" s="503"/>
      <c r="L89" s="503"/>
      <c r="M89" s="503"/>
      <c r="N89" s="503"/>
      <c r="O89" s="503"/>
      <c r="P89" s="71"/>
      <c r="Q89" s="71"/>
      <c r="R89" s="503" t="s">
        <v>181</v>
      </c>
      <c r="S89" s="503"/>
      <c r="T89" s="503"/>
      <c r="U89" s="503"/>
      <c r="V89" s="503"/>
      <c r="W89" s="503"/>
      <c r="X89" s="71"/>
      <c r="Y89" s="71"/>
      <c r="Z89" s="503" t="s">
        <v>181</v>
      </c>
      <c r="AA89" s="503"/>
      <c r="AB89" s="503"/>
      <c r="AC89" s="503"/>
      <c r="AD89" s="503"/>
      <c r="AE89" s="503"/>
      <c r="AF89" s="71"/>
      <c r="AG89" s="71"/>
      <c r="AH89" s="503" t="s">
        <v>181</v>
      </c>
      <c r="AI89" s="503"/>
      <c r="AJ89" s="503"/>
      <c r="AK89" s="503"/>
      <c r="AL89" s="503"/>
      <c r="AM89" s="503"/>
      <c r="AN89" s="71"/>
      <c r="AO89" s="71"/>
      <c r="AP89" s="503" t="s">
        <v>181</v>
      </c>
      <c r="AQ89" s="503"/>
      <c r="AR89" s="503"/>
      <c r="AS89" s="503"/>
      <c r="AT89" s="503"/>
      <c r="AU89" s="503"/>
      <c r="AV89" s="71"/>
      <c r="AW89" s="71"/>
      <c r="AX89" s="503" t="s">
        <v>181</v>
      </c>
      <c r="AY89" s="503"/>
      <c r="AZ89" s="503"/>
      <c r="BA89" s="503"/>
      <c r="BB89" s="503"/>
      <c r="BC89" s="503"/>
      <c r="BD89" s="71"/>
      <c r="BE89" s="71"/>
      <c r="BF89" s="503" t="s">
        <v>181</v>
      </c>
      <c r="BG89" s="503"/>
      <c r="BH89" s="503"/>
      <c r="BI89" s="503"/>
      <c r="BJ89" s="503"/>
      <c r="BK89" s="503"/>
      <c r="BL89" s="71"/>
      <c r="BM89" s="71"/>
      <c r="BN89" s="503" t="s">
        <v>181</v>
      </c>
      <c r="BO89" s="503"/>
      <c r="BP89" s="503"/>
      <c r="BQ89" s="503"/>
      <c r="BR89" s="503"/>
      <c r="BS89" s="503"/>
      <c r="BT89" s="71"/>
      <c r="BU89" s="71"/>
      <c r="BV89" s="503" t="s">
        <v>181</v>
      </c>
      <c r="BW89" s="503"/>
      <c r="BX89" s="503"/>
      <c r="BY89" s="503"/>
      <c r="BZ89" s="503"/>
      <c r="CA89" s="503"/>
      <c r="CB89" s="71"/>
      <c r="CC89" s="71"/>
      <c r="CD89" s="503" t="s">
        <v>181</v>
      </c>
      <c r="CE89" s="503"/>
      <c r="CF89" s="503"/>
      <c r="CG89" s="503"/>
      <c r="CH89" s="503"/>
      <c r="CI89" s="503"/>
      <c r="CJ89" s="71"/>
      <c r="CK89" s="71"/>
      <c r="CL89" s="503" t="s">
        <v>181</v>
      </c>
      <c r="CM89" s="503"/>
      <c r="CN89" s="503"/>
      <c r="CO89" s="503"/>
      <c r="CP89" s="503"/>
      <c r="CQ89" s="503"/>
      <c r="CR89" s="71"/>
      <c r="CS89" s="71"/>
      <c r="CT89" s="503" t="s">
        <v>181</v>
      </c>
      <c r="CU89" s="503"/>
      <c r="CV89" s="503"/>
      <c r="CW89" s="503"/>
      <c r="CX89" s="503"/>
      <c r="CY89" s="503"/>
      <c r="CZ89" s="71"/>
      <c r="DA89" s="71"/>
      <c r="DB89" s="503" t="s">
        <v>181</v>
      </c>
      <c r="DC89" s="503"/>
      <c r="DD89" s="503"/>
      <c r="DE89" s="503"/>
      <c r="DF89" s="503"/>
      <c r="DG89" s="503"/>
      <c r="DH89" s="71"/>
      <c r="DI89" s="71"/>
    </row>
    <row r="90" spans="2:113" ht="15" thickBot="1">
      <c r="B90" s="83"/>
      <c r="C90" s="83"/>
      <c r="D90" s="83"/>
      <c r="E90" s="83"/>
      <c r="F90" s="83"/>
      <c r="G90" s="83"/>
      <c r="J90" s="83"/>
      <c r="K90" s="83"/>
      <c r="L90" s="83"/>
      <c r="M90" s="83"/>
      <c r="N90" s="83"/>
      <c r="O90" s="83"/>
      <c r="R90" s="83"/>
      <c r="S90" s="83"/>
      <c r="T90" s="83"/>
      <c r="U90" s="83"/>
      <c r="V90" s="83"/>
      <c r="W90" s="83"/>
      <c r="Z90" s="83"/>
      <c r="AA90" s="83"/>
      <c r="AB90" s="83"/>
      <c r="AC90" s="83"/>
      <c r="AD90" s="83"/>
      <c r="AE90" s="83"/>
      <c r="AH90" s="83"/>
      <c r="AI90" s="83"/>
      <c r="AJ90" s="83"/>
      <c r="AK90" s="83"/>
      <c r="AL90" s="83"/>
      <c r="AM90" s="83"/>
      <c r="AP90" s="83"/>
      <c r="AQ90" s="83"/>
      <c r="AR90" s="83"/>
      <c r="AS90" s="83"/>
      <c r="AT90" s="83"/>
      <c r="AU90" s="83"/>
      <c r="AX90" s="83"/>
      <c r="AY90" s="83"/>
      <c r="AZ90" s="83"/>
      <c r="BA90" s="83"/>
      <c r="BB90" s="83"/>
      <c r="BC90" s="83"/>
      <c r="BF90" s="83"/>
      <c r="BG90" s="83"/>
      <c r="BH90" s="83"/>
      <c r="BI90" s="83"/>
      <c r="BJ90" s="83"/>
      <c r="BK90" s="83"/>
      <c r="BN90" s="83"/>
      <c r="BO90" s="83"/>
      <c r="BP90" s="83"/>
      <c r="BQ90" s="83"/>
      <c r="BR90" s="83"/>
      <c r="BS90" s="83"/>
      <c r="BV90" s="83"/>
      <c r="BW90" s="83"/>
      <c r="BX90" s="83"/>
      <c r="BY90" s="83"/>
      <c r="BZ90" s="83"/>
      <c r="CA90" s="83"/>
      <c r="CD90" s="83"/>
      <c r="CE90" s="83"/>
      <c r="CF90" s="83"/>
      <c r="CG90" s="83"/>
      <c r="CH90" s="83"/>
      <c r="CI90" s="83"/>
      <c r="CL90" s="83"/>
      <c r="CM90" s="83"/>
      <c r="CN90" s="83"/>
      <c r="CO90" s="83"/>
      <c r="CP90" s="83"/>
      <c r="CQ90" s="83"/>
      <c r="CT90" s="83"/>
      <c r="CU90" s="83"/>
      <c r="CV90" s="83"/>
      <c r="CW90" s="83"/>
      <c r="CX90" s="83"/>
      <c r="CY90" s="83"/>
      <c r="DB90" s="83"/>
      <c r="DC90" s="83"/>
      <c r="DD90" s="83"/>
      <c r="DE90" s="83"/>
      <c r="DF90" s="83"/>
      <c r="DG90" s="83"/>
    </row>
    <row r="91" spans="2:113" ht="15" thickBot="1">
      <c r="B91" s="504" t="str">
        <f>B26</f>
        <v>without rosuvastatin</v>
      </c>
      <c r="C91" s="505"/>
      <c r="D91" s="505"/>
      <c r="E91" s="505"/>
      <c r="F91" s="505"/>
      <c r="G91" s="506"/>
      <c r="J91" s="504" t="str">
        <f>J26</f>
        <v>without rosuvastatin</v>
      </c>
      <c r="K91" s="505"/>
      <c r="L91" s="505"/>
      <c r="M91" s="505"/>
      <c r="N91" s="505"/>
      <c r="O91" s="506"/>
      <c r="R91" s="504" t="str">
        <f>R26</f>
        <v>without rosuvastatin</v>
      </c>
      <c r="S91" s="505"/>
      <c r="T91" s="505"/>
      <c r="U91" s="505"/>
      <c r="V91" s="505"/>
      <c r="W91" s="506"/>
      <c r="Z91" s="504" t="str">
        <f>Z26</f>
        <v>without rosuvastatin</v>
      </c>
      <c r="AA91" s="505"/>
      <c r="AB91" s="505"/>
      <c r="AC91" s="505"/>
      <c r="AD91" s="505"/>
      <c r="AE91" s="506"/>
      <c r="AH91" s="504" t="str">
        <f>AH26</f>
        <v>without rosuvastatin</v>
      </c>
      <c r="AI91" s="505"/>
      <c r="AJ91" s="505"/>
      <c r="AK91" s="505"/>
      <c r="AL91" s="505"/>
      <c r="AM91" s="506"/>
      <c r="AP91" s="504" t="str">
        <f>AP26</f>
        <v>without rosuvastatin</v>
      </c>
      <c r="AQ91" s="505"/>
      <c r="AR91" s="505"/>
      <c r="AS91" s="505"/>
      <c r="AT91" s="505"/>
      <c r="AU91" s="506"/>
      <c r="AX91" s="504" t="str">
        <f>AX26</f>
        <v>without rosuvastatin</v>
      </c>
      <c r="AY91" s="505"/>
      <c r="AZ91" s="505"/>
      <c r="BA91" s="505"/>
      <c r="BB91" s="505"/>
      <c r="BC91" s="506"/>
      <c r="BF91" s="504" t="str">
        <f>BF26</f>
        <v>without rosuvastatin</v>
      </c>
      <c r="BG91" s="505"/>
      <c r="BH91" s="505"/>
      <c r="BI91" s="505"/>
      <c r="BJ91" s="505"/>
      <c r="BK91" s="506"/>
      <c r="BN91" s="504" t="str">
        <f>BN26</f>
        <v>without rosuvastatin</v>
      </c>
      <c r="BO91" s="505"/>
      <c r="BP91" s="505"/>
      <c r="BQ91" s="505"/>
      <c r="BR91" s="505"/>
      <c r="BS91" s="506"/>
      <c r="BV91" s="504" t="str">
        <f>BV26</f>
        <v>without rosuvastatin</v>
      </c>
      <c r="BW91" s="505"/>
      <c r="BX91" s="505"/>
      <c r="BY91" s="505"/>
      <c r="BZ91" s="505"/>
      <c r="CA91" s="506"/>
      <c r="CD91" s="504" t="str">
        <f>CD26</f>
        <v>without rosuvastatin</v>
      </c>
      <c r="CE91" s="505"/>
      <c r="CF91" s="505"/>
      <c r="CG91" s="505"/>
      <c r="CH91" s="505"/>
      <c r="CI91" s="506"/>
      <c r="CL91" s="504" t="str">
        <f>CL26</f>
        <v>without rosuvastatin</v>
      </c>
      <c r="CM91" s="505"/>
      <c r="CN91" s="505"/>
      <c r="CO91" s="505"/>
      <c r="CP91" s="505"/>
      <c r="CQ91" s="506"/>
      <c r="CT91" s="504" t="str">
        <f>CT26</f>
        <v>without rosuvastatin</v>
      </c>
      <c r="CU91" s="505"/>
      <c r="CV91" s="505"/>
      <c r="CW91" s="505"/>
      <c r="CX91" s="505"/>
      <c r="CY91" s="506"/>
      <c r="DB91" s="504" t="str">
        <f>DB26</f>
        <v>without rosuvastatin</v>
      </c>
      <c r="DC91" s="505"/>
      <c r="DD91" s="505"/>
      <c r="DE91" s="505"/>
      <c r="DF91" s="505"/>
      <c r="DG91" s="506"/>
    </row>
    <row r="92" spans="2:113">
      <c r="B92" s="84"/>
      <c r="C92" s="101">
        <f>C27</f>
        <v>2026</v>
      </c>
      <c r="D92" s="101">
        <f t="shared" ref="D92:F92" si="272">D27</f>
        <v>2027</v>
      </c>
      <c r="E92" s="101">
        <f t="shared" si="272"/>
        <v>2028</v>
      </c>
      <c r="F92" s="101">
        <f t="shared" si="272"/>
        <v>2029</v>
      </c>
      <c r="G92" s="102">
        <f>G27</f>
        <v>2030</v>
      </c>
      <c r="J92" s="84"/>
      <c r="K92" s="101">
        <f>K27</f>
        <v>2026</v>
      </c>
      <c r="L92" s="101">
        <f t="shared" ref="L92:N92" si="273">L27</f>
        <v>2027</v>
      </c>
      <c r="M92" s="101">
        <f t="shared" si="273"/>
        <v>2028</v>
      </c>
      <c r="N92" s="101">
        <f t="shared" si="273"/>
        <v>2029</v>
      </c>
      <c r="O92" s="102">
        <f>O27</f>
        <v>2030</v>
      </c>
      <c r="R92" s="84"/>
      <c r="S92" s="101">
        <f>S27</f>
        <v>2026</v>
      </c>
      <c r="T92" s="101">
        <f t="shared" ref="T92:V92" si="274">T27</f>
        <v>2027</v>
      </c>
      <c r="U92" s="101">
        <f t="shared" si="274"/>
        <v>2028</v>
      </c>
      <c r="V92" s="101">
        <f t="shared" si="274"/>
        <v>2029</v>
      </c>
      <c r="W92" s="102">
        <f>W27</f>
        <v>2030</v>
      </c>
      <c r="Z92" s="84"/>
      <c r="AA92" s="101">
        <f>AA27</f>
        <v>2026</v>
      </c>
      <c r="AB92" s="101">
        <f t="shared" ref="AB92:AD92" si="275">AB27</f>
        <v>2027</v>
      </c>
      <c r="AC92" s="101">
        <f t="shared" si="275"/>
        <v>2028</v>
      </c>
      <c r="AD92" s="101">
        <f t="shared" si="275"/>
        <v>2029</v>
      </c>
      <c r="AE92" s="102">
        <f>AE27</f>
        <v>2030</v>
      </c>
      <c r="AH92" s="84"/>
      <c r="AI92" s="101">
        <f>AI27</f>
        <v>2026</v>
      </c>
      <c r="AJ92" s="101">
        <f t="shared" ref="AJ92:AL92" si="276">AJ27</f>
        <v>2027</v>
      </c>
      <c r="AK92" s="101">
        <f t="shared" si="276"/>
        <v>2028</v>
      </c>
      <c r="AL92" s="101">
        <f t="shared" si="276"/>
        <v>2029</v>
      </c>
      <c r="AM92" s="102">
        <f>AM27</f>
        <v>2030</v>
      </c>
      <c r="AP92" s="84"/>
      <c r="AQ92" s="101">
        <f>AQ27</f>
        <v>2026</v>
      </c>
      <c r="AR92" s="101">
        <f t="shared" ref="AR92:AT92" si="277">AR27</f>
        <v>2027</v>
      </c>
      <c r="AS92" s="101">
        <f t="shared" si="277"/>
        <v>2028</v>
      </c>
      <c r="AT92" s="101">
        <f t="shared" si="277"/>
        <v>2029</v>
      </c>
      <c r="AU92" s="102">
        <f>AU27</f>
        <v>2030</v>
      </c>
      <c r="AX92" s="84"/>
      <c r="AY92" s="101">
        <f>AY27</f>
        <v>2026</v>
      </c>
      <c r="AZ92" s="101">
        <f t="shared" ref="AZ92:BB92" si="278">AZ27</f>
        <v>2027</v>
      </c>
      <c r="BA92" s="101">
        <f t="shared" si="278"/>
        <v>2028</v>
      </c>
      <c r="BB92" s="101">
        <f t="shared" si="278"/>
        <v>2029</v>
      </c>
      <c r="BC92" s="102">
        <f>BC27</f>
        <v>2030</v>
      </c>
      <c r="BF92" s="84"/>
      <c r="BG92" s="101">
        <f>BG27</f>
        <v>2026</v>
      </c>
      <c r="BH92" s="101">
        <f t="shared" ref="BH92:BJ92" si="279">BH27</f>
        <v>2027</v>
      </c>
      <c r="BI92" s="101">
        <f t="shared" si="279"/>
        <v>2028</v>
      </c>
      <c r="BJ92" s="101">
        <f t="shared" si="279"/>
        <v>2029</v>
      </c>
      <c r="BK92" s="102">
        <f>BK27</f>
        <v>2030</v>
      </c>
      <c r="BN92" s="84"/>
      <c r="BO92" s="101">
        <f>BO27</f>
        <v>2026</v>
      </c>
      <c r="BP92" s="101">
        <f t="shared" ref="BP92:BR92" si="280">BP27</f>
        <v>2027</v>
      </c>
      <c r="BQ92" s="101">
        <f t="shared" si="280"/>
        <v>2028</v>
      </c>
      <c r="BR92" s="101">
        <f t="shared" si="280"/>
        <v>2029</v>
      </c>
      <c r="BS92" s="102">
        <f>BS27</f>
        <v>2030</v>
      </c>
      <c r="BV92" s="84"/>
      <c r="BW92" s="101">
        <f>BW27</f>
        <v>2026</v>
      </c>
      <c r="BX92" s="101">
        <f t="shared" ref="BX92:BZ92" si="281">BX27</f>
        <v>2027</v>
      </c>
      <c r="BY92" s="101">
        <f t="shared" si="281"/>
        <v>2028</v>
      </c>
      <c r="BZ92" s="101">
        <f t="shared" si="281"/>
        <v>2029</v>
      </c>
      <c r="CA92" s="102">
        <f>CA27</f>
        <v>2030</v>
      </c>
      <c r="CD92" s="84"/>
      <c r="CE92" s="101">
        <f>CE27</f>
        <v>2026</v>
      </c>
      <c r="CF92" s="101">
        <f t="shared" ref="CF92:CH92" si="282">CF27</f>
        <v>2027</v>
      </c>
      <c r="CG92" s="101">
        <f t="shared" si="282"/>
        <v>2028</v>
      </c>
      <c r="CH92" s="101">
        <f t="shared" si="282"/>
        <v>2029</v>
      </c>
      <c r="CI92" s="102">
        <f>CI27</f>
        <v>2030</v>
      </c>
      <c r="CL92" s="84"/>
      <c r="CM92" s="101">
        <f>CM27</f>
        <v>2026</v>
      </c>
      <c r="CN92" s="101">
        <f t="shared" ref="CN92:CP92" si="283">CN27</f>
        <v>2027</v>
      </c>
      <c r="CO92" s="101">
        <f t="shared" si="283"/>
        <v>2028</v>
      </c>
      <c r="CP92" s="101">
        <f t="shared" si="283"/>
        <v>2029</v>
      </c>
      <c r="CQ92" s="102">
        <f>CQ27</f>
        <v>2030</v>
      </c>
      <c r="CT92" s="84"/>
      <c r="CU92" s="101">
        <f>CU27</f>
        <v>2026</v>
      </c>
      <c r="CV92" s="101">
        <f t="shared" ref="CV92:CX92" si="284">CV27</f>
        <v>2027</v>
      </c>
      <c r="CW92" s="101">
        <f t="shared" si="284"/>
        <v>2028</v>
      </c>
      <c r="CX92" s="101">
        <f t="shared" si="284"/>
        <v>2029</v>
      </c>
      <c r="CY92" s="102">
        <f>CY27</f>
        <v>2030</v>
      </c>
      <c r="DB92" s="84"/>
      <c r="DC92" s="101">
        <f>DC27</f>
        <v>2026</v>
      </c>
      <c r="DD92" s="101">
        <f t="shared" ref="DD92:DF92" si="285">DD27</f>
        <v>2027</v>
      </c>
      <c r="DE92" s="101">
        <f t="shared" si="285"/>
        <v>2028</v>
      </c>
      <c r="DF92" s="101">
        <f t="shared" si="285"/>
        <v>2029</v>
      </c>
      <c r="DG92" s="102">
        <f>DG27</f>
        <v>2030</v>
      </c>
    </row>
    <row r="93" spans="2:113">
      <c r="B93" s="87" t="s">
        <v>170</v>
      </c>
      <c r="C93" s="109">
        <f ca="1">(C28*c_inicial)+(C28*c_on*12)+(C28*ci_int1)+(C28*(ct_int1+ca_int1)*'Time on treatment'!$D$12)</f>
        <v>0</v>
      </c>
      <c r="D93" s="109">
        <f ca="1">(D28*c_on*12)+(D28*(ct_int1+ca_int1)*'Time on treatment'!$E$12)</f>
        <v>0</v>
      </c>
      <c r="E93" s="109">
        <f ca="1">(E28*c_on*12)+(E28*(ct_int1+ca_int1)*'Time on treatment'!$F$12)</f>
        <v>0</v>
      </c>
      <c r="F93" s="109">
        <f ca="1">(F28*c_on*12)+(F28*(ct_int1+ca_int1)*'Time on treatment'!$G$12)</f>
        <v>0</v>
      </c>
      <c r="G93" s="110">
        <f ca="1">(G28*c_on*12)+(G28*(ct_int1+ca_int1)*'Time on treatment'!$H$12)</f>
        <v>0</v>
      </c>
      <c r="J93" s="87" t="s">
        <v>170</v>
      </c>
      <c r="K93" s="109">
        <f ca="1">(K28*c_inicial)+(K28*c_on*12)+(K28*ci_int2)+(K28*(ct_int2+ca_int2)*'Time on treatment'!$D$13)</f>
        <v>0</v>
      </c>
      <c r="L93" s="109">
        <f ca="1">(L28*c_on*12)+(L28*(ct_int2+ca_int2)*'Time on treatment'!$E$13)</f>
        <v>0</v>
      </c>
      <c r="M93" s="109">
        <f ca="1">(M28*c_on*12)+(M28*(ct_int2+ca_int2)*'Time on treatment'!$F$13)</f>
        <v>0</v>
      </c>
      <c r="N93" s="109">
        <f ca="1">(N28*c_on*12)+(N28*(ct_int2+ca_int2)*'Time on treatment'!$G$13)</f>
        <v>0</v>
      </c>
      <c r="O93" s="110">
        <f ca="1">(O28*c_on*12)+(O28*(ct_int2+ca_int2)*'Time on treatment'!$H$13)</f>
        <v>0</v>
      </c>
      <c r="R93" s="87" t="s">
        <v>170</v>
      </c>
      <c r="S93" s="109">
        <f ca="1">(S28*c_inicial)+(S28*c_on*12)+(S28*ci_int3)+(S28*(ct_int3+ca_int3)*'Time on treatment'!$D$14)</f>
        <v>0</v>
      </c>
      <c r="T93" s="109">
        <f ca="1">(T28*c_on*12)+(T28*(ct_int3+ca_int3)*'Time on treatment'!$E$14)</f>
        <v>0</v>
      </c>
      <c r="U93" s="109">
        <f ca="1">(U28*c_on*12)+(U28*(ct_int3+ca_int3)*'Time on treatment'!$F$14)</f>
        <v>0</v>
      </c>
      <c r="V93" s="109">
        <f ca="1">(V28*c_on*12)+(V28*(ct_int3+ca_int3)*'Time on treatment'!$G$14)</f>
        <v>0</v>
      </c>
      <c r="W93" s="110">
        <f ca="1">(W28*c_on*12)+(W28*(ct_int3+ca_int3)*'Time on treatment'!$H$14)</f>
        <v>0</v>
      </c>
      <c r="Z93" s="87" t="s">
        <v>170</v>
      </c>
      <c r="AA93" s="109">
        <f ca="1">(AA28*c_inicial)+(AA28*c_on*12)+(AA28*ci_int4)+(AA28*(ct_int4+ca_int4)*'Time on treatment'!$D$15)</f>
        <v>0</v>
      </c>
      <c r="AB93" s="109">
        <f ca="1">(AB28*c_on*12)+(AB28*(ct_int4+ca_int4)*'Time on treatment'!$E$15)</f>
        <v>0</v>
      </c>
      <c r="AC93" s="109">
        <f ca="1">(AC28*c_on*12)+(AC28*(ct_int4+ca_int4)*'Time on treatment'!$F$15)</f>
        <v>0</v>
      </c>
      <c r="AD93" s="109">
        <f ca="1">(AD28*c_on*12)+(AD28*(ct_int4+ca_int4)*'Time on treatment'!$G$15)</f>
        <v>0</v>
      </c>
      <c r="AE93" s="110">
        <f ca="1">(AE28*c_on*12)+(AE28*(ct_int4+ca_int4)*'Time on treatment'!$H$15)</f>
        <v>0</v>
      </c>
      <c r="AH93" s="87" t="s">
        <v>170</v>
      </c>
      <c r="AI93" s="109">
        <f ca="1">(AI28*c_inicial)+(AI28*c_on*12)+(AI28*ci_comp1)+(AI28*(ct_comp1+ca_comp1)*'Time on treatment'!$D$19)</f>
        <v>1456977.3434282176</v>
      </c>
      <c r="AJ93" s="109">
        <f ca="1">(AJ28*c_on*12)+(AJ28*(ct_comp1+ca_comp1)*'Time on treatment'!$E$19)</f>
        <v>1456977.3434282176</v>
      </c>
      <c r="AK93" s="109">
        <f ca="1">(AK28*c_on*12)+(AK28*(ct_comp1+ca_comp1)*'Time on treatment'!$F$19)</f>
        <v>1456977.3434282176</v>
      </c>
      <c r="AL93" s="109">
        <f ca="1">(AL28*c_on*12)+(AL28*(ct_comp1+ca_comp1)*'Time on treatment'!$G$19)</f>
        <v>1456977.3434282176</v>
      </c>
      <c r="AM93" s="110">
        <f ca="1">(AM28*c_on*12)+(AM28*(ct_comp1+ca_comp1)*'Time on treatment'!$H$19)</f>
        <v>1456977.3434282176</v>
      </c>
      <c r="AP93" s="87" t="s">
        <v>170</v>
      </c>
      <c r="AQ93" s="109">
        <f ca="1">(AQ28*c_inicial)+(AQ28*c_on*12)+(AQ28*ci_comp2)+(AQ28*(ct_comp2+ca_comp2)*'Time on treatment'!$D$20)</f>
        <v>10961654.94418666</v>
      </c>
      <c r="AR93" s="109">
        <f ca="1">(AR28*c_on*12)+(AR28*(ct_comp2+ca_comp2)*'Time on treatment'!$E$20)</f>
        <v>10961654.94418666</v>
      </c>
      <c r="AS93" s="109">
        <f ca="1">(AS28*c_on*12)+(AS28*(ct_comp2+ca_comp2)*'Time on treatment'!$F$20)</f>
        <v>10961654.94418666</v>
      </c>
      <c r="AT93" s="109">
        <f ca="1">(AT28*c_on*12)+(AT28*(ct_comp2+ca_comp2)*'Time on treatment'!$G$20)</f>
        <v>10961654.94418666</v>
      </c>
      <c r="AU93" s="110">
        <f ca="1">(AU28*c_on*12)+(AU28*(ct_comp2+ca_comp2)*'Time on treatment'!$H$20)</f>
        <v>10961654.94418666</v>
      </c>
      <c r="AX93" s="87" t="s">
        <v>170</v>
      </c>
      <c r="AY93" s="109">
        <f ca="1">(AY28*c_inicial)+(AY28*c_on*12)+(AY28*ci_comp3)+(AY28*(ct_comp3+ca_comp3)*'Time on treatment'!$D$21)</f>
        <v>60353130.709883563</v>
      </c>
      <c r="AZ93" s="109">
        <f ca="1">(AZ28*c_on*12)+(AZ28*(ct_comp3+ca_comp3)*'Time on treatment'!$E$21)</f>
        <v>60353130.709883563</v>
      </c>
      <c r="BA93" s="109">
        <f ca="1">(BA28*c_on*12)+(BA28*(ct_comp3+ca_comp3)*'Time on treatment'!$F$21)</f>
        <v>60353130.709883563</v>
      </c>
      <c r="BB93" s="109">
        <f ca="1">(BB28*c_on*12)+(BB28*(ct_comp3+ca_comp3)*'Time on treatment'!$G$21)</f>
        <v>60353130.709883563</v>
      </c>
      <c r="BC93" s="110">
        <f ca="1">(BC28*c_on*12)+(BC28*(ct_comp3+ca_comp3)*'Time on treatment'!$H$21)</f>
        <v>60353130.709883563</v>
      </c>
      <c r="BF93" s="87" t="s">
        <v>170</v>
      </c>
      <c r="BG93" s="109">
        <f ca="1">(BG28*c_inicial)+(BG28*c_on*12)+(BG28*ci_comp4)+(BG28*(ct_comp4+ca_comp4)*'Time on treatment'!$D$22)</f>
        <v>11502337.105871247</v>
      </c>
      <c r="BH93" s="109">
        <f ca="1">(BH28*c_on*12)+(BH28*(ct_comp4+ca_comp4)*'Time on treatment'!$E$22)</f>
        <v>11502337.105871247</v>
      </c>
      <c r="BI93" s="109">
        <f ca="1">(BI28*c_on*12)+(BI28*(ct_comp4+ca_comp4)*'Time on treatment'!$F$22)</f>
        <v>11502337.105871247</v>
      </c>
      <c r="BJ93" s="109">
        <f ca="1">(BJ28*c_on*12)+(BJ28*(ct_comp4+ca_comp4)*'Time on treatment'!$G$22)</f>
        <v>11502337.105871247</v>
      </c>
      <c r="BK93" s="110">
        <f ca="1">(BK28*c_on*12)+(BK28*(ct_comp4+ca_comp4)*'Time on treatment'!$H$22)</f>
        <v>11502337.105871247</v>
      </c>
      <c r="BN93" s="87" t="s">
        <v>170</v>
      </c>
      <c r="BO93" s="109">
        <f ca="1">(BO28*c_inicial)+(BO28*c_on*12)+(BO28*ci_comp5)+(BO28*(ct_comp5+ca_comp5)*'Time on treatment'!$D$23)</f>
        <v>1158486.9595438614</v>
      </c>
      <c r="BP93" s="109">
        <f ca="1">(BP28*c_on*12)+(BP28*(ct_comp5+ca_comp5)*'Time on treatment'!$E$23)</f>
        <v>1158486.9595438614</v>
      </c>
      <c r="BQ93" s="109">
        <f ca="1">(BQ28*c_on*12)+(BQ28*(ct_comp5+ca_comp5)*'Time on treatment'!$F$23)</f>
        <v>1158486.9595438614</v>
      </c>
      <c r="BR93" s="109">
        <f ca="1">(BR28*c_on*12)+(BR28*(ct_comp5+ca_comp5)*'Time on treatment'!$G$23)</f>
        <v>1158486.9595438614</v>
      </c>
      <c r="BS93" s="110">
        <f ca="1">(BS28*c_on*12)+(BS28*(ct_comp5+ca_comp5)*'Time on treatment'!$H$23)</f>
        <v>1158486.9595438614</v>
      </c>
      <c r="BV93" s="87" t="s">
        <v>170</v>
      </c>
      <c r="BW93" s="109">
        <f ca="1">(BW28*c_inicial)+(BW28*c_on*12)+(BW28*ci_comp6)+(BW28*(ct_comp6+ca_comp6)*'Time on treatment'!$D$24)</f>
        <v>42765.316427215286</v>
      </c>
      <c r="BX93" s="109">
        <f ca="1">(BX28*c_on*12)+(BX28*(ct_comp6+ca_comp6)*'Time on treatment'!$E$24)</f>
        <v>42765.316427215286</v>
      </c>
      <c r="BY93" s="109">
        <f ca="1">(BY28*c_on*12)+(BY28*(ct_comp6+ca_comp6)*'Time on treatment'!$F$24)</f>
        <v>42765.316427215286</v>
      </c>
      <c r="BZ93" s="109">
        <f ca="1">(BZ28*c_on*12)+(BZ28*(ct_comp6+ca_comp6)*'Time on treatment'!$G$24)</f>
        <v>42765.316427215286</v>
      </c>
      <c r="CA93" s="110">
        <f ca="1">(CA28*c_on*12)+(CA28*(ct_comp6+ca_comp6)*'Time on treatment'!$H$24)</f>
        <v>42765.316427215286</v>
      </c>
      <c r="CD93" s="87" t="s">
        <v>170</v>
      </c>
      <c r="CE93" s="109">
        <f ca="1">(CE28*c_inicial)+(CE28*c_on*12)+(CE28*ci_comp7)+(CE28*(ct_comp7+ca_comp7)*'Time on treatment'!$D$25)</f>
        <v>3087999.0519643785</v>
      </c>
      <c r="CF93" s="109">
        <f ca="1">(CF28*c_on*12)+(CF28*(ct_comp7+ca_comp7)*'Time on treatment'!$E$25)</f>
        <v>3087999.0519643785</v>
      </c>
      <c r="CG93" s="109">
        <f ca="1">(CG28*c_on*12)+(CG28*(ct_comp7+ca_comp7)*'Time on treatment'!$F$25)</f>
        <v>3087999.0519643785</v>
      </c>
      <c r="CH93" s="109">
        <f ca="1">(CH28*c_on*12)+(CH28*(ct_comp7+ca_comp7)*'Time on treatment'!$G$25)</f>
        <v>3087999.0519643785</v>
      </c>
      <c r="CI93" s="110">
        <f ca="1">(CI28*c_on*12)+(CI28*(ct_comp7+ca_comp7)*'Time on treatment'!$H$25)</f>
        <v>3087999.0519643785</v>
      </c>
      <c r="CL93" s="87" t="s">
        <v>170</v>
      </c>
      <c r="CM93" s="109">
        <f ca="1">(CM28*c_inicial)+(CM28*c_on*12)+(CM28*ci_comp8)+(CM28*(ct_comp8+ca_comp8)*'Time on treatment'!$D$26)</f>
        <v>13231782.851843471</v>
      </c>
      <c r="CN93" s="109">
        <f ca="1">(CN28*c_on*12)+(CN28*(ct_comp8+ca_comp8)*'Time on treatment'!$E$26)</f>
        <v>13231782.851843471</v>
      </c>
      <c r="CO93" s="109">
        <f ca="1">(CO28*c_on*12)+(CO28*(ct_comp8+ca_comp8)*'Time on treatment'!$F$26)</f>
        <v>13231782.851843471</v>
      </c>
      <c r="CP93" s="109">
        <f ca="1">(CP28*c_on*12)+(CP28*(ct_comp8+ca_comp8)*'Time on treatment'!$G$26)</f>
        <v>13231782.851843471</v>
      </c>
      <c r="CQ93" s="110">
        <f ca="1">(CQ28*c_on*12)+(CQ28*(ct_comp8+ca_comp8)*'Time on treatment'!$H$26)</f>
        <v>13231782.851843471</v>
      </c>
      <c r="CT93" s="87" t="s">
        <v>170</v>
      </c>
      <c r="CU93" s="109">
        <f ca="1">(CU28*c_inicial)+(CU28*c_on*12)+(CU28*ci_comp9)+(CU28*(ct_comp9+ca_comp9)*'Time on treatment'!$D$27)</f>
        <v>28222843.610667959</v>
      </c>
      <c r="CV93" s="109">
        <f ca="1">(CV28*c_on*12)+(CV28*(ct_comp9+ca_comp9)*'Time on treatment'!$E$27)</f>
        <v>28222843.610667959</v>
      </c>
      <c r="CW93" s="109">
        <f ca="1">(CW28*c_on*12)+(CW28*(ct_comp9+ca_comp9)*'Time on treatment'!$F$27)</f>
        <v>28222843.610667959</v>
      </c>
      <c r="CX93" s="109">
        <f ca="1">(CX28*c_on*12)+(CX28*(ct_comp9+ca_comp9)*'Time on treatment'!$G$27)</f>
        <v>28222843.610667959</v>
      </c>
      <c r="CY93" s="110">
        <f ca="1">(CY28*c_on*12)+(CY28*(ct_comp9+ca_comp9)*'Time on treatment'!$H$27)</f>
        <v>28222843.610667959</v>
      </c>
      <c r="DB93" s="87" t="s">
        <v>170</v>
      </c>
      <c r="DC93" s="109">
        <f ca="1">(DC28*c_inicial)+(DC28*c_on*12)+(DC28*ci_comp10)+(DC28*(ct_comp10+ca_comp10)*'Time on treatment'!$D$28)</f>
        <v>0</v>
      </c>
      <c r="DD93" s="109">
        <f ca="1">(DD28*c_on*12)+(DD28*(ct_comp10+ca_comp10)*'Time on treatment'!$E$28)</f>
        <v>0</v>
      </c>
      <c r="DE93" s="109">
        <f ca="1">(DE28*c_on*12)+(DE28*(ct_comp10+ca_comp10)*'Time on treatment'!$F$28)</f>
        <v>0</v>
      </c>
      <c r="DF93" s="109">
        <f ca="1">(DF28*c_on*12)+(DF28*(ct_comp10+ca_comp10)*'Time on treatment'!$G$28)</f>
        <v>0</v>
      </c>
      <c r="DG93" s="110">
        <f ca="1">(DG28*c_on*12)+(DG28*(ct_comp10+ca_comp10)*'Time on treatment'!$H$28)</f>
        <v>0</v>
      </c>
    </row>
    <row r="94" spans="2:113">
      <c r="B94" s="87" t="s">
        <v>175</v>
      </c>
      <c r="C94" s="109">
        <f>C29*c_off</f>
        <v>0</v>
      </c>
      <c r="D94" s="109">
        <f>D29*c_off</f>
        <v>0</v>
      </c>
      <c r="E94" s="109">
        <f>E29*c_off</f>
        <v>0</v>
      </c>
      <c r="F94" s="109">
        <f>F29*c_off</f>
        <v>0</v>
      </c>
      <c r="G94" s="110">
        <f>G29*c_off</f>
        <v>0</v>
      </c>
      <c r="J94" s="87" t="s">
        <v>175</v>
      </c>
      <c r="K94" s="109">
        <f>K29*c_off</f>
        <v>0</v>
      </c>
      <c r="L94" s="109">
        <f>L29*c_off</f>
        <v>0</v>
      </c>
      <c r="M94" s="109">
        <f>M29*c_off</f>
        <v>0</v>
      </c>
      <c r="N94" s="109">
        <f>N29*c_off</f>
        <v>0</v>
      </c>
      <c r="O94" s="110">
        <f>O29*c_off</f>
        <v>0</v>
      </c>
      <c r="R94" s="87" t="s">
        <v>175</v>
      </c>
      <c r="S94" s="109">
        <f>S29*c_off</f>
        <v>0</v>
      </c>
      <c r="T94" s="109">
        <f>T29*c_off</f>
        <v>0</v>
      </c>
      <c r="U94" s="109">
        <f>U29*c_off</f>
        <v>0</v>
      </c>
      <c r="V94" s="109">
        <f>V29*c_off</f>
        <v>0</v>
      </c>
      <c r="W94" s="110">
        <f>W29*c_off</f>
        <v>0</v>
      </c>
      <c r="Z94" s="87" t="s">
        <v>175</v>
      </c>
      <c r="AA94" s="109">
        <f>AA29*c_off</f>
        <v>0</v>
      </c>
      <c r="AB94" s="109">
        <f>AB29*c_off</f>
        <v>0</v>
      </c>
      <c r="AC94" s="109">
        <f>AC29*c_off</f>
        <v>0</v>
      </c>
      <c r="AD94" s="109">
        <f>AD29*c_off</f>
        <v>0</v>
      </c>
      <c r="AE94" s="110">
        <f>AE29*c_off</f>
        <v>0</v>
      </c>
      <c r="AH94" s="87" t="s">
        <v>175</v>
      </c>
      <c r="AI94" s="109">
        <f>AI29*c_off</f>
        <v>0</v>
      </c>
      <c r="AJ94" s="109">
        <f>AJ29*c_off</f>
        <v>0</v>
      </c>
      <c r="AK94" s="109">
        <f>AK29*c_off</f>
        <v>0</v>
      </c>
      <c r="AL94" s="109">
        <f>AL29*c_off</f>
        <v>0</v>
      </c>
      <c r="AM94" s="110">
        <f>AM29*c_off</f>
        <v>0</v>
      </c>
      <c r="AP94" s="87" t="s">
        <v>175</v>
      </c>
      <c r="AQ94" s="109">
        <f>AQ29*c_off</f>
        <v>0</v>
      </c>
      <c r="AR94" s="109">
        <f>AR29*c_off</f>
        <v>0</v>
      </c>
      <c r="AS94" s="109">
        <f>AS29*c_off</f>
        <v>0</v>
      </c>
      <c r="AT94" s="109">
        <f>AT29*c_off</f>
        <v>0</v>
      </c>
      <c r="AU94" s="110">
        <f>AU29*c_off</f>
        <v>0</v>
      </c>
      <c r="AX94" s="87" t="s">
        <v>175</v>
      </c>
      <c r="AY94" s="109">
        <f>AY29*c_off</f>
        <v>0</v>
      </c>
      <c r="AZ94" s="109">
        <f>AZ29*c_off</f>
        <v>0</v>
      </c>
      <c r="BA94" s="109">
        <f>BA29*c_off</f>
        <v>0</v>
      </c>
      <c r="BB94" s="109">
        <f>BB29*c_off</f>
        <v>0</v>
      </c>
      <c r="BC94" s="110">
        <f>BC29*c_off</f>
        <v>0</v>
      </c>
      <c r="BF94" s="87" t="s">
        <v>175</v>
      </c>
      <c r="BG94" s="109">
        <f>BG29*c_off</f>
        <v>0</v>
      </c>
      <c r="BH94" s="109">
        <f>BH29*c_off</f>
        <v>0</v>
      </c>
      <c r="BI94" s="109">
        <f>BI29*c_off</f>
        <v>0</v>
      </c>
      <c r="BJ94" s="109">
        <f>BJ29*c_off</f>
        <v>0</v>
      </c>
      <c r="BK94" s="110">
        <f>BK29*c_off</f>
        <v>0</v>
      </c>
      <c r="BN94" s="87" t="s">
        <v>175</v>
      </c>
      <c r="BO94" s="109">
        <f>BO29*c_off</f>
        <v>0</v>
      </c>
      <c r="BP94" s="109">
        <f>BP29*c_off</f>
        <v>0</v>
      </c>
      <c r="BQ94" s="109">
        <f>BQ29*c_off</f>
        <v>0</v>
      </c>
      <c r="BR94" s="109">
        <f>BR29*c_off</f>
        <v>0</v>
      </c>
      <c r="BS94" s="110">
        <f>BS29*c_off</f>
        <v>0</v>
      </c>
      <c r="BV94" s="87" t="s">
        <v>175</v>
      </c>
      <c r="BW94" s="109">
        <f>BW29*c_off</f>
        <v>0</v>
      </c>
      <c r="BX94" s="109">
        <f>BX29*c_off</f>
        <v>0</v>
      </c>
      <c r="BY94" s="109">
        <f>BY29*c_off</f>
        <v>0</v>
      </c>
      <c r="BZ94" s="109">
        <f>BZ29*c_off</f>
        <v>0</v>
      </c>
      <c r="CA94" s="110">
        <f>CA29*c_off</f>
        <v>0</v>
      </c>
      <c r="CD94" s="87" t="s">
        <v>175</v>
      </c>
      <c r="CE94" s="109">
        <f>CE29*c_off</f>
        <v>0</v>
      </c>
      <c r="CF94" s="109">
        <f>CF29*c_off</f>
        <v>0</v>
      </c>
      <c r="CG94" s="109">
        <f>CG29*c_off</f>
        <v>0</v>
      </c>
      <c r="CH94" s="109">
        <f>CH29*c_off</f>
        <v>0</v>
      </c>
      <c r="CI94" s="110">
        <f>CI29*c_off</f>
        <v>0</v>
      </c>
      <c r="CL94" s="87" t="s">
        <v>175</v>
      </c>
      <c r="CM94" s="109">
        <f>CM29*c_off</f>
        <v>0</v>
      </c>
      <c r="CN94" s="109">
        <f>CN29*c_off</f>
        <v>0</v>
      </c>
      <c r="CO94" s="109">
        <f>CO29*c_off</f>
        <v>0</v>
      </c>
      <c r="CP94" s="109">
        <f>CP29*c_off</f>
        <v>0</v>
      </c>
      <c r="CQ94" s="110">
        <f>CQ29*c_off</f>
        <v>0</v>
      </c>
      <c r="CT94" s="87" t="s">
        <v>175</v>
      </c>
      <c r="CU94" s="109">
        <f>CU29*c_off</f>
        <v>0</v>
      </c>
      <c r="CV94" s="109">
        <f>CV29*c_off</f>
        <v>0</v>
      </c>
      <c r="CW94" s="109">
        <f>CW29*c_off</f>
        <v>0</v>
      </c>
      <c r="CX94" s="109">
        <f>CX29*c_off</f>
        <v>0</v>
      </c>
      <c r="CY94" s="110">
        <f>CY29*c_off</f>
        <v>0</v>
      </c>
      <c r="DB94" s="87" t="s">
        <v>175</v>
      </c>
      <c r="DC94" s="109">
        <f>DC29*c_off</f>
        <v>0</v>
      </c>
      <c r="DD94" s="109">
        <f>DD29*c_off</f>
        <v>0</v>
      </c>
      <c r="DE94" s="109">
        <f>DE29*c_off</f>
        <v>0</v>
      </c>
      <c r="DF94" s="109">
        <f>DF29*c_off</f>
        <v>0</v>
      </c>
      <c r="DG94" s="110">
        <f>DG29*c_off</f>
        <v>0</v>
      </c>
    </row>
    <row r="95" spans="2:113">
      <c r="B95" s="87" t="s">
        <v>171</v>
      </c>
      <c r="C95" s="111"/>
      <c r="D95" s="109">
        <f ca="1">(D30*c_inicial)+(D30*c_on*12)+(D30*ci_int1)+(D30*(ct_int1+ca_int1)*'Time on treatment'!$D$12)</f>
        <v>0</v>
      </c>
      <c r="E95" s="109">
        <f ca="1">(E30*c_on*12)+(E30*(ct_int1+ca_int1)*'Time on treatment'!$E$12)</f>
        <v>0</v>
      </c>
      <c r="F95" s="109">
        <f ca="1">(F30*c_on*12)+(F30*(ct_int1+ca_int1)*'Time on treatment'!$F$12)</f>
        <v>0</v>
      </c>
      <c r="G95" s="110">
        <f ca="1">(G30*c_on*12)+(G30*(ct_int1+ca_int1)*'Time on treatment'!$G$12)</f>
        <v>0</v>
      </c>
      <c r="J95" s="87" t="s">
        <v>171</v>
      </c>
      <c r="K95" s="111"/>
      <c r="L95" s="109">
        <f ca="1">(L30*c_inicial)+(L30*c_on*12)+(L30*ci_int2)+(L30*(ct_int2+ca_int2)*'Time on treatment'!$D$13)</f>
        <v>0</v>
      </c>
      <c r="M95" s="109">
        <f ca="1">(M30*c_on*12)+(M30*(ct_int2+ca_int2)*'Time on treatment'!$E$13)</f>
        <v>0</v>
      </c>
      <c r="N95" s="109">
        <f ca="1">(N30*c_on*12)+(N30*(ct_int2+ca_int2)*'Time on treatment'!$F$13)</f>
        <v>0</v>
      </c>
      <c r="O95" s="110">
        <f ca="1">(O30*c_on*12)+(O30*(ct_int2+ca_int2)*'Time on treatment'!$G$13)</f>
        <v>0</v>
      </c>
      <c r="R95" s="87" t="s">
        <v>171</v>
      </c>
      <c r="S95" s="111"/>
      <c r="T95" s="109">
        <f ca="1">(T30*c_inicial)+(T30*c_on*12)+(T30*ci_int3)+(T30*(ct_int3+ca_int3)*'Time on treatment'!$D$14)</f>
        <v>0</v>
      </c>
      <c r="U95" s="109">
        <f ca="1">(U30*c_on*12)+(U30*(ct_int3+ca_int3)*'Time on treatment'!$E$14)</f>
        <v>0</v>
      </c>
      <c r="V95" s="109">
        <f ca="1">(V30*c_on*12)+(V30*(ct_int3+ca_int3)*'Time on treatment'!$F$14)</f>
        <v>0</v>
      </c>
      <c r="W95" s="110">
        <f ca="1">(W30*c_on*12)+(W30*(ct_int3+ca_int3)*'Time on treatment'!$G$14)</f>
        <v>0</v>
      </c>
      <c r="Z95" s="87" t="s">
        <v>171</v>
      </c>
      <c r="AA95" s="111"/>
      <c r="AB95" s="109">
        <f ca="1">(AB30*c_inicial)+(AB30*c_on*12)+(AB30*ci_int4)+(AB30*(ct_int4+ca_int4)*'Time on treatment'!$D$15)</f>
        <v>0</v>
      </c>
      <c r="AC95" s="109">
        <f ca="1">(AC30*c_on*12)+(AC30*(ct_int4+ca_int4)*'Time on treatment'!$E$15)</f>
        <v>0</v>
      </c>
      <c r="AD95" s="109">
        <f ca="1">(AD30*c_on*12)+(AD30*(ct_int4+ca_int4)*'Time on treatment'!$F$15)</f>
        <v>0</v>
      </c>
      <c r="AE95" s="110">
        <f ca="1">(AE30*c_on*12)+(AE30*(ct_int4+ca_int4)*'Time on treatment'!$G$15)</f>
        <v>0</v>
      </c>
      <c r="AH95" s="87" t="s">
        <v>171</v>
      </c>
      <c r="AI95" s="111"/>
      <c r="AJ95" s="109">
        <f ca="1">(AJ30*c_inicial)+(AJ30*c_on*12)+(AJ30*ci_comp1)+(AJ30*(ct_comp1+ca_comp1)*'Time on treatment'!$D$19)</f>
        <v>11950.128859733044</v>
      </c>
      <c r="AK95" s="109">
        <f ca="1">(AK30*c_on*12)+(AK30*(ct_comp1+ca_comp1)*'Time on treatment'!$E$19)</f>
        <v>11950.128859733044</v>
      </c>
      <c r="AL95" s="109">
        <f ca="1">(AL30*c_on*12)+(AL30*(ct_comp1+ca_comp1)*'Time on treatment'!$F$19)</f>
        <v>11950.128859733044</v>
      </c>
      <c r="AM95" s="110">
        <f ca="1">(AM30*c_on*12)+(AM30*(ct_comp1+ca_comp1)*'Time on treatment'!$G$19)</f>
        <v>11950.128859733044</v>
      </c>
      <c r="AP95" s="87" t="s">
        <v>171</v>
      </c>
      <c r="AQ95" s="111"/>
      <c r="AR95" s="109">
        <f ca="1">(AR30*c_inicial)+(AR30*c_on*12)+(AR30*ci_comp2)+(AR30*(ct_comp2+ca_comp2)*'Time on treatment'!$D$20)</f>
        <v>89907.499035460613</v>
      </c>
      <c r="AS95" s="109">
        <f ca="1">(AS30*c_on*12)+(AS30*(ct_comp2+ca_comp2)*'Time on treatment'!$E$20)</f>
        <v>89907.499035460613</v>
      </c>
      <c r="AT95" s="109">
        <f ca="1">(AT30*c_on*12)+(AT30*(ct_comp2+ca_comp2)*'Time on treatment'!$F$20)</f>
        <v>89907.499035460613</v>
      </c>
      <c r="AU95" s="110">
        <f ca="1">(AU30*c_on*12)+(AU30*(ct_comp2+ca_comp2)*'Time on treatment'!$G$20)</f>
        <v>89907.499035460613</v>
      </c>
      <c r="AX95" s="87" t="s">
        <v>171</v>
      </c>
      <c r="AY95" s="111"/>
      <c r="AZ95" s="109">
        <f ca="1">(AZ30*c_inicial)+(AZ30*c_on*12)+(AZ30*ci_comp3)+(AZ30*(ct_comp3+ca_comp3)*'Time on treatment'!$D$21)</f>
        <v>495016.40662056999</v>
      </c>
      <c r="BA95" s="109">
        <f ca="1">(BA30*c_on*12)+(BA30*(ct_comp3+ca_comp3)*'Time on treatment'!$E$21)</f>
        <v>495016.40662056999</v>
      </c>
      <c r="BB95" s="109">
        <f ca="1">(BB30*c_on*12)+(BB30*(ct_comp3+ca_comp3)*'Time on treatment'!$F$21)</f>
        <v>495016.40662056999</v>
      </c>
      <c r="BC95" s="110">
        <f ca="1">(BC30*c_on*12)+(BC30*(ct_comp3+ca_comp3)*'Time on treatment'!$G$21)</f>
        <v>495016.40662056999</v>
      </c>
      <c r="BF95" s="87" t="s">
        <v>171</v>
      </c>
      <c r="BG95" s="111"/>
      <c r="BH95" s="109">
        <f ca="1">(BH30*c_inicial)+(BH30*c_on*12)+(BH30*ci_comp4)+(BH30*(ct_comp4+ca_comp4)*'Time on treatment'!$D$22)</f>
        <v>94342.17438126028</v>
      </c>
      <c r="BI95" s="109">
        <f ca="1">(BI30*c_on*12)+(BI30*(ct_comp4+ca_comp4)*'Time on treatment'!$E$22)</f>
        <v>94342.17438126028</v>
      </c>
      <c r="BJ95" s="109">
        <f ca="1">(BJ30*c_on*12)+(BJ30*(ct_comp4+ca_comp4)*'Time on treatment'!$F$22)</f>
        <v>94342.17438126028</v>
      </c>
      <c r="BK95" s="110">
        <f ca="1">(BK30*c_on*12)+(BK30*(ct_comp4+ca_comp4)*'Time on treatment'!$G$22)</f>
        <v>94342.17438126028</v>
      </c>
      <c r="BN95" s="87" t="s">
        <v>171</v>
      </c>
      <c r="BO95" s="111"/>
      <c r="BP95" s="109">
        <f ca="1">(BP30*c_inicial)+(BP30*c_on*12)+(BP30*ci_comp5)+(BP30*(ct_comp5+ca_comp5)*'Time on treatment'!$D$23)</f>
        <v>9501.9105899717506</v>
      </c>
      <c r="BQ95" s="109">
        <f ca="1">(BQ30*c_on*12)+(BQ30*(ct_comp5+ca_comp5)*'Time on treatment'!$E$23)</f>
        <v>9501.9105899717506</v>
      </c>
      <c r="BR95" s="109">
        <f ca="1">(BR30*c_on*12)+(BR30*(ct_comp5+ca_comp5)*'Time on treatment'!$F$23)</f>
        <v>9501.9105899717506</v>
      </c>
      <c r="BS95" s="110">
        <f ca="1">(BS30*c_on*12)+(BS30*(ct_comp5+ca_comp5)*'Time on treatment'!$G$23)</f>
        <v>9501.9105899717506</v>
      </c>
      <c r="BV95" s="87" t="s">
        <v>171</v>
      </c>
      <c r="BW95" s="111"/>
      <c r="BX95" s="109">
        <f ca="1">(BX30*c_inicial)+(BX30*c_on*12)+(BX30*ci_comp6)+(BX30*(ct_comp6+ca_comp6)*'Time on treatment'!$D$24)</f>
        <v>350.7611455576897</v>
      </c>
      <c r="BY95" s="109">
        <f ca="1">(BY30*c_on*12)+(BY30*(ct_comp6+ca_comp6)*'Time on treatment'!$E$24)</f>
        <v>350.7611455576897</v>
      </c>
      <c r="BZ95" s="109">
        <f ca="1">(BZ30*c_on*12)+(BZ30*(ct_comp6+ca_comp6)*'Time on treatment'!$F$24)</f>
        <v>350.7611455576897</v>
      </c>
      <c r="CA95" s="110">
        <f ca="1">(CA30*c_on*12)+(CA30*(ct_comp6+ca_comp6)*'Time on treatment'!$G$24)</f>
        <v>350.7611455576897</v>
      </c>
      <c r="CD95" s="87" t="s">
        <v>171</v>
      </c>
      <c r="CE95" s="111"/>
      <c r="CF95" s="109">
        <f ca="1">(CF30*c_inicial)+(CF30*c_on*12)+(CF30*ci_comp7)+(CF30*(ct_comp7+ca_comp7)*'Time on treatment'!$D$25)</f>
        <v>25327.769684378683</v>
      </c>
      <c r="CG95" s="109">
        <f ca="1">(CG30*c_on*12)+(CG30*(ct_comp7+ca_comp7)*'Time on treatment'!$E$25)</f>
        <v>25327.769684378683</v>
      </c>
      <c r="CH95" s="109">
        <f ca="1">(CH30*c_on*12)+(CH30*(ct_comp7+ca_comp7)*'Time on treatment'!$F$25)</f>
        <v>25327.769684378683</v>
      </c>
      <c r="CI95" s="110">
        <f ca="1">(CI30*c_on*12)+(CI30*(ct_comp7+ca_comp7)*'Time on treatment'!$G$25)</f>
        <v>25327.769684378683</v>
      </c>
      <c r="CL95" s="87" t="s">
        <v>171</v>
      </c>
      <c r="CM95" s="111"/>
      <c r="CN95" s="109">
        <f ca="1">(CN30*c_inicial)+(CN30*c_on*12)+(CN30*ci_comp8)+(CN30*(ct_comp8+ca_comp8)*'Time on treatment'!$D$26)</f>
        <v>108527.08920749655</v>
      </c>
      <c r="CO95" s="109">
        <f ca="1">(CO30*c_on*12)+(CO30*(ct_comp8+ca_comp8)*'Time on treatment'!$E$26)</f>
        <v>108527.08920749655</v>
      </c>
      <c r="CP95" s="109">
        <f ca="1">(CP30*c_on*12)+(CP30*(ct_comp8+ca_comp8)*'Time on treatment'!$F$26)</f>
        <v>108527.08920749655</v>
      </c>
      <c r="CQ95" s="110">
        <f ca="1">(CQ30*c_on*12)+(CQ30*(ct_comp8+ca_comp8)*'Time on treatment'!$G$26)</f>
        <v>108527.08920749655</v>
      </c>
      <c r="CT95" s="87" t="s">
        <v>171</v>
      </c>
      <c r="CU95" s="111"/>
      <c r="CV95" s="109">
        <f ca="1">(CV30*c_inicial)+(CV30*c_on*12)+(CV30*ci_comp9)+(CV30*(ct_comp9+ca_comp9)*'Time on treatment'!$D$27)</f>
        <v>231483.77663992965</v>
      </c>
      <c r="CW95" s="109">
        <f ca="1">(CW30*c_on*12)+(CW30*(ct_comp9+ca_comp9)*'Time on treatment'!$E$27)</f>
        <v>231483.77663992965</v>
      </c>
      <c r="CX95" s="109">
        <f ca="1">(CX30*c_on*12)+(CX30*(ct_comp9+ca_comp9)*'Time on treatment'!$F$27)</f>
        <v>231483.77663992965</v>
      </c>
      <c r="CY95" s="110">
        <f ca="1">(CY30*c_on*12)+(CY30*(ct_comp9+ca_comp9)*'Time on treatment'!$G$27)</f>
        <v>231483.77663992965</v>
      </c>
      <c r="DB95" s="87" t="s">
        <v>171</v>
      </c>
      <c r="DC95" s="111"/>
      <c r="DD95" s="109">
        <f ca="1">(DD30*c_inicial)+(DD30*c_on*12)+(DD30*ci_comp10)+(DD30*(ct_comp10+ca_comp10)*'Time on treatment'!$D$28)</f>
        <v>0</v>
      </c>
      <c r="DE95" s="109">
        <f ca="1">(DE30*c_on*12)+(DE30*(ct_comp10+ca_comp10)*'Time on treatment'!$E$28)</f>
        <v>0</v>
      </c>
      <c r="DF95" s="109">
        <f ca="1">(DF30*c_on*12)+(DF30*(ct_comp10+ca_comp10)*'Time on treatment'!$F$28)</f>
        <v>0</v>
      </c>
      <c r="DG95" s="110">
        <f ca="1">(DG30*c_on*12)+(DG30*(ct_comp10+ca_comp10)*'Time on treatment'!$G$28)</f>
        <v>0</v>
      </c>
    </row>
    <row r="96" spans="2:113">
      <c r="B96" s="87" t="s">
        <v>176</v>
      </c>
      <c r="C96" s="111"/>
      <c r="D96" s="109">
        <f>D31*c_off</f>
        <v>0</v>
      </c>
      <c r="E96" s="109">
        <f>E31*c_off</f>
        <v>0</v>
      </c>
      <c r="F96" s="109">
        <f>F31*c_off</f>
        <v>0</v>
      </c>
      <c r="G96" s="110">
        <f>G31*c_off</f>
        <v>0</v>
      </c>
      <c r="J96" s="87" t="s">
        <v>176</v>
      </c>
      <c r="K96" s="111"/>
      <c r="L96" s="109">
        <f>L31*c_off</f>
        <v>0</v>
      </c>
      <c r="M96" s="109">
        <f>M31*c_off</f>
        <v>0</v>
      </c>
      <c r="N96" s="109">
        <f>N31*c_off</f>
        <v>0</v>
      </c>
      <c r="O96" s="110">
        <f>O31*c_off</f>
        <v>0</v>
      </c>
      <c r="R96" s="87" t="s">
        <v>176</v>
      </c>
      <c r="S96" s="111"/>
      <c r="T96" s="109">
        <f>T31*c_off</f>
        <v>0</v>
      </c>
      <c r="U96" s="109">
        <f>U31*c_off</f>
        <v>0</v>
      </c>
      <c r="V96" s="109">
        <f>V31*c_off</f>
        <v>0</v>
      </c>
      <c r="W96" s="110">
        <f>W31*c_off</f>
        <v>0</v>
      </c>
      <c r="Z96" s="87" t="s">
        <v>176</v>
      </c>
      <c r="AA96" s="111"/>
      <c r="AB96" s="109">
        <f>AB31*c_off</f>
        <v>0</v>
      </c>
      <c r="AC96" s="109">
        <f>AC31*c_off</f>
        <v>0</v>
      </c>
      <c r="AD96" s="109">
        <f>AD31*c_off</f>
        <v>0</v>
      </c>
      <c r="AE96" s="110">
        <f>AE31*c_off</f>
        <v>0</v>
      </c>
      <c r="AH96" s="87" t="s">
        <v>176</v>
      </c>
      <c r="AI96" s="111"/>
      <c r="AJ96" s="109">
        <f>AJ31*c_off</f>
        <v>0</v>
      </c>
      <c r="AK96" s="109">
        <f>AK31*c_off</f>
        <v>0</v>
      </c>
      <c r="AL96" s="109">
        <f>AL31*c_off</f>
        <v>0</v>
      </c>
      <c r="AM96" s="110">
        <f>AM31*c_off</f>
        <v>0</v>
      </c>
      <c r="AP96" s="87" t="s">
        <v>176</v>
      </c>
      <c r="AQ96" s="111"/>
      <c r="AR96" s="109">
        <f>AR31*c_off</f>
        <v>0</v>
      </c>
      <c r="AS96" s="109">
        <f>AS31*c_off</f>
        <v>0</v>
      </c>
      <c r="AT96" s="109">
        <f>AT31*c_off</f>
        <v>0</v>
      </c>
      <c r="AU96" s="110">
        <f>AU31*c_off</f>
        <v>0</v>
      </c>
      <c r="AX96" s="87" t="s">
        <v>176</v>
      </c>
      <c r="AY96" s="111"/>
      <c r="AZ96" s="109">
        <f>AZ31*c_off</f>
        <v>0</v>
      </c>
      <c r="BA96" s="109">
        <f>BA31*c_off</f>
        <v>0</v>
      </c>
      <c r="BB96" s="109">
        <f>BB31*c_off</f>
        <v>0</v>
      </c>
      <c r="BC96" s="110">
        <f>BC31*c_off</f>
        <v>0</v>
      </c>
      <c r="BF96" s="87" t="s">
        <v>176</v>
      </c>
      <c r="BG96" s="111"/>
      <c r="BH96" s="109">
        <f>BH31*c_off</f>
        <v>0</v>
      </c>
      <c r="BI96" s="109">
        <f>BI31*c_off</f>
        <v>0</v>
      </c>
      <c r="BJ96" s="109">
        <f>BJ31*c_off</f>
        <v>0</v>
      </c>
      <c r="BK96" s="110">
        <f>BK31*c_off</f>
        <v>0</v>
      </c>
      <c r="BN96" s="87" t="s">
        <v>176</v>
      </c>
      <c r="BO96" s="111"/>
      <c r="BP96" s="109">
        <f>BP31*c_off</f>
        <v>0</v>
      </c>
      <c r="BQ96" s="109">
        <f>BQ31*c_off</f>
        <v>0</v>
      </c>
      <c r="BR96" s="109">
        <f>BR31*c_off</f>
        <v>0</v>
      </c>
      <c r="BS96" s="110">
        <f>BS31*c_off</f>
        <v>0</v>
      </c>
      <c r="BV96" s="87" t="s">
        <v>176</v>
      </c>
      <c r="BW96" s="111"/>
      <c r="BX96" s="109">
        <f>BX31*c_off</f>
        <v>0</v>
      </c>
      <c r="BY96" s="109">
        <f>BY31*c_off</f>
        <v>0</v>
      </c>
      <c r="BZ96" s="109">
        <f>BZ31*c_off</f>
        <v>0</v>
      </c>
      <c r="CA96" s="110">
        <f>CA31*c_off</f>
        <v>0</v>
      </c>
      <c r="CD96" s="87" t="s">
        <v>176</v>
      </c>
      <c r="CE96" s="111"/>
      <c r="CF96" s="109">
        <f>CF31*c_off</f>
        <v>0</v>
      </c>
      <c r="CG96" s="109">
        <f>CG31*c_off</f>
        <v>0</v>
      </c>
      <c r="CH96" s="109">
        <f>CH31*c_off</f>
        <v>0</v>
      </c>
      <c r="CI96" s="110">
        <f>CI31*c_off</f>
        <v>0</v>
      </c>
      <c r="CL96" s="87" t="s">
        <v>176</v>
      </c>
      <c r="CM96" s="111"/>
      <c r="CN96" s="109">
        <f>CN31*c_off</f>
        <v>0</v>
      </c>
      <c r="CO96" s="109">
        <f>CO31*c_off</f>
        <v>0</v>
      </c>
      <c r="CP96" s="109">
        <f>CP31*c_off</f>
        <v>0</v>
      </c>
      <c r="CQ96" s="110">
        <f>CQ31*c_off</f>
        <v>0</v>
      </c>
      <c r="CT96" s="87" t="s">
        <v>176</v>
      </c>
      <c r="CU96" s="111"/>
      <c r="CV96" s="109">
        <f>CV31*c_off</f>
        <v>0</v>
      </c>
      <c r="CW96" s="109">
        <f>CW31*c_off</f>
        <v>0</v>
      </c>
      <c r="CX96" s="109">
        <f>CX31*c_off</f>
        <v>0</v>
      </c>
      <c r="CY96" s="110">
        <f>CY31*c_off</f>
        <v>0</v>
      </c>
      <c r="DB96" s="87" t="s">
        <v>176</v>
      </c>
      <c r="DC96" s="111"/>
      <c r="DD96" s="109">
        <f>DD31*c_off</f>
        <v>0</v>
      </c>
      <c r="DE96" s="109">
        <f>DE31*c_off</f>
        <v>0</v>
      </c>
      <c r="DF96" s="109">
        <f>DF31*c_off</f>
        <v>0</v>
      </c>
      <c r="DG96" s="110">
        <f>DG31*c_off</f>
        <v>0</v>
      </c>
    </row>
    <row r="97" spans="2:111">
      <c r="B97" s="87" t="s">
        <v>172</v>
      </c>
      <c r="C97" s="111"/>
      <c r="D97" s="111"/>
      <c r="E97" s="109">
        <f ca="1">(E32*c_inicial)+(E32*c_on*12)+(E32*ci_int1)+(E32*(ct_int1+ca_int1)*'Time on treatment'!$D$12)</f>
        <v>0</v>
      </c>
      <c r="F97" s="109">
        <f ca="1">(F32*c_on*12)+(F32*(ct_int1+ca_int1)*'Time on treatment'!$E$12)</f>
        <v>0</v>
      </c>
      <c r="G97" s="110">
        <f ca="1">(G32*c_on*12)+(G32*(ct_int1+ca_int1)*'Time on treatment'!$F$12)</f>
        <v>0</v>
      </c>
      <c r="J97" s="87" t="s">
        <v>172</v>
      </c>
      <c r="K97" s="111"/>
      <c r="L97" s="111"/>
      <c r="M97" s="109">
        <f ca="1">(M32*c_inicial)+(M32*c_on*12)+(M32*ci_int2)+(M32*(ct_int2+ca_int2)*'Time on treatment'!$D$13)</f>
        <v>0</v>
      </c>
      <c r="N97" s="109">
        <f ca="1">(N32*c_on*12)+(N32*(ct_int2+ca_int2)*'Time on treatment'!$E$13)</f>
        <v>0</v>
      </c>
      <c r="O97" s="110">
        <f ca="1">(O32*c_on*12)+(O32*(ct_int2+ca_int2)*'Time on treatment'!$F$13)</f>
        <v>0</v>
      </c>
      <c r="R97" s="87" t="s">
        <v>172</v>
      </c>
      <c r="S97" s="111"/>
      <c r="T97" s="111"/>
      <c r="U97" s="109">
        <f ca="1">(U32*c_inicial)+(U32*c_on*12)+(U32*ci_int3)+(U32*(ct_int3+ca_int3)*'Time on treatment'!$D$14)</f>
        <v>0</v>
      </c>
      <c r="V97" s="109">
        <f ca="1">(V32*c_on*12)+(V32*(ct_int3+ca_int3)*'Time on treatment'!$E$14)</f>
        <v>0</v>
      </c>
      <c r="W97" s="110">
        <f ca="1">(W32*c_on*12)+(W32*(ct_int3+ca_int3)*'Time on treatment'!$F$14)</f>
        <v>0</v>
      </c>
      <c r="Z97" s="87" t="s">
        <v>172</v>
      </c>
      <c r="AA97" s="111"/>
      <c r="AB97" s="111"/>
      <c r="AC97" s="109">
        <f ca="1">(AC32*c_inicial)+(AC32*c_on*12)+(AC32*ci_int4)+(AC32*(ct_int4+ca_int4)*'Time on treatment'!$D$15)</f>
        <v>0</v>
      </c>
      <c r="AD97" s="109">
        <f ca="1">(AD32*c_on*12)+(AD32*(ct_int4+ca_int4)*'Time on treatment'!$E$15)</f>
        <v>0</v>
      </c>
      <c r="AE97" s="110">
        <f ca="1">(AE32*c_on*12)+(AE32*(ct_int4+ca_int4)*'Time on treatment'!$F$15)</f>
        <v>0</v>
      </c>
      <c r="AH97" s="87" t="s">
        <v>172</v>
      </c>
      <c r="AI97" s="111"/>
      <c r="AJ97" s="111"/>
      <c r="AK97" s="109">
        <f ca="1">(AK32*c_inicial)+(AK32*c_on*12)+(AK32*ci_comp1)+(AK32*(ct_comp1+ca_comp1)*'Time on treatment'!$D$19)</f>
        <v>11449.401008567909</v>
      </c>
      <c r="AL97" s="109">
        <f ca="1">(AL32*c_on*12)+(AL32*(ct_comp1+ca_comp1)*'Time on treatment'!$E$19)</f>
        <v>11449.401008567909</v>
      </c>
      <c r="AM97" s="110">
        <f ca="1">(AM32*c_on*12)+(AM32*(ct_comp1+ca_comp1)*'Time on treatment'!$F$19)</f>
        <v>11449.401008567909</v>
      </c>
      <c r="AP97" s="87" t="s">
        <v>172</v>
      </c>
      <c r="AQ97" s="111"/>
      <c r="AR97" s="111"/>
      <c r="AS97" s="109">
        <f ca="1">(AS32*c_inicial)+(AS32*c_on*12)+(AS32*ci_comp2)+(AS32*(ct_comp2+ca_comp2)*'Time on treatment'!$D$20)</f>
        <v>86140.243525157828</v>
      </c>
      <c r="AT97" s="109">
        <f ca="1">(AT32*c_on*12)+(AT32*(ct_comp2+ca_comp2)*'Time on treatment'!$E$20)</f>
        <v>86140.243525157828</v>
      </c>
      <c r="AU97" s="110">
        <f ca="1">(AU32*c_on*12)+(AU32*(ct_comp2+ca_comp2)*'Time on treatment'!$F$20)</f>
        <v>86140.243525157828</v>
      </c>
      <c r="AX97" s="87" t="s">
        <v>172</v>
      </c>
      <c r="AY97" s="111"/>
      <c r="AZ97" s="111"/>
      <c r="BA97" s="109">
        <f ca="1">(BA32*c_inicial)+(BA32*c_on*12)+(BA32*ci_comp3)+(BA32*(ct_comp3+ca_comp3)*'Time on treatment'!$D$21)</f>
        <v>474274.4962622794</v>
      </c>
      <c r="BB97" s="109">
        <f ca="1">(BB32*c_on*12)+(BB32*(ct_comp3+ca_comp3)*'Time on treatment'!$E$21)</f>
        <v>474274.4962622794</v>
      </c>
      <c r="BC97" s="110">
        <f ca="1">(BC32*c_on*12)+(BC32*(ct_comp3+ca_comp3)*'Time on treatment'!$F$21)</f>
        <v>474274.4962622794</v>
      </c>
      <c r="BF97" s="87" t="s">
        <v>172</v>
      </c>
      <c r="BG97" s="111"/>
      <c r="BH97" s="111"/>
      <c r="BI97" s="109">
        <f ca="1">(BI32*c_inicial)+(BI32*c_on*12)+(BI32*ci_comp4)+(BI32*(ct_comp4+ca_comp4)*'Time on treatment'!$D$22)</f>
        <v>90389.099497578223</v>
      </c>
      <c r="BJ97" s="109">
        <f ca="1">(BJ32*c_on*12)+(BJ32*(ct_comp4+ca_comp4)*'Time on treatment'!$E$22)</f>
        <v>90389.099497578223</v>
      </c>
      <c r="BK97" s="110">
        <f ca="1">(BK32*c_on*12)+(BK32*(ct_comp4+ca_comp4)*'Time on treatment'!$F$22)</f>
        <v>90389.099497578223</v>
      </c>
      <c r="BN97" s="87" t="s">
        <v>172</v>
      </c>
      <c r="BO97" s="111"/>
      <c r="BP97" s="111"/>
      <c r="BQ97" s="109">
        <f ca="1">(BQ32*c_inicial)+(BQ32*c_on*12)+(BQ32*ci_comp5)+(BQ32*(ct_comp5+ca_comp5)*'Time on treatment'!$D$23)</f>
        <v>9103.7666596822746</v>
      </c>
      <c r="BR97" s="109">
        <f ca="1">(BR32*c_on*12)+(BR32*(ct_comp5+ca_comp5)*'Time on treatment'!$E$23)</f>
        <v>9103.7666596822746</v>
      </c>
      <c r="BS97" s="110">
        <f ca="1">(BS32*c_on*12)+(BS32*(ct_comp5+ca_comp5)*'Time on treatment'!$F$23)</f>
        <v>9103.7666596822746</v>
      </c>
      <c r="BV97" s="87" t="s">
        <v>172</v>
      </c>
      <c r="BW97" s="111"/>
      <c r="BX97" s="111"/>
      <c r="BY97" s="109">
        <f ca="1">(BY32*c_inicial)+(BY32*c_on*12)+(BY32*ci_comp6)+(BY32*(ct_comp6+ca_comp6)*'Time on treatment'!$D$24)</f>
        <v>336.06374130800475</v>
      </c>
      <c r="BZ97" s="109">
        <f ca="1">(BZ32*c_on*12)+(BZ32*(ct_comp6+ca_comp6)*'Time on treatment'!$E$24)</f>
        <v>336.06374130800475</v>
      </c>
      <c r="CA97" s="110">
        <f ca="1">(CA32*c_on*12)+(CA32*(ct_comp6+ca_comp6)*'Time on treatment'!$F$24)</f>
        <v>336.06374130800475</v>
      </c>
      <c r="CD97" s="87" t="s">
        <v>172</v>
      </c>
      <c r="CE97" s="111"/>
      <c r="CF97" s="111"/>
      <c r="CG97" s="109">
        <f ca="1">(CG32*c_inicial)+(CG32*c_on*12)+(CG32*ci_comp7)+(CG32*(ct_comp7+ca_comp7)*'Time on treatment'!$D$25)</f>
        <v>24266.499145983191</v>
      </c>
      <c r="CH97" s="109">
        <f ca="1">(CH32*c_on*12)+(CH32*(ct_comp7+ca_comp7)*'Time on treatment'!$E$25)</f>
        <v>24266.499145983191</v>
      </c>
      <c r="CI97" s="110">
        <f ca="1">(CI32*c_on*12)+(CI32*(ct_comp7+ca_comp7)*'Time on treatment'!$F$25)</f>
        <v>24266.499145983191</v>
      </c>
      <c r="CL97" s="87" t="s">
        <v>172</v>
      </c>
      <c r="CM97" s="111"/>
      <c r="CN97" s="111"/>
      <c r="CO97" s="109">
        <f ca="1">(CO32*c_inicial)+(CO32*c_on*12)+(CO32*ci_comp8)+(CO32*(ct_comp8+ca_comp8)*'Time on treatment'!$D$26)</f>
        <v>103979.64567697627</v>
      </c>
      <c r="CP97" s="109">
        <f ca="1">(CP32*c_on*12)+(CP32*(ct_comp8+ca_comp8)*'Time on treatment'!$E$26)</f>
        <v>103979.64567697627</v>
      </c>
      <c r="CQ97" s="110">
        <f ca="1">(CQ32*c_on*12)+(CQ32*(ct_comp8+ca_comp8)*'Time on treatment'!$F$26)</f>
        <v>103979.64567697627</v>
      </c>
      <c r="CT97" s="87" t="s">
        <v>172</v>
      </c>
      <c r="CU97" s="111"/>
      <c r="CV97" s="111"/>
      <c r="CW97" s="109">
        <f ca="1">(CW32*c_inicial)+(CW32*c_on*12)+(CW32*ci_comp9)+(CW32*(ct_comp9+ca_comp9)*'Time on treatment'!$D$27)</f>
        <v>221784.26834031026</v>
      </c>
      <c r="CX97" s="109">
        <f ca="1">(CX32*c_on*12)+(CX32*(ct_comp9+ca_comp9)*'Time on treatment'!$E$27)</f>
        <v>221784.26834031026</v>
      </c>
      <c r="CY97" s="110">
        <f ca="1">(CY32*c_on*12)+(CY32*(ct_comp9+ca_comp9)*'Time on treatment'!$F$27)</f>
        <v>221784.26834031026</v>
      </c>
      <c r="DB97" s="87" t="s">
        <v>172</v>
      </c>
      <c r="DC97" s="111"/>
      <c r="DD97" s="111"/>
      <c r="DE97" s="109">
        <f ca="1">(DE32*c_inicial)+(DE32*c_on*12)+(DE32*ci_comp10)+(DE32*(ct_comp10+ca_comp10)*'Time on treatment'!$D$28)</f>
        <v>0</v>
      </c>
      <c r="DF97" s="109">
        <f ca="1">(DF32*c_on*12)+(DF32*(ct_comp10+ca_comp10)*'Time on treatment'!$E$28)</f>
        <v>0</v>
      </c>
      <c r="DG97" s="110">
        <f ca="1">(DG32*c_on*12)+(DG32*(ct_comp10+ca_comp10)*'Time on treatment'!$F$28)</f>
        <v>0</v>
      </c>
    </row>
    <row r="98" spans="2:111">
      <c r="B98" s="87" t="s">
        <v>177</v>
      </c>
      <c r="C98" s="111"/>
      <c r="D98" s="111"/>
      <c r="E98" s="109">
        <f>E33*c_off</f>
        <v>0</v>
      </c>
      <c r="F98" s="109">
        <f>F33*c_off</f>
        <v>0</v>
      </c>
      <c r="G98" s="110">
        <f>G33*c_off</f>
        <v>0</v>
      </c>
      <c r="J98" s="87" t="s">
        <v>177</v>
      </c>
      <c r="K98" s="111"/>
      <c r="L98" s="111"/>
      <c r="M98" s="109">
        <f>M33*c_off</f>
        <v>0</v>
      </c>
      <c r="N98" s="109">
        <f>N33*c_off</f>
        <v>0</v>
      </c>
      <c r="O98" s="110">
        <f>O33*c_off</f>
        <v>0</v>
      </c>
      <c r="R98" s="87" t="s">
        <v>177</v>
      </c>
      <c r="S98" s="111"/>
      <c r="T98" s="111"/>
      <c r="U98" s="109">
        <f>U33*c_off</f>
        <v>0</v>
      </c>
      <c r="V98" s="109">
        <f>V33*c_off</f>
        <v>0</v>
      </c>
      <c r="W98" s="110">
        <f>W33*c_off</f>
        <v>0</v>
      </c>
      <c r="Z98" s="87" t="s">
        <v>177</v>
      </c>
      <c r="AA98" s="111"/>
      <c r="AB98" s="111"/>
      <c r="AC98" s="109">
        <f>AC33*c_off</f>
        <v>0</v>
      </c>
      <c r="AD98" s="109">
        <f>AD33*c_off</f>
        <v>0</v>
      </c>
      <c r="AE98" s="110">
        <f>AE33*c_off</f>
        <v>0</v>
      </c>
      <c r="AH98" s="87" t="s">
        <v>177</v>
      </c>
      <c r="AI98" s="111"/>
      <c r="AJ98" s="111"/>
      <c r="AK98" s="109">
        <f>AK33*c_off</f>
        <v>0</v>
      </c>
      <c r="AL98" s="109">
        <f>AL33*c_off</f>
        <v>0</v>
      </c>
      <c r="AM98" s="110">
        <f>AM33*c_off</f>
        <v>0</v>
      </c>
      <c r="AP98" s="87" t="s">
        <v>177</v>
      </c>
      <c r="AQ98" s="111"/>
      <c r="AR98" s="111"/>
      <c r="AS98" s="109">
        <f>AS33*c_off</f>
        <v>0</v>
      </c>
      <c r="AT98" s="109">
        <f>AT33*c_off</f>
        <v>0</v>
      </c>
      <c r="AU98" s="110">
        <f>AU33*c_off</f>
        <v>0</v>
      </c>
      <c r="AX98" s="87" t="s">
        <v>177</v>
      </c>
      <c r="AY98" s="111"/>
      <c r="AZ98" s="111"/>
      <c r="BA98" s="109">
        <f>BA33*c_off</f>
        <v>0</v>
      </c>
      <c r="BB98" s="109">
        <f>BB33*c_off</f>
        <v>0</v>
      </c>
      <c r="BC98" s="110">
        <f>BC33*c_off</f>
        <v>0</v>
      </c>
      <c r="BF98" s="87" t="s">
        <v>177</v>
      </c>
      <c r="BG98" s="111"/>
      <c r="BH98" s="111"/>
      <c r="BI98" s="109">
        <f>BI33*c_off</f>
        <v>0</v>
      </c>
      <c r="BJ98" s="109">
        <f>BJ33*c_off</f>
        <v>0</v>
      </c>
      <c r="BK98" s="110">
        <f>BK33*c_off</f>
        <v>0</v>
      </c>
      <c r="BN98" s="87" t="s">
        <v>177</v>
      </c>
      <c r="BO98" s="111"/>
      <c r="BP98" s="111"/>
      <c r="BQ98" s="109">
        <f>BQ33*c_off</f>
        <v>0</v>
      </c>
      <c r="BR98" s="109">
        <f>BR33*c_off</f>
        <v>0</v>
      </c>
      <c r="BS98" s="110">
        <f>BS33*c_off</f>
        <v>0</v>
      </c>
      <c r="BV98" s="87" t="s">
        <v>177</v>
      </c>
      <c r="BW98" s="111"/>
      <c r="BX98" s="111"/>
      <c r="BY98" s="109">
        <f>BY33*c_off</f>
        <v>0</v>
      </c>
      <c r="BZ98" s="109">
        <f>BZ33*c_off</f>
        <v>0</v>
      </c>
      <c r="CA98" s="110">
        <f>CA33*c_off</f>
        <v>0</v>
      </c>
      <c r="CD98" s="87" t="s">
        <v>177</v>
      </c>
      <c r="CE98" s="111"/>
      <c r="CF98" s="111"/>
      <c r="CG98" s="109">
        <f>CG33*c_off</f>
        <v>0</v>
      </c>
      <c r="CH98" s="109">
        <f>CH33*c_off</f>
        <v>0</v>
      </c>
      <c r="CI98" s="110">
        <f>CI33*c_off</f>
        <v>0</v>
      </c>
      <c r="CL98" s="87" t="s">
        <v>177</v>
      </c>
      <c r="CM98" s="111"/>
      <c r="CN98" s="111"/>
      <c r="CO98" s="109">
        <f>CO33*c_off</f>
        <v>0</v>
      </c>
      <c r="CP98" s="109">
        <f>CP33*c_off</f>
        <v>0</v>
      </c>
      <c r="CQ98" s="110">
        <f>CQ33*c_off</f>
        <v>0</v>
      </c>
      <c r="CT98" s="87" t="s">
        <v>177</v>
      </c>
      <c r="CU98" s="111"/>
      <c r="CV98" s="111"/>
      <c r="CW98" s="109">
        <f>CW33*c_off</f>
        <v>0</v>
      </c>
      <c r="CX98" s="109">
        <f>CX33*c_off</f>
        <v>0</v>
      </c>
      <c r="CY98" s="110">
        <f>CY33*c_off</f>
        <v>0</v>
      </c>
      <c r="DB98" s="87" t="s">
        <v>177</v>
      </c>
      <c r="DC98" s="111"/>
      <c r="DD98" s="111"/>
      <c r="DE98" s="109">
        <f>DE33*c_off</f>
        <v>0</v>
      </c>
      <c r="DF98" s="109">
        <f>DF33*c_off</f>
        <v>0</v>
      </c>
      <c r="DG98" s="110">
        <f>DG33*c_off</f>
        <v>0</v>
      </c>
    </row>
    <row r="99" spans="2:111">
      <c r="B99" s="87" t="s">
        <v>173</v>
      </c>
      <c r="C99" s="111"/>
      <c r="D99" s="111"/>
      <c r="E99" s="111"/>
      <c r="F99" s="109">
        <f ca="1">(F34*c_inicial)+(F34*c_on*12)+(F34*ci_int1)+(F34*(ct_int1+ca_int1)*'Time on treatment'!$D$12)</f>
        <v>0</v>
      </c>
      <c r="G99" s="110">
        <f ca="1">(G34*c_on*12)+(G34*(ct_int1+ca_int1)*'Time on treatment'!$E$12)</f>
        <v>0</v>
      </c>
      <c r="J99" s="87" t="s">
        <v>173</v>
      </c>
      <c r="K99" s="111"/>
      <c r="L99" s="111"/>
      <c r="M99" s="111"/>
      <c r="N99" s="109">
        <f ca="1">(N34*c_inicial)+(N34*c_on*12)+(N34*ci_int2)+(N34*(ct_int2+ca_int2)*'Time on treatment'!$D$13)</f>
        <v>0</v>
      </c>
      <c r="O99" s="110">
        <f ca="1">(O34*c_on*12)+(O34*(ct_int2+ca_int2)*'Time on treatment'!$E$13)</f>
        <v>0</v>
      </c>
      <c r="R99" s="87" t="s">
        <v>173</v>
      </c>
      <c r="S99" s="111"/>
      <c r="T99" s="111"/>
      <c r="U99" s="111"/>
      <c r="V99" s="109">
        <f ca="1">(V34*c_inicial)+(V34*c_on*12)+(V34*ci_int3)+(V34*(ct_int3+ca_int3)*'Time on treatment'!$D$14)</f>
        <v>0</v>
      </c>
      <c r="W99" s="110">
        <f ca="1">(W34*c_on*12)+(W34*(ct_int3+ca_int3)*'Time on treatment'!$E$14)</f>
        <v>0</v>
      </c>
      <c r="Z99" s="87" t="s">
        <v>173</v>
      </c>
      <c r="AA99" s="111"/>
      <c r="AB99" s="111"/>
      <c r="AC99" s="111"/>
      <c r="AD99" s="109">
        <f ca="1">(AD34*c_inicial)+(AD34*c_on*12)+(AD34*ci_int4)+(AD34*(ct_int4+ca_int4)*'Time on treatment'!$D$15)</f>
        <v>0</v>
      </c>
      <c r="AE99" s="110">
        <f ca="1">(AE34*c_on*12)+(AE34*(ct_int4+ca_int4)*'Time on treatment'!$E$15)</f>
        <v>0</v>
      </c>
      <c r="AH99" s="87" t="s">
        <v>173</v>
      </c>
      <c r="AI99" s="111"/>
      <c r="AJ99" s="111"/>
      <c r="AK99" s="111"/>
      <c r="AL99" s="109">
        <f ca="1">(AL34*c_inicial)+(AL34*c_on*12)+(AL34*ci_comp1)+(AL34*(ct_comp1+ca_comp1)*'Time on treatment'!$D$19)</f>
        <v>11476.607930558643</v>
      </c>
      <c r="AM99" s="110">
        <f ca="1">(AM34*c_on*12)+(AM34*(ct_comp1+ca_comp1)*'Time on treatment'!$E$19)</f>
        <v>11476.607930558643</v>
      </c>
      <c r="AP99" s="87" t="s">
        <v>173</v>
      </c>
      <c r="AQ99" s="111"/>
      <c r="AR99" s="111"/>
      <c r="AS99" s="111"/>
      <c r="AT99" s="109">
        <f ca="1">(AT34*c_inicial)+(AT34*c_on*12)+(AT34*ci_comp2)+(AT34*(ct_comp2+ca_comp2)*'Time on treatment'!$D$20)</f>
        <v>86344.9364068289</v>
      </c>
      <c r="AU99" s="110">
        <f ca="1">(AU34*c_on*12)+(AU34*(ct_comp2+ca_comp2)*'Time on treatment'!$E$20)</f>
        <v>86344.9364068289</v>
      </c>
      <c r="AX99" s="87" t="s">
        <v>173</v>
      </c>
      <c r="AY99" s="111"/>
      <c r="AZ99" s="111"/>
      <c r="BA99" s="111"/>
      <c r="BB99" s="109">
        <f ca="1">(BB34*c_inicial)+(BB34*c_on*12)+(BB34*ci_comp3)+(BB34*(ct_comp3+ca_comp3)*'Time on treatment'!$D$21)</f>
        <v>475401.50275042176</v>
      </c>
      <c r="BC99" s="110">
        <f ca="1">(BC34*c_on*12)+(BC34*(ct_comp3+ca_comp3)*'Time on treatment'!$E$21)</f>
        <v>475401.50275042176</v>
      </c>
      <c r="BF99" s="87" t="s">
        <v>173</v>
      </c>
      <c r="BG99" s="111"/>
      <c r="BH99" s="111"/>
      <c r="BI99" s="111"/>
      <c r="BJ99" s="109">
        <f ca="1">(BJ34*c_inicial)+(BJ34*c_on*12)+(BJ34*ci_comp4)+(BJ34*(ct_comp4+ca_comp4)*'Time on treatment'!$D$22)</f>
        <v>90603.88882821679</v>
      </c>
      <c r="BK99" s="110">
        <f ca="1">(BK34*c_on*12)+(BK34*(ct_comp4+ca_comp4)*'Time on treatment'!$E$22)</f>
        <v>90603.88882821679</v>
      </c>
      <c r="BN99" s="87" t="s">
        <v>173</v>
      </c>
      <c r="BO99" s="111"/>
      <c r="BP99" s="111"/>
      <c r="BQ99" s="111"/>
      <c r="BR99" s="109">
        <f ca="1">(BR34*c_inicial)+(BR34*c_on*12)+(BR34*ci_comp5)+(BR34*(ct_comp5+ca_comp5)*'Time on treatment'!$D$23)</f>
        <v>9125.3997101053028</v>
      </c>
      <c r="BS99" s="110">
        <f ca="1">(BS34*c_on*12)+(BS34*(ct_comp5+ca_comp5)*'Time on treatment'!$E$23)</f>
        <v>9125.3997101053028</v>
      </c>
      <c r="BV99" s="87" t="s">
        <v>173</v>
      </c>
      <c r="BW99" s="111"/>
      <c r="BX99" s="111"/>
      <c r="BY99" s="111"/>
      <c r="BZ99" s="109">
        <f ca="1">(BZ34*c_inicial)+(BZ34*c_on*12)+(BZ34*ci_comp6)+(BZ34*(ct_comp6+ca_comp6)*'Time on treatment'!$D$24)</f>
        <v>336.86232107535136</v>
      </c>
      <c r="CA99" s="110">
        <f ca="1">(CA34*c_on*12)+(CA34*(ct_comp6+ca_comp6)*'Time on treatment'!$E$24)</f>
        <v>336.86232107535136</v>
      </c>
      <c r="CD99" s="87" t="s">
        <v>173</v>
      </c>
      <c r="CE99" s="111"/>
      <c r="CF99" s="111"/>
      <c r="CG99" s="111"/>
      <c r="CH99" s="109">
        <f ca="1">(CH34*c_inicial)+(CH34*c_on*12)+(CH34*ci_comp7)+(CH34*(ct_comp7+ca_comp7)*'Time on treatment'!$D$25)</f>
        <v>24324.16301405444</v>
      </c>
      <c r="CI99" s="110">
        <f ca="1">(CI34*c_on*12)+(CI34*(ct_comp7+ca_comp7)*'Time on treatment'!$E$25)</f>
        <v>24324.16301405444</v>
      </c>
      <c r="CL99" s="87" t="s">
        <v>173</v>
      </c>
      <c r="CM99" s="111"/>
      <c r="CN99" s="111"/>
      <c r="CO99" s="111"/>
      <c r="CP99" s="109">
        <f ca="1">(CP34*c_inicial)+(CP34*c_on*12)+(CP34*ci_comp8)+(CP34*(ct_comp8+ca_comp8)*'Time on treatment'!$D$26)</f>
        <v>104226.72987871227</v>
      </c>
      <c r="CQ99" s="110">
        <f ca="1">(CQ34*c_on*12)+(CQ34*(ct_comp8+ca_comp8)*'Time on treatment'!$E$26)</f>
        <v>104226.72987871227</v>
      </c>
      <c r="CT99" s="87" t="s">
        <v>173</v>
      </c>
      <c r="CU99" s="111"/>
      <c r="CV99" s="111"/>
      <c r="CW99" s="111"/>
      <c r="CX99" s="109">
        <f ca="1">(CX34*c_inicial)+(CX34*c_on*12)+(CX34*ci_comp9)+(CX34*(ct_comp9+ca_comp9)*'Time on treatment'!$D$27)</f>
        <v>222311.28868687604</v>
      </c>
      <c r="CY99" s="110">
        <f ca="1">(CY34*c_on*12)+(CY34*(ct_comp9+ca_comp9)*'Time on treatment'!$E$27)</f>
        <v>222311.28868687604</v>
      </c>
      <c r="DB99" s="87" t="s">
        <v>173</v>
      </c>
      <c r="DC99" s="111"/>
      <c r="DD99" s="111"/>
      <c r="DE99" s="111"/>
      <c r="DF99" s="109">
        <f ca="1">(DF34*c_inicial)+(DF34*c_on*12)+(DF34*ci_comp10)+(DF34*(ct_comp10+ca_comp10)*'Time on treatment'!$D$28)</f>
        <v>0</v>
      </c>
      <c r="DG99" s="110">
        <f ca="1">(DG34*c_on*12)+(DG34*(ct_comp10+ca_comp10)*'Time on treatment'!$E$28)</f>
        <v>0</v>
      </c>
    </row>
    <row r="100" spans="2:111">
      <c r="B100" s="87" t="s">
        <v>178</v>
      </c>
      <c r="C100" s="111"/>
      <c r="D100" s="111"/>
      <c r="E100" s="111"/>
      <c r="F100" s="109">
        <f>F35*c_off</f>
        <v>0</v>
      </c>
      <c r="G100" s="110">
        <f>G35*c_off</f>
        <v>0</v>
      </c>
      <c r="J100" s="87" t="s">
        <v>178</v>
      </c>
      <c r="K100" s="111"/>
      <c r="L100" s="111"/>
      <c r="M100" s="111"/>
      <c r="N100" s="109">
        <f>N35*c_off</f>
        <v>0</v>
      </c>
      <c r="O100" s="110">
        <f>O35*c_off</f>
        <v>0</v>
      </c>
      <c r="R100" s="87" t="s">
        <v>178</v>
      </c>
      <c r="S100" s="111"/>
      <c r="T100" s="111"/>
      <c r="U100" s="111"/>
      <c r="V100" s="109">
        <f>V35*c_off</f>
        <v>0</v>
      </c>
      <c r="W100" s="110">
        <f>W35*c_off</f>
        <v>0</v>
      </c>
      <c r="Z100" s="87" t="s">
        <v>178</v>
      </c>
      <c r="AA100" s="111"/>
      <c r="AB100" s="111"/>
      <c r="AC100" s="111"/>
      <c r="AD100" s="109">
        <f>AD35*c_off</f>
        <v>0</v>
      </c>
      <c r="AE100" s="110">
        <f>AE35*c_off</f>
        <v>0</v>
      </c>
      <c r="AH100" s="87" t="s">
        <v>178</v>
      </c>
      <c r="AI100" s="111"/>
      <c r="AJ100" s="111"/>
      <c r="AK100" s="111"/>
      <c r="AL100" s="109">
        <f>AL35*c_off</f>
        <v>0</v>
      </c>
      <c r="AM100" s="110">
        <f>AM35*c_off</f>
        <v>0</v>
      </c>
      <c r="AP100" s="87" t="s">
        <v>178</v>
      </c>
      <c r="AQ100" s="111"/>
      <c r="AR100" s="111"/>
      <c r="AS100" s="111"/>
      <c r="AT100" s="109">
        <f>AT35*c_off</f>
        <v>0</v>
      </c>
      <c r="AU100" s="110">
        <f>AU35*c_off</f>
        <v>0</v>
      </c>
      <c r="AX100" s="87" t="s">
        <v>178</v>
      </c>
      <c r="AY100" s="111"/>
      <c r="AZ100" s="111"/>
      <c r="BA100" s="111"/>
      <c r="BB100" s="109">
        <f>BB35*c_off</f>
        <v>0</v>
      </c>
      <c r="BC100" s="110">
        <f>BC35*c_off</f>
        <v>0</v>
      </c>
      <c r="BF100" s="87" t="s">
        <v>178</v>
      </c>
      <c r="BG100" s="111"/>
      <c r="BH100" s="111"/>
      <c r="BI100" s="111"/>
      <c r="BJ100" s="109">
        <f>BJ35*c_off</f>
        <v>0</v>
      </c>
      <c r="BK100" s="110">
        <f>BK35*c_off</f>
        <v>0</v>
      </c>
      <c r="BN100" s="87" t="s">
        <v>178</v>
      </c>
      <c r="BO100" s="111"/>
      <c r="BP100" s="111"/>
      <c r="BQ100" s="111"/>
      <c r="BR100" s="109">
        <f>BR35*c_off</f>
        <v>0</v>
      </c>
      <c r="BS100" s="110">
        <f>BS35*c_off</f>
        <v>0</v>
      </c>
      <c r="BV100" s="87" t="s">
        <v>178</v>
      </c>
      <c r="BW100" s="111"/>
      <c r="BX100" s="111"/>
      <c r="BY100" s="111"/>
      <c r="BZ100" s="109">
        <f>BZ35*c_off</f>
        <v>0</v>
      </c>
      <c r="CA100" s="110">
        <f>CA35*c_off</f>
        <v>0</v>
      </c>
      <c r="CD100" s="87" t="s">
        <v>178</v>
      </c>
      <c r="CE100" s="111"/>
      <c r="CF100" s="111"/>
      <c r="CG100" s="111"/>
      <c r="CH100" s="109">
        <f>CH35*c_off</f>
        <v>0</v>
      </c>
      <c r="CI100" s="110">
        <f>CI35*c_off</f>
        <v>0</v>
      </c>
      <c r="CL100" s="87" t="s">
        <v>178</v>
      </c>
      <c r="CM100" s="111"/>
      <c r="CN100" s="111"/>
      <c r="CO100" s="111"/>
      <c r="CP100" s="109">
        <f>CP35*c_off</f>
        <v>0</v>
      </c>
      <c r="CQ100" s="110">
        <f>CQ35*c_off</f>
        <v>0</v>
      </c>
      <c r="CT100" s="87" t="s">
        <v>178</v>
      </c>
      <c r="CU100" s="111"/>
      <c r="CV100" s="111"/>
      <c r="CW100" s="111"/>
      <c r="CX100" s="109">
        <f>CX35*c_off</f>
        <v>0</v>
      </c>
      <c r="CY100" s="110">
        <f>CY35*c_off</f>
        <v>0</v>
      </c>
      <c r="DB100" s="87" t="s">
        <v>178</v>
      </c>
      <c r="DC100" s="111"/>
      <c r="DD100" s="111"/>
      <c r="DE100" s="111"/>
      <c r="DF100" s="109">
        <f>DF35*c_off</f>
        <v>0</v>
      </c>
      <c r="DG100" s="110">
        <f>DG35*c_off</f>
        <v>0</v>
      </c>
    </row>
    <row r="101" spans="2:111">
      <c r="B101" s="87" t="s">
        <v>174</v>
      </c>
      <c r="C101" s="111"/>
      <c r="D101" s="111"/>
      <c r="E101" s="111"/>
      <c r="F101" s="111"/>
      <c r="G101" s="110">
        <f ca="1">(G36*c_inicial)+(G36*c_on*12)+(G36*ci_int1)+(G36*(ct_int1+ca_int1)*'Time on treatment'!$D$12)</f>
        <v>0</v>
      </c>
      <c r="J101" s="87" t="s">
        <v>174</v>
      </c>
      <c r="K101" s="111"/>
      <c r="L101" s="111"/>
      <c r="M101" s="111"/>
      <c r="N101" s="111"/>
      <c r="O101" s="110">
        <f ca="1">(O36*c_inicial)+(O36*c_on*12)+(O36*ci_int2)+(O36*(ct_int2+ca_int2)*'Time on treatment'!$D$13)</f>
        <v>0</v>
      </c>
      <c r="R101" s="87" t="s">
        <v>174</v>
      </c>
      <c r="S101" s="111"/>
      <c r="T101" s="111"/>
      <c r="U101" s="111"/>
      <c r="V101" s="111"/>
      <c r="W101" s="110">
        <f ca="1">(W36*c_inicial)+(W36*c_on*12)+(W36*ci_int3)+(W36*(ct_int3+ca_int3)*'Time on treatment'!$D$14)</f>
        <v>0</v>
      </c>
      <c r="Z101" s="87" t="s">
        <v>174</v>
      </c>
      <c r="AA101" s="111"/>
      <c r="AB101" s="111"/>
      <c r="AC101" s="111"/>
      <c r="AD101" s="111"/>
      <c r="AE101" s="110">
        <f ca="1">(AE36*c_inicial)+(AE36*c_on*12)+(AE36*ci_int4)+(AE36*(ct_int4+ca_int4)*'Time on treatment'!$D$15)</f>
        <v>0</v>
      </c>
      <c r="AH101" s="87" t="s">
        <v>174</v>
      </c>
      <c r="AI101" s="111"/>
      <c r="AJ101" s="111"/>
      <c r="AK101" s="111"/>
      <c r="AL101" s="111"/>
      <c r="AM101" s="110">
        <f ca="1">(AM36*c_inicial)+(AM36*c_on*12)+(AM36*ci_comp1)+(AM36*(ct_comp1+ca_comp1)*'Time on treatment'!$D$19)</f>
        <v>11539.464691068606</v>
      </c>
      <c r="AP101" s="87" t="s">
        <v>174</v>
      </c>
      <c r="AQ101" s="111"/>
      <c r="AR101" s="111"/>
      <c r="AS101" s="111"/>
      <c r="AT101" s="111"/>
      <c r="AU101" s="110">
        <f ca="1">(AU36*c_inicial)+(AU36*c_on*12)+(AU36*ci_comp2)+(AU36*(ct_comp2+ca_comp2)*'Time on treatment'!$D$20)</f>
        <v>86817.842950453254</v>
      </c>
      <c r="AX101" s="87" t="s">
        <v>174</v>
      </c>
      <c r="AY101" s="111"/>
      <c r="AZ101" s="111"/>
      <c r="BA101" s="111"/>
      <c r="BB101" s="111"/>
      <c r="BC101" s="110">
        <f ca="1">(BC36*c_inicial)+(BC36*c_on*12)+(BC36*ci_comp3)+(BC36*(ct_comp3+ca_comp3)*'Time on treatment'!$D$21)</f>
        <v>478005.25105177262</v>
      </c>
      <c r="BF101" s="87" t="s">
        <v>174</v>
      </c>
      <c r="BG101" s="111"/>
      <c r="BH101" s="111"/>
      <c r="BI101" s="111"/>
      <c r="BJ101" s="111"/>
      <c r="BK101" s="110">
        <f ca="1">(BK36*c_inicial)+(BK36*c_on*12)+(BK36*ci_comp4)+(BK36*(ct_comp4+ca_comp4)*'Time on treatment'!$D$22)</f>
        <v>91100.12142375423</v>
      </c>
      <c r="BN101" s="87" t="s">
        <v>174</v>
      </c>
      <c r="BO101" s="111"/>
      <c r="BP101" s="111"/>
      <c r="BQ101" s="111"/>
      <c r="BR101" s="111"/>
      <c r="BS101" s="110">
        <f ca="1">(BS36*c_inicial)+(BS36*c_on*12)+(BS36*ci_comp5)+(BS36*(ct_comp5+ca_comp5)*'Time on treatment'!$D$23)</f>
        <v>9175.3790304416252</v>
      </c>
      <c r="BV101" s="87" t="s">
        <v>174</v>
      </c>
      <c r="BW101" s="111"/>
      <c r="BX101" s="111"/>
      <c r="BY101" s="111"/>
      <c r="BZ101" s="111"/>
      <c r="CA101" s="110">
        <f ca="1">(CA36*c_inicial)+(CA36*c_on*12)+(CA36*ci_comp6)+(CA36*(ct_comp6+ca_comp6)*'Time on treatment'!$D$24)</f>
        <v>338.7072977765493</v>
      </c>
      <c r="CD101" s="87" t="s">
        <v>174</v>
      </c>
      <c r="CE101" s="111"/>
      <c r="CF101" s="111"/>
      <c r="CG101" s="111"/>
      <c r="CH101" s="111"/>
      <c r="CI101" s="110">
        <f ca="1">(CI36*c_inicial)+(CI36*c_on*12)+(CI36*ci_comp7)+(CI36*(ct_comp7+ca_comp7)*'Time on treatment'!$D$25)</f>
        <v>24457.385138433954</v>
      </c>
      <c r="CL101" s="87" t="s">
        <v>174</v>
      </c>
      <c r="CM101" s="111"/>
      <c r="CN101" s="111"/>
      <c r="CO101" s="111"/>
      <c r="CP101" s="111"/>
      <c r="CQ101" s="110">
        <f ca="1">(CQ36*c_inicial)+(CQ36*c_on*12)+(CQ36*ci_comp8)+(CQ36*(ct_comp8+ca_comp8)*'Time on treatment'!$D$26)</f>
        <v>104797.57403740124</v>
      </c>
      <c r="CT101" s="87" t="s">
        <v>174</v>
      </c>
      <c r="CU101" s="111"/>
      <c r="CV101" s="111"/>
      <c r="CW101" s="111"/>
      <c r="CX101" s="111"/>
      <c r="CY101" s="110">
        <f ca="1">(CY36*c_inicial)+(CY36*c_on*12)+(CY36*ci_comp9)+(CY36*(ct_comp9+ca_comp9)*'Time on treatment'!$D$27)</f>
        <v>223528.87558330083</v>
      </c>
      <c r="DB101" s="87" t="s">
        <v>174</v>
      </c>
      <c r="DC101" s="111"/>
      <c r="DD101" s="111"/>
      <c r="DE101" s="111"/>
      <c r="DF101" s="111"/>
      <c r="DG101" s="110">
        <f ca="1">(DG36*c_inicial)+(DG36*c_on*12)+(DG36*ci_comp10)+(DG36*(ct_comp10+ca_comp10)*'Time on treatment'!$D$28)</f>
        <v>0</v>
      </c>
    </row>
    <row r="102" spans="2:111" ht="15" thickBot="1">
      <c r="B102" s="87" t="s">
        <v>179</v>
      </c>
      <c r="C102" s="111"/>
      <c r="D102" s="111"/>
      <c r="E102" s="111"/>
      <c r="F102" s="111"/>
      <c r="G102" s="112">
        <v>0</v>
      </c>
      <c r="J102" s="87" t="s">
        <v>179</v>
      </c>
      <c r="K102" s="111"/>
      <c r="L102" s="111"/>
      <c r="M102" s="111"/>
      <c r="N102" s="111"/>
      <c r="O102" s="112">
        <v>0</v>
      </c>
      <c r="R102" s="87" t="s">
        <v>179</v>
      </c>
      <c r="S102" s="111"/>
      <c r="T102" s="111"/>
      <c r="U102" s="111"/>
      <c r="V102" s="111"/>
      <c r="W102" s="112">
        <v>0</v>
      </c>
      <c r="Z102" s="87" t="s">
        <v>179</v>
      </c>
      <c r="AA102" s="111"/>
      <c r="AB102" s="111"/>
      <c r="AC102" s="111"/>
      <c r="AD102" s="111"/>
      <c r="AE102" s="112">
        <v>0</v>
      </c>
      <c r="AH102" s="87" t="s">
        <v>179</v>
      </c>
      <c r="AI102" s="111"/>
      <c r="AJ102" s="111"/>
      <c r="AK102" s="111"/>
      <c r="AL102" s="111"/>
      <c r="AM102" s="112">
        <v>0</v>
      </c>
      <c r="AP102" s="87" t="s">
        <v>179</v>
      </c>
      <c r="AQ102" s="111"/>
      <c r="AR102" s="111"/>
      <c r="AS102" s="111"/>
      <c r="AT102" s="111"/>
      <c r="AU102" s="112">
        <v>0</v>
      </c>
      <c r="AX102" s="87" t="s">
        <v>179</v>
      </c>
      <c r="AY102" s="111"/>
      <c r="AZ102" s="111"/>
      <c r="BA102" s="111"/>
      <c r="BB102" s="111"/>
      <c r="BC102" s="112">
        <v>0</v>
      </c>
      <c r="BF102" s="87" t="s">
        <v>179</v>
      </c>
      <c r="BG102" s="111"/>
      <c r="BH102" s="111"/>
      <c r="BI102" s="111"/>
      <c r="BJ102" s="111"/>
      <c r="BK102" s="112">
        <v>0</v>
      </c>
      <c r="BN102" s="87" t="s">
        <v>179</v>
      </c>
      <c r="BO102" s="111"/>
      <c r="BP102" s="111"/>
      <c r="BQ102" s="111"/>
      <c r="BR102" s="111"/>
      <c r="BS102" s="112">
        <v>0</v>
      </c>
      <c r="BV102" s="87" t="s">
        <v>179</v>
      </c>
      <c r="BW102" s="111"/>
      <c r="BX102" s="111"/>
      <c r="BY102" s="111"/>
      <c r="BZ102" s="111"/>
      <c r="CA102" s="112">
        <v>0</v>
      </c>
      <c r="CD102" s="87" t="s">
        <v>179</v>
      </c>
      <c r="CE102" s="111"/>
      <c r="CF102" s="111"/>
      <c r="CG102" s="111"/>
      <c r="CH102" s="111"/>
      <c r="CI102" s="112">
        <v>0</v>
      </c>
      <c r="CL102" s="87" t="s">
        <v>179</v>
      </c>
      <c r="CM102" s="111"/>
      <c r="CN102" s="111"/>
      <c r="CO102" s="111"/>
      <c r="CP102" s="111"/>
      <c r="CQ102" s="112">
        <v>0</v>
      </c>
      <c r="CT102" s="87" t="s">
        <v>179</v>
      </c>
      <c r="CU102" s="111"/>
      <c r="CV102" s="111"/>
      <c r="CW102" s="111"/>
      <c r="CX102" s="111"/>
      <c r="CY102" s="112">
        <v>0</v>
      </c>
      <c r="DB102" s="87" t="s">
        <v>179</v>
      </c>
      <c r="DC102" s="111"/>
      <c r="DD102" s="111"/>
      <c r="DE102" s="111"/>
      <c r="DF102" s="111"/>
      <c r="DG102" s="112">
        <v>0</v>
      </c>
    </row>
    <row r="103" spans="2:111" ht="15" thickBot="1">
      <c r="B103" s="85" t="str">
        <f>B5</f>
        <v>Rosuvastatin 5mg</v>
      </c>
      <c r="C103" s="113">
        <f ca="1">SUM(C93:C101)</f>
        <v>0</v>
      </c>
      <c r="D103" s="113">
        <f ca="1">SUM(D93:D101)</f>
        <v>0</v>
      </c>
      <c r="E103" s="113">
        <f ca="1">SUM(E93:E101)</f>
        <v>0</v>
      </c>
      <c r="F103" s="113">
        <f ca="1">SUM(F93:F101)</f>
        <v>0</v>
      </c>
      <c r="G103" s="114">
        <f ca="1">SUM(G93:G101)</f>
        <v>0</v>
      </c>
      <c r="J103" s="85" t="str">
        <f>J5</f>
        <v>Rosuvastatin 10mg</v>
      </c>
      <c r="K103" s="113">
        <f ca="1">SUM(K93:K101)</f>
        <v>0</v>
      </c>
      <c r="L103" s="113">
        <f ca="1">SUM(L93:L101)</f>
        <v>0</v>
      </c>
      <c r="M103" s="113">
        <f ca="1">SUM(M93:M101)</f>
        <v>0</v>
      </c>
      <c r="N103" s="113">
        <f ca="1">SUM(N93:N101)</f>
        <v>0</v>
      </c>
      <c r="O103" s="114">
        <f ca="1">SUM(O93:O101)</f>
        <v>0</v>
      </c>
      <c r="R103" s="85" t="str">
        <f>R5</f>
        <v>Rosuvastatin 20mg</v>
      </c>
      <c r="S103" s="113">
        <f ca="1">SUM(S93:S101)</f>
        <v>0</v>
      </c>
      <c r="T103" s="113">
        <f ca="1">SUM(T93:T101)</f>
        <v>0</v>
      </c>
      <c r="U103" s="113">
        <f ca="1">SUM(U93:U101)</f>
        <v>0</v>
      </c>
      <c r="V103" s="113">
        <f ca="1">SUM(V93:V101)</f>
        <v>0</v>
      </c>
      <c r="W103" s="114">
        <f ca="1">SUM(W93:W101)</f>
        <v>0</v>
      </c>
      <c r="Z103" s="85" t="str">
        <f>Z5</f>
        <v>Rosuvastatin 40mg</v>
      </c>
      <c r="AA103" s="113">
        <f ca="1">SUM(AA93:AA101)</f>
        <v>0</v>
      </c>
      <c r="AB103" s="113">
        <f ca="1">SUM(AB93:AB101)</f>
        <v>0</v>
      </c>
      <c r="AC103" s="113">
        <f ca="1">SUM(AC93:AC101)</f>
        <v>0</v>
      </c>
      <c r="AD103" s="113">
        <f ca="1">SUM(AD93:AD101)</f>
        <v>0</v>
      </c>
      <c r="AE103" s="114">
        <f ca="1">SUM(AE93:AE101)</f>
        <v>0</v>
      </c>
      <c r="AH103" s="85" t="str">
        <f>AH5</f>
        <v>Atorvastatin 10mg</v>
      </c>
      <c r="AI103" s="113">
        <f ca="1">SUM(AI93:AI101)</f>
        <v>1456977.3434282176</v>
      </c>
      <c r="AJ103" s="113">
        <f ca="1">SUM(AJ93:AJ101)</f>
        <v>1468927.4722879506</v>
      </c>
      <c r="AK103" s="113">
        <f ca="1">SUM(AK93:AK101)</f>
        <v>1480376.8732965186</v>
      </c>
      <c r="AL103" s="113">
        <f ca="1">SUM(AL93:AL101)</f>
        <v>1491853.4812270773</v>
      </c>
      <c r="AM103" s="114">
        <f ca="1">SUM(AM93:AM101)</f>
        <v>1503392.9459181458</v>
      </c>
      <c r="AP103" s="85" t="str">
        <f>AP5</f>
        <v>Atorvastatin 20mg</v>
      </c>
      <c r="AQ103" s="113">
        <f ca="1">SUM(AQ93:AQ101)</f>
        <v>10961654.94418666</v>
      </c>
      <c r="AR103" s="113">
        <f ca="1">SUM(AR93:AR101)</f>
        <v>11051562.44322212</v>
      </c>
      <c r="AS103" s="113">
        <f ca="1">SUM(AS93:AS101)</f>
        <v>11137702.686747279</v>
      </c>
      <c r="AT103" s="113">
        <f ca="1">SUM(AT93:AT101)</f>
        <v>11224047.623154107</v>
      </c>
      <c r="AU103" s="114">
        <f ca="1">SUM(AU93:AU101)</f>
        <v>11310865.466104561</v>
      </c>
      <c r="AX103" s="85" t="str">
        <f>AX5</f>
        <v>Atorvastatin 40mg</v>
      </c>
      <c r="AY103" s="113">
        <f ca="1">SUM(AY93:AY101)</f>
        <v>60353130.709883563</v>
      </c>
      <c r="AZ103" s="113">
        <f ca="1">SUM(AZ93:AZ101)</f>
        <v>60848147.116504133</v>
      </c>
      <c r="BA103" s="113">
        <f ca="1">SUM(BA93:BA101)</f>
        <v>61322421.612766415</v>
      </c>
      <c r="BB103" s="113">
        <f ca="1">SUM(BB93:BB101)</f>
        <v>61797823.115516834</v>
      </c>
      <c r="BC103" s="114">
        <f ca="1">SUM(BC93:BC101)</f>
        <v>62275828.36656861</v>
      </c>
      <c r="BF103" s="85" t="str">
        <f>BF5</f>
        <v>Atorvastatin 80mg</v>
      </c>
      <c r="BG103" s="113">
        <f ca="1">SUM(BG93:BG101)</f>
        <v>11502337.105871247</v>
      </c>
      <c r="BH103" s="113">
        <f ca="1">SUM(BH93:BH101)</f>
        <v>11596679.280252507</v>
      </c>
      <c r="BI103" s="113">
        <f ca="1">SUM(BI93:BI101)</f>
        <v>11687068.379750086</v>
      </c>
      <c r="BJ103" s="113">
        <f ca="1">SUM(BJ93:BJ101)</f>
        <v>11777672.268578302</v>
      </c>
      <c r="BK103" s="114">
        <f ca="1">SUM(BK93:BK101)</f>
        <v>11868772.390002057</v>
      </c>
      <c r="BN103" s="85" t="str">
        <f>BN5</f>
        <v>Pravastatin</v>
      </c>
      <c r="BO103" s="113">
        <f ca="1">SUM(BO93:BO101)</f>
        <v>1158486.9595438614</v>
      </c>
      <c r="BP103" s="113">
        <f ca="1">SUM(BP93:BP101)</f>
        <v>1167988.8701338333</v>
      </c>
      <c r="BQ103" s="113">
        <f ca="1">SUM(BQ93:BQ101)</f>
        <v>1177092.6367935156</v>
      </c>
      <c r="BR103" s="113">
        <f ca="1">SUM(BR93:BR101)</f>
        <v>1186218.0365036209</v>
      </c>
      <c r="BS103" s="114">
        <f ca="1">SUM(BS93:BS101)</f>
        <v>1195393.4155340625</v>
      </c>
      <c r="BV103" s="85" t="str">
        <f>BV5</f>
        <v>Simvastatin 5mg</v>
      </c>
      <c r="BW103" s="113">
        <f ca="1">SUM(BW93:BW101)</f>
        <v>42765.316427215286</v>
      </c>
      <c r="BX103" s="113">
        <f ca="1">SUM(BX93:BX101)</f>
        <v>43116.077572772978</v>
      </c>
      <c r="BY103" s="113">
        <f ca="1">SUM(BY93:BY101)</f>
        <v>43452.141314080982</v>
      </c>
      <c r="BZ103" s="113">
        <f ca="1">SUM(BZ93:BZ101)</f>
        <v>43789.003635156332</v>
      </c>
      <c r="CA103" s="114">
        <f ca="1">SUM(CA93:CA101)</f>
        <v>44127.710932932881</v>
      </c>
      <c r="CD103" s="85" t="str">
        <f>CD5</f>
        <v>Simvastatin 10mg</v>
      </c>
      <c r="CE103" s="113">
        <f ca="1">SUM(CE93:CE101)</f>
        <v>3087999.0519643785</v>
      </c>
      <c r="CF103" s="113">
        <f ca="1">SUM(CF93:CF101)</f>
        <v>3113326.821648757</v>
      </c>
      <c r="CG103" s="113">
        <f ca="1">SUM(CG93:CG101)</f>
        <v>3137593.3207947402</v>
      </c>
      <c r="CH103" s="113">
        <f ca="1">SUM(CH93:CH101)</f>
        <v>3161917.4838087945</v>
      </c>
      <c r="CI103" s="114">
        <f ca="1">SUM(CI93:CI101)</f>
        <v>3186374.8689472284</v>
      </c>
      <c r="CL103" s="85" t="str">
        <f>CL5</f>
        <v>Simvastatin 20mg</v>
      </c>
      <c r="CM103" s="113">
        <f ca="1">SUM(CM93:CM101)</f>
        <v>13231782.851843471</v>
      </c>
      <c r="CN103" s="113">
        <f ca="1">SUM(CN93:CN101)</f>
        <v>13340309.941050967</v>
      </c>
      <c r="CO103" s="113">
        <f ca="1">SUM(CO93:CO101)</f>
        <v>13444289.586727943</v>
      </c>
      <c r="CP103" s="113">
        <f ca="1">SUM(CP93:CP101)</f>
        <v>13548516.316606656</v>
      </c>
      <c r="CQ103" s="114">
        <f ca="1">SUM(CQ93:CQ101)</f>
        <v>13653313.890644057</v>
      </c>
      <c r="CT103" s="85" t="str">
        <f>CT5</f>
        <v>Simvastatin 40mg</v>
      </c>
      <c r="CU103" s="113">
        <f ca="1">SUM(CU93:CU101)</f>
        <v>28222843.610667959</v>
      </c>
      <c r="CV103" s="113">
        <f ca="1">SUM(CV93:CV101)</f>
        <v>28454327.38730789</v>
      </c>
      <c r="CW103" s="113">
        <f ca="1">SUM(CW93:CW101)</f>
        <v>28676111.655648202</v>
      </c>
      <c r="CX103" s="113">
        <f ca="1">SUM(CX93:CX101)</f>
        <v>28898422.944335077</v>
      </c>
      <c r="CY103" s="114">
        <f ca="1">SUM(CY93:CY101)</f>
        <v>29121951.819918379</v>
      </c>
      <c r="DB103" s="85">
        <f>DB5</f>
        <v>0</v>
      </c>
      <c r="DC103" s="113">
        <f ca="1">SUM(DC93:DC101)</f>
        <v>0</v>
      </c>
      <c r="DD103" s="113">
        <f ca="1">SUM(DD93:DD101)</f>
        <v>0</v>
      </c>
      <c r="DE103" s="113">
        <f ca="1">SUM(DE93:DE101)</f>
        <v>0</v>
      </c>
      <c r="DF103" s="113">
        <f ca="1">SUM(DF93:DF101)</f>
        <v>0</v>
      </c>
      <c r="DG103" s="114">
        <f ca="1">SUM(DG93:DG101)</f>
        <v>0</v>
      </c>
    </row>
    <row r="104" spans="2:111" ht="15" thickBot="1">
      <c r="B104" s="83"/>
      <c r="C104" s="86"/>
      <c r="D104" s="86"/>
      <c r="E104" s="86"/>
      <c r="F104" s="86"/>
      <c r="G104" s="86"/>
      <c r="J104" s="83"/>
      <c r="K104" s="86"/>
      <c r="L104" s="86"/>
      <c r="M104" s="86"/>
      <c r="N104" s="86"/>
      <c r="O104" s="86"/>
      <c r="R104" s="83"/>
      <c r="S104" s="86"/>
      <c r="T104" s="86"/>
      <c r="U104" s="86"/>
      <c r="V104" s="86"/>
      <c r="W104" s="86"/>
      <c r="Z104" s="83"/>
      <c r="AA104" s="86"/>
      <c r="AB104" s="86"/>
      <c r="AC104" s="86"/>
      <c r="AD104" s="86"/>
      <c r="AE104" s="86"/>
      <c r="AH104" s="83"/>
      <c r="AI104" s="86"/>
      <c r="AJ104" s="86"/>
      <c r="AK104" s="86"/>
      <c r="AL104" s="86"/>
      <c r="AM104" s="86"/>
      <c r="AP104" s="83"/>
      <c r="AQ104" s="86"/>
      <c r="AR104" s="86"/>
      <c r="AS104" s="86"/>
      <c r="AT104" s="86"/>
      <c r="AU104" s="86"/>
      <c r="AX104" s="83"/>
      <c r="AY104" s="86"/>
      <c r="AZ104" s="86"/>
      <c r="BA104" s="86"/>
      <c r="BB104" s="86"/>
      <c r="BC104" s="86"/>
      <c r="BF104" s="83"/>
      <c r="BG104" s="86"/>
      <c r="BH104" s="86"/>
      <c r="BI104" s="86"/>
      <c r="BJ104" s="86"/>
      <c r="BK104" s="86"/>
      <c r="BN104" s="83"/>
      <c r="BO104" s="86"/>
      <c r="BP104" s="86"/>
      <c r="BQ104" s="86"/>
      <c r="BR104" s="86"/>
      <c r="BS104" s="86"/>
      <c r="BV104" s="83"/>
      <c r="BW104" s="86"/>
      <c r="BX104" s="86"/>
      <c r="BY104" s="86"/>
      <c r="BZ104" s="86"/>
      <c r="CA104" s="86"/>
      <c r="CD104" s="83"/>
      <c r="CE104" s="86"/>
      <c r="CF104" s="86"/>
      <c r="CG104" s="86"/>
      <c r="CH104" s="86"/>
      <c r="CI104" s="86"/>
      <c r="CL104" s="83"/>
      <c r="CM104" s="86"/>
      <c r="CN104" s="86"/>
      <c r="CO104" s="86"/>
      <c r="CP104" s="86"/>
      <c r="CQ104" s="86"/>
      <c r="CT104" s="83"/>
      <c r="CU104" s="86"/>
      <c r="CV104" s="86"/>
      <c r="CW104" s="86"/>
      <c r="CX104" s="86"/>
      <c r="CY104" s="86"/>
      <c r="DB104" s="83"/>
      <c r="DC104" s="86"/>
      <c r="DD104" s="86"/>
      <c r="DE104" s="86"/>
      <c r="DF104" s="86"/>
      <c r="DG104" s="86"/>
    </row>
    <row r="105" spans="2:111" ht="15" thickBot="1">
      <c r="B105" s="507" t="str">
        <f>B41</f>
        <v>all options</v>
      </c>
      <c r="C105" s="505"/>
      <c r="D105" s="505"/>
      <c r="E105" s="505"/>
      <c r="F105" s="505"/>
      <c r="G105" s="506"/>
      <c r="J105" s="507" t="str">
        <f>J41</f>
        <v>all options</v>
      </c>
      <c r="K105" s="505"/>
      <c r="L105" s="505"/>
      <c r="M105" s="505"/>
      <c r="N105" s="505"/>
      <c r="O105" s="506"/>
      <c r="R105" s="507" t="str">
        <f>R41</f>
        <v>all options</v>
      </c>
      <c r="S105" s="505"/>
      <c r="T105" s="505"/>
      <c r="U105" s="505"/>
      <c r="V105" s="505"/>
      <c r="W105" s="506"/>
      <c r="Z105" s="507" t="str">
        <f>Z41</f>
        <v>all options</v>
      </c>
      <c r="AA105" s="505"/>
      <c r="AB105" s="505"/>
      <c r="AC105" s="505"/>
      <c r="AD105" s="505"/>
      <c r="AE105" s="506"/>
      <c r="AH105" s="507" t="str">
        <f>AH41</f>
        <v>all options</v>
      </c>
      <c r="AI105" s="505"/>
      <c r="AJ105" s="505"/>
      <c r="AK105" s="505"/>
      <c r="AL105" s="505"/>
      <c r="AM105" s="506"/>
      <c r="AP105" s="507" t="str">
        <f>AP41</f>
        <v>all options</v>
      </c>
      <c r="AQ105" s="505"/>
      <c r="AR105" s="505"/>
      <c r="AS105" s="505"/>
      <c r="AT105" s="505"/>
      <c r="AU105" s="506"/>
      <c r="AX105" s="507" t="str">
        <f>AX41</f>
        <v>all options</v>
      </c>
      <c r="AY105" s="505"/>
      <c r="AZ105" s="505"/>
      <c r="BA105" s="505"/>
      <c r="BB105" s="505"/>
      <c r="BC105" s="506"/>
      <c r="BF105" s="507" t="str">
        <f>BF41</f>
        <v>all options</v>
      </c>
      <c r="BG105" s="505"/>
      <c r="BH105" s="505"/>
      <c r="BI105" s="505"/>
      <c r="BJ105" s="505"/>
      <c r="BK105" s="506"/>
      <c r="BN105" s="507" t="str">
        <f>BN41</f>
        <v>all options</v>
      </c>
      <c r="BO105" s="505"/>
      <c r="BP105" s="505"/>
      <c r="BQ105" s="505"/>
      <c r="BR105" s="505"/>
      <c r="BS105" s="506"/>
      <c r="BV105" s="507" t="str">
        <f>BV41</f>
        <v>all options</v>
      </c>
      <c r="BW105" s="505"/>
      <c r="BX105" s="505"/>
      <c r="BY105" s="505"/>
      <c r="BZ105" s="505"/>
      <c r="CA105" s="506"/>
      <c r="CD105" s="507" t="str">
        <f>CD41</f>
        <v>all options</v>
      </c>
      <c r="CE105" s="505"/>
      <c r="CF105" s="505"/>
      <c r="CG105" s="505"/>
      <c r="CH105" s="505"/>
      <c r="CI105" s="506"/>
      <c r="CL105" s="507" t="str">
        <f>CL41</f>
        <v>all options</v>
      </c>
      <c r="CM105" s="505"/>
      <c r="CN105" s="505"/>
      <c r="CO105" s="505"/>
      <c r="CP105" s="505"/>
      <c r="CQ105" s="506"/>
      <c r="CT105" s="507" t="str">
        <f>CT41</f>
        <v>all options</v>
      </c>
      <c r="CU105" s="505"/>
      <c r="CV105" s="505"/>
      <c r="CW105" s="505"/>
      <c r="CX105" s="505"/>
      <c r="CY105" s="506"/>
      <c r="DB105" s="507" t="str">
        <f>DB41</f>
        <v>all options</v>
      </c>
      <c r="DC105" s="505"/>
      <c r="DD105" s="505"/>
      <c r="DE105" s="505"/>
      <c r="DF105" s="505"/>
      <c r="DG105" s="506"/>
    </row>
    <row r="106" spans="2:111">
      <c r="B106" s="84"/>
      <c r="C106" s="101">
        <f>C42</f>
        <v>2026</v>
      </c>
      <c r="D106" s="101">
        <f t="shared" ref="D106:F106" si="286">D42</f>
        <v>2027</v>
      </c>
      <c r="E106" s="101">
        <f t="shared" si="286"/>
        <v>2028</v>
      </c>
      <c r="F106" s="101">
        <f t="shared" si="286"/>
        <v>2029</v>
      </c>
      <c r="G106" s="102">
        <f>G42</f>
        <v>2030</v>
      </c>
      <c r="J106" s="84"/>
      <c r="K106" s="101">
        <f>K42</f>
        <v>2026</v>
      </c>
      <c r="L106" s="101">
        <f t="shared" ref="L106:N106" si="287">L42</f>
        <v>2027</v>
      </c>
      <c r="M106" s="101">
        <f t="shared" si="287"/>
        <v>2028</v>
      </c>
      <c r="N106" s="101">
        <f t="shared" si="287"/>
        <v>2029</v>
      </c>
      <c r="O106" s="102">
        <f>O42</f>
        <v>2030</v>
      </c>
      <c r="R106" s="84"/>
      <c r="S106" s="101">
        <f>S42</f>
        <v>2026</v>
      </c>
      <c r="T106" s="101">
        <f t="shared" ref="T106:V106" si="288">T42</f>
        <v>2027</v>
      </c>
      <c r="U106" s="101">
        <f t="shared" si="288"/>
        <v>2028</v>
      </c>
      <c r="V106" s="101">
        <f t="shared" si="288"/>
        <v>2029</v>
      </c>
      <c r="W106" s="102">
        <f>W42</f>
        <v>2030</v>
      </c>
      <c r="Z106" s="84"/>
      <c r="AA106" s="101">
        <f>AA42</f>
        <v>2026</v>
      </c>
      <c r="AB106" s="101">
        <f t="shared" ref="AB106:AD106" si="289">AB42</f>
        <v>2027</v>
      </c>
      <c r="AC106" s="101">
        <f t="shared" si="289"/>
        <v>2028</v>
      </c>
      <c r="AD106" s="101">
        <f t="shared" si="289"/>
        <v>2029</v>
      </c>
      <c r="AE106" s="102">
        <f>AE42</f>
        <v>2030</v>
      </c>
      <c r="AH106" s="84"/>
      <c r="AI106" s="101">
        <f>AI42</f>
        <v>2026</v>
      </c>
      <c r="AJ106" s="101">
        <f t="shared" ref="AJ106:AL106" si="290">AJ42</f>
        <v>2027</v>
      </c>
      <c r="AK106" s="101">
        <f t="shared" si="290"/>
        <v>2028</v>
      </c>
      <c r="AL106" s="101">
        <f t="shared" si="290"/>
        <v>2029</v>
      </c>
      <c r="AM106" s="102">
        <f>AM42</f>
        <v>2030</v>
      </c>
      <c r="AP106" s="84"/>
      <c r="AQ106" s="101">
        <f>AQ42</f>
        <v>2026</v>
      </c>
      <c r="AR106" s="101">
        <f t="shared" ref="AR106:AT106" si="291">AR42</f>
        <v>2027</v>
      </c>
      <c r="AS106" s="101">
        <f t="shared" si="291"/>
        <v>2028</v>
      </c>
      <c r="AT106" s="101">
        <f t="shared" si="291"/>
        <v>2029</v>
      </c>
      <c r="AU106" s="102">
        <f>AU42</f>
        <v>2030</v>
      </c>
      <c r="AX106" s="84"/>
      <c r="AY106" s="101">
        <f>AY42</f>
        <v>2026</v>
      </c>
      <c r="AZ106" s="101">
        <f t="shared" ref="AZ106:BB106" si="292">AZ42</f>
        <v>2027</v>
      </c>
      <c r="BA106" s="101">
        <f t="shared" si="292"/>
        <v>2028</v>
      </c>
      <c r="BB106" s="101">
        <f t="shared" si="292"/>
        <v>2029</v>
      </c>
      <c r="BC106" s="102">
        <f>BC42</f>
        <v>2030</v>
      </c>
      <c r="BF106" s="84"/>
      <c r="BG106" s="101">
        <f>BG42</f>
        <v>2026</v>
      </c>
      <c r="BH106" s="101">
        <f t="shared" ref="BH106:BJ106" si="293">BH42</f>
        <v>2027</v>
      </c>
      <c r="BI106" s="101">
        <f t="shared" si="293"/>
        <v>2028</v>
      </c>
      <c r="BJ106" s="101">
        <f t="shared" si="293"/>
        <v>2029</v>
      </c>
      <c r="BK106" s="102">
        <f>BK42</f>
        <v>2030</v>
      </c>
      <c r="BN106" s="84"/>
      <c r="BO106" s="101">
        <f>BO42</f>
        <v>2026</v>
      </c>
      <c r="BP106" s="101">
        <f t="shared" ref="BP106:BR106" si="294">BP42</f>
        <v>2027</v>
      </c>
      <c r="BQ106" s="101">
        <f t="shared" si="294"/>
        <v>2028</v>
      </c>
      <c r="BR106" s="101">
        <f t="shared" si="294"/>
        <v>2029</v>
      </c>
      <c r="BS106" s="102">
        <f>BS42</f>
        <v>2030</v>
      </c>
      <c r="BV106" s="84"/>
      <c r="BW106" s="101">
        <f>BW42</f>
        <v>2026</v>
      </c>
      <c r="BX106" s="101">
        <f t="shared" ref="BX106:BZ106" si="295">BX42</f>
        <v>2027</v>
      </c>
      <c r="BY106" s="101">
        <f t="shared" si="295"/>
        <v>2028</v>
      </c>
      <c r="BZ106" s="101">
        <f t="shared" si="295"/>
        <v>2029</v>
      </c>
      <c r="CA106" s="102">
        <f>CA42</f>
        <v>2030</v>
      </c>
      <c r="CD106" s="84"/>
      <c r="CE106" s="101">
        <f>CE42</f>
        <v>2026</v>
      </c>
      <c r="CF106" s="101">
        <f t="shared" ref="CF106:CH106" si="296">CF42</f>
        <v>2027</v>
      </c>
      <c r="CG106" s="101">
        <f t="shared" si="296"/>
        <v>2028</v>
      </c>
      <c r="CH106" s="101">
        <f t="shared" si="296"/>
        <v>2029</v>
      </c>
      <c r="CI106" s="102">
        <f>CI42</f>
        <v>2030</v>
      </c>
      <c r="CL106" s="84"/>
      <c r="CM106" s="101">
        <f>CM42</f>
        <v>2026</v>
      </c>
      <c r="CN106" s="101">
        <f t="shared" ref="CN106:CP106" si="297">CN42</f>
        <v>2027</v>
      </c>
      <c r="CO106" s="101">
        <f t="shared" si="297"/>
        <v>2028</v>
      </c>
      <c r="CP106" s="101">
        <f t="shared" si="297"/>
        <v>2029</v>
      </c>
      <c r="CQ106" s="102">
        <f>CQ42</f>
        <v>2030</v>
      </c>
      <c r="CT106" s="84"/>
      <c r="CU106" s="101">
        <f>CU42</f>
        <v>2026</v>
      </c>
      <c r="CV106" s="101">
        <f t="shared" ref="CV106:CX106" si="298">CV42</f>
        <v>2027</v>
      </c>
      <c r="CW106" s="101">
        <f t="shared" si="298"/>
        <v>2028</v>
      </c>
      <c r="CX106" s="101">
        <f t="shared" si="298"/>
        <v>2029</v>
      </c>
      <c r="CY106" s="102">
        <f>CY42</f>
        <v>2030</v>
      </c>
      <c r="DB106" s="84"/>
      <c r="DC106" s="101">
        <f>DC42</f>
        <v>2026</v>
      </c>
      <c r="DD106" s="101">
        <f t="shared" ref="DD106:DF106" si="299">DD42</f>
        <v>2027</v>
      </c>
      <c r="DE106" s="101">
        <f t="shared" si="299"/>
        <v>2028</v>
      </c>
      <c r="DF106" s="101">
        <f t="shared" si="299"/>
        <v>2029</v>
      </c>
      <c r="DG106" s="102">
        <f>DG42</f>
        <v>2030</v>
      </c>
    </row>
    <row r="107" spans="2:111">
      <c r="B107" s="87" t="s">
        <v>170</v>
      </c>
      <c r="C107" s="109">
        <f ca="1">(C43*c_inicial)+(C43*c_on*12)+(C43*ci_int1)+(C43*(ct_int1+ca_int1)*'Time on treatment'!$D$12)</f>
        <v>9261678.4026258253</v>
      </c>
      <c r="D107" s="109">
        <f ca="1">(D43*c_on*12)+(D43*(ct_int1+ca_int1)*'Time on treatment'!$E$12)</f>
        <v>9261678.4026258253</v>
      </c>
      <c r="E107" s="109">
        <f ca="1">(E43*c_on*12)+(E43*(ct_int1+ca_int1)*'Time on treatment'!$F$12)</f>
        <v>9261678.4026258253</v>
      </c>
      <c r="F107" s="109">
        <f ca="1">(F43*c_on*12)+(F43*(ct_int1+ca_int1)*'Time on treatment'!$G$12)</f>
        <v>9261678.4026258253</v>
      </c>
      <c r="G107" s="110">
        <f ca="1">(G43*c_on*12)+(G43*(ct_int1+ca_int1)*'Time on treatment'!$H$12)</f>
        <v>9261678.4026258253</v>
      </c>
      <c r="J107" s="87" t="s">
        <v>170</v>
      </c>
      <c r="K107" s="109">
        <f ca="1">(K43*c_inicial)+(K43*c_on*12)+(K43*ci_int2)+(K43*(ct_int2+ca_int2)*'Time on treatment'!$D$13)</f>
        <v>18432096.591963455</v>
      </c>
      <c r="L107" s="109">
        <f ca="1">(L43*c_on*12)+(L43*(ct_int2+ca_int2)*'Time on treatment'!$E$13)</f>
        <v>18432096.591963455</v>
      </c>
      <c r="M107" s="109">
        <f ca="1">(M43*c_on*12)+(M43*(ct_int2+ca_int2)*'Time on treatment'!$F$13)</f>
        <v>18432096.591963455</v>
      </c>
      <c r="N107" s="109">
        <f ca="1">(N43*c_on*12)+(N43*(ct_int2+ca_int2)*'Time on treatment'!$G$13)</f>
        <v>18432096.591963455</v>
      </c>
      <c r="O107" s="110">
        <f ca="1">(O43*c_on*12)+(O43*(ct_int2+ca_int2)*'Time on treatment'!$H$13)</f>
        <v>18432096.591963455</v>
      </c>
      <c r="R107" s="87" t="s">
        <v>170</v>
      </c>
      <c r="S107" s="109">
        <f ca="1">(S43*c_inicial)+(S43*c_on*12)+(S43*ci_int3)+(S43*(ct_int3+ca_int3)*'Time on treatment'!$D$14)</f>
        <v>8812776.8129379638</v>
      </c>
      <c r="T107" s="109">
        <f ca="1">(T43*c_on*12)+(T43*(ct_int3+ca_int3)*'Time on treatment'!$E$14)</f>
        <v>8812776.8129379638</v>
      </c>
      <c r="U107" s="109">
        <f ca="1">(U43*c_on*12)+(U43*(ct_int3+ca_int3)*'Time on treatment'!$F$14)</f>
        <v>8812776.8129379638</v>
      </c>
      <c r="V107" s="109">
        <f ca="1">(V43*c_on*12)+(V43*(ct_int3+ca_int3)*'Time on treatment'!$G$14)</f>
        <v>8812776.8129379638</v>
      </c>
      <c r="W107" s="110">
        <f ca="1">(W43*c_on*12)+(W43*(ct_int3+ca_int3)*'Time on treatment'!$H$14)</f>
        <v>8812776.8129379638</v>
      </c>
      <c r="Z107" s="87" t="s">
        <v>170</v>
      </c>
      <c r="AA107" s="109">
        <f ca="1">(AA43*c_inicial)+(AA43*c_on*12)+(AA43*ci_int4)+(AA43*(ct_int4+ca_int4)*'Time on treatment'!$D$15)</f>
        <v>9776353.1190078706</v>
      </c>
      <c r="AB107" s="109">
        <f ca="1">(AB43*c_on*12)+(AB43*(ct_int4+ca_int4)*'Time on treatment'!$E$15)</f>
        <v>9776353.1190078706</v>
      </c>
      <c r="AC107" s="109">
        <f ca="1">(AC43*c_on*12)+(AC43*(ct_int4+ca_int4)*'Time on treatment'!$F$15)</f>
        <v>9776353.1190078706</v>
      </c>
      <c r="AD107" s="109">
        <f ca="1">(AD43*c_on*12)+(AD43*(ct_int4+ca_int4)*'Time on treatment'!$G$15)</f>
        <v>9776353.1190078706</v>
      </c>
      <c r="AE107" s="110">
        <f ca="1">(AE43*c_on*12)+(AE43*(ct_int4+ca_int4)*'Time on treatment'!$H$15)</f>
        <v>9776353.1190078706</v>
      </c>
      <c r="AH107" s="87" t="s">
        <v>170</v>
      </c>
      <c r="AI107" s="109">
        <f ca="1">(AI43*c_inicial)+(AI43*c_on*12)+(AI43*ci_comp1)+(AI43*(ct_comp1+ca_comp1)*'Time on treatment'!$D$19)</f>
        <v>1311279.6090853959</v>
      </c>
      <c r="AJ107" s="109">
        <f ca="1">(AJ43*c_on*12)+(AJ43*(ct_comp1+ca_comp1)*'Time on treatment'!$E$19)</f>
        <v>1311279.6090853959</v>
      </c>
      <c r="AK107" s="109">
        <f ca="1">(AK43*c_on*12)+(AK43*(ct_comp1+ca_comp1)*'Time on treatment'!$F$19)</f>
        <v>1311279.6090853959</v>
      </c>
      <c r="AL107" s="109">
        <f ca="1">(AL43*c_on*12)+(AL43*(ct_comp1+ca_comp1)*'Time on treatment'!$G$19)</f>
        <v>1311279.6090853959</v>
      </c>
      <c r="AM107" s="110">
        <f ca="1">(AM43*c_on*12)+(AM43*(ct_comp1+ca_comp1)*'Time on treatment'!$H$19)</f>
        <v>1311279.6090853959</v>
      </c>
      <c r="AP107" s="87" t="s">
        <v>170</v>
      </c>
      <c r="AQ107" s="109">
        <f ca="1">(AQ43*c_inicial)+(AQ43*c_on*12)+(AQ43*ci_comp2)+(AQ43*(ct_comp2+ca_comp2)*'Time on treatment'!$D$20)</f>
        <v>9865489.4497679938</v>
      </c>
      <c r="AR107" s="109">
        <f ca="1">(AR43*c_on*12)+(AR43*(ct_comp2+ca_comp2)*'Time on treatment'!$E$20)</f>
        <v>9865489.4497679938</v>
      </c>
      <c r="AS107" s="109">
        <f ca="1">(AS43*c_on*12)+(AS43*(ct_comp2+ca_comp2)*'Time on treatment'!$F$20)</f>
        <v>9865489.4497679938</v>
      </c>
      <c r="AT107" s="109">
        <f ca="1">(AT43*c_on*12)+(AT43*(ct_comp2+ca_comp2)*'Time on treatment'!$G$20)</f>
        <v>9865489.4497679938</v>
      </c>
      <c r="AU107" s="110">
        <f ca="1">(AU43*c_on*12)+(AU43*(ct_comp2+ca_comp2)*'Time on treatment'!$H$20)</f>
        <v>9865489.4497679938</v>
      </c>
      <c r="AX107" s="87" t="s">
        <v>170</v>
      </c>
      <c r="AY107" s="109">
        <f ca="1">(AY43*c_inicial)+(AY43*c_on*12)+(AY43*ci_comp3)+(AY43*(ct_comp3+ca_comp3)*'Time on treatment'!$D$21)</f>
        <v>54317817.638895214</v>
      </c>
      <c r="AZ107" s="109">
        <f ca="1">(AZ43*c_on*12)+(AZ43*(ct_comp3+ca_comp3)*'Time on treatment'!$E$21)</f>
        <v>54317817.638895214</v>
      </c>
      <c r="BA107" s="109">
        <f ca="1">(BA43*c_on*12)+(BA43*(ct_comp3+ca_comp3)*'Time on treatment'!$F$21)</f>
        <v>54317817.638895214</v>
      </c>
      <c r="BB107" s="109">
        <f ca="1">(BB43*c_on*12)+(BB43*(ct_comp3+ca_comp3)*'Time on treatment'!$G$21)</f>
        <v>54317817.638895214</v>
      </c>
      <c r="BC107" s="110">
        <f ca="1">(BC43*c_on*12)+(BC43*(ct_comp3+ca_comp3)*'Time on treatment'!$H$21)</f>
        <v>54317817.638895214</v>
      </c>
      <c r="BF107" s="87" t="s">
        <v>170</v>
      </c>
      <c r="BG107" s="109">
        <f ca="1">(BG43*c_inicial)+(BG43*c_on*12)+(BG43*ci_comp4)+(BG43*(ct_comp4+ca_comp4)*'Time on treatment'!$D$22)</f>
        <v>10352103.395284122</v>
      </c>
      <c r="BH107" s="109">
        <f ca="1">(BH43*c_on*12)+(BH43*(ct_comp4+ca_comp4)*'Time on treatment'!$E$22)</f>
        <v>10352103.395284122</v>
      </c>
      <c r="BI107" s="109">
        <f ca="1">(BI43*c_on*12)+(BI43*(ct_comp4+ca_comp4)*'Time on treatment'!$F$22)</f>
        <v>10352103.395284122</v>
      </c>
      <c r="BJ107" s="109">
        <f ca="1">(BJ43*c_on*12)+(BJ43*(ct_comp4+ca_comp4)*'Time on treatment'!$G$22)</f>
        <v>10352103.395284122</v>
      </c>
      <c r="BK107" s="110">
        <f ca="1">(BK43*c_on*12)+(BK43*(ct_comp4+ca_comp4)*'Time on treatment'!$H$22)</f>
        <v>10352103.395284122</v>
      </c>
      <c r="BN107" s="87" t="s">
        <v>170</v>
      </c>
      <c r="BO107" s="109">
        <f ca="1">(BO43*c_inicial)+(BO43*c_on*12)+(BO43*ci_comp5)+(BO43*(ct_comp5+ca_comp5)*'Time on treatment'!$D$23)</f>
        <v>1042638.2635894753</v>
      </c>
      <c r="BP107" s="109">
        <f ca="1">(BP43*c_on*12)+(BP43*(ct_comp5+ca_comp5)*'Time on treatment'!$E$23)</f>
        <v>1042638.2635894753</v>
      </c>
      <c r="BQ107" s="109">
        <f ca="1">(BQ43*c_on*12)+(BQ43*(ct_comp5+ca_comp5)*'Time on treatment'!$F$23)</f>
        <v>1042638.2635894753</v>
      </c>
      <c r="BR107" s="109">
        <f ca="1">(BR43*c_on*12)+(BR43*(ct_comp5+ca_comp5)*'Time on treatment'!$G$23)</f>
        <v>1042638.2635894753</v>
      </c>
      <c r="BS107" s="110">
        <f ca="1">(BS43*c_on*12)+(BS43*(ct_comp5+ca_comp5)*'Time on treatment'!$H$23)</f>
        <v>1042638.2635894753</v>
      </c>
      <c r="BV107" s="87" t="s">
        <v>170</v>
      </c>
      <c r="BW107" s="109">
        <f ca="1">(BW43*c_inicial)+(BW43*c_on*12)+(BW43*ci_comp6)+(BW43*(ct_comp6+ca_comp6)*'Time on treatment'!$D$24)</f>
        <v>38488.78478449375</v>
      </c>
      <c r="BX107" s="109">
        <f ca="1">(BX43*c_on*12)+(BX43*(ct_comp6+ca_comp6)*'Time on treatment'!$E$24)</f>
        <v>38488.78478449375</v>
      </c>
      <c r="BY107" s="109">
        <f ca="1">(BY43*c_on*12)+(BY43*(ct_comp6+ca_comp6)*'Time on treatment'!$F$24)</f>
        <v>38488.78478449375</v>
      </c>
      <c r="BZ107" s="109">
        <f ca="1">(BZ43*c_on*12)+(BZ43*(ct_comp6+ca_comp6)*'Time on treatment'!$G$24)</f>
        <v>38488.78478449375</v>
      </c>
      <c r="CA107" s="110">
        <f ca="1">(CA43*c_on*12)+(CA43*(ct_comp6+ca_comp6)*'Time on treatment'!$H$24)</f>
        <v>38488.78478449375</v>
      </c>
      <c r="CD107" s="87" t="s">
        <v>170</v>
      </c>
      <c r="CE107" s="109">
        <f ca="1">(CE43*c_inicial)+(CE43*c_on*12)+(CE43*ci_comp7)+(CE43*(ct_comp7+ca_comp7)*'Time on treatment'!$D$25)</f>
        <v>2779199.1467679399</v>
      </c>
      <c r="CF107" s="109">
        <f ca="1">(CF43*c_on*12)+(CF43*(ct_comp7+ca_comp7)*'Time on treatment'!$E$25)</f>
        <v>2779199.1467679399</v>
      </c>
      <c r="CG107" s="109">
        <f ca="1">(CG43*c_on*12)+(CG43*(ct_comp7+ca_comp7)*'Time on treatment'!$F$25)</f>
        <v>2779199.1467679399</v>
      </c>
      <c r="CH107" s="109">
        <f ca="1">(CH43*c_on*12)+(CH43*(ct_comp7+ca_comp7)*'Time on treatment'!$G$25)</f>
        <v>2779199.1467679399</v>
      </c>
      <c r="CI107" s="110">
        <f ca="1">(CI43*c_on*12)+(CI43*(ct_comp7+ca_comp7)*'Time on treatment'!$H$25)</f>
        <v>2779199.1467679399</v>
      </c>
      <c r="CL107" s="87" t="s">
        <v>170</v>
      </c>
      <c r="CM107" s="109">
        <f ca="1">(CM43*c_inicial)+(CM43*c_on*12)+(CM43*ci_comp8)+(CM43*(ct_comp8+ca_comp8)*'Time on treatment'!$D$26)</f>
        <v>11908604.566659126</v>
      </c>
      <c r="CN107" s="109">
        <f ca="1">(CN43*c_on*12)+(CN43*(ct_comp8+ca_comp8)*'Time on treatment'!$E$26)</f>
        <v>11908604.566659126</v>
      </c>
      <c r="CO107" s="109">
        <f ca="1">(CO43*c_on*12)+(CO43*(ct_comp8+ca_comp8)*'Time on treatment'!$F$26)</f>
        <v>11908604.566659126</v>
      </c>
      <c r="CP107" s="109">
        <f ca="1">(CP43*c_on*12)+(CP43*(ct_comp8+ca_comp8)*'Time on treatment'!$G$26)</f>
        <v>11908604.566659126</v>
      </c>
      <c r="CQ107" s="110">
        <f ca="1">(CQ43*c_on*12)+(CQ43*(ct_comp8+ca_comp8)*'Time on treatment'!$H$26)</f>
        <v>11908604.566659126</v>
      </c>
      <c r="CT107" s="87" t="s">
        <v>170</v>
      </c>
      <c r="CU107" s="109">
        <f ca="1">(CU43*c_inicial)+(CU43*c_on*12)+(CU43*ci_comp9)+(CU43*(ct_comp9+ca_comp9)*'Time on treatment'!$D$27)</f>
        <v>25400559.249601152</v>
      </c>
      <c r="CV107" s="109">
        <f ca="1">(CV43*c_on*12)+(CV43*(ct_comp9+ca_comp9)*'Time on treatment'!$E$27)</f>
        <v>25400559.249601152</v>
      </c>
      <c r="CW107" s="109">
        <f ca="1">(CW43*c_on*12)+(CW43*(ct_comp9+ca_comp9)*'Time on treatment'!$F$27)</f>
        <v>25400559.249601152</v>
      </c>
      <c r="CX107" s="109">
        <f ca="1">(CX43*c_on*12)+(CX43*(ct_comp9+ca_comp9)*'Time on treatment'!$G$27)</f>
        <v>25400559.249601152</v>
      </c>
      <c r="CY107" s="110">
        <f ca="1">(CY43*c_on*12)+(CY43*(ct_comp9+ca_comp9)*'Time on treatment'!$H$27)</f>
        <v>25400559.249601152</v>
      </c>
      <c r="DB107" s="87" t="s">
        <v>170</v>
      </c>
      <c r="DC107" s="109">
        <f ca="1">(DC43*c_inicial)+(DC43*c_on*12)+(DC43*ci_comp10)+(DC43*(ct_comp10+ca_comp10)*'Time on treatment'!$D$28)</f>
        <v>0</v>
      </c>
      <c r="DD107" s="109">
        <f ca="1">(DD43*c_on*12)+(DD43*(ct_comp10+ca_comp10)*'Time on treatment'!$E$28)</f>
        <v>0</v>
      </c>
      <c r="DE107" s="109">
        <f ca="1">(DE43*c_on*12)+(DE43*(ct_comp10+ca_comp10)*'Time on treatment'!$F$28)</f>
        <v>0</v>
      </c>
      <c r="DF107" s="109">
        <f ca="1">(DF43*c_on*12)+(DF43*(ct_comp10+ca_comp10)*'Time on treatment'!$G$28)</f>
        <v>0</v>
      </c>
      <c r="DG107" s="110">
        <f ca="1">(DG43*c_on*12)+(DG43*(ct_comp10+ca_comp10)*'Time on treatment'!$H$28)</f>
        <v>0</v>
      </c>
    </row>
    <row r="108" spans="2:111">
      <c r="B108" s="87" t="s">
        <v>175</v>
      </c>
      <c r="C108" s="109">
        <f>C44*c_off</f>
        <v>0</v>
      </c>
      <c r="D108" s="109">
        <f>D44*c_off</f>
        <v>0</v>
      </c>
      <c r="E108" s="109">
        <f>E44*c_off</f>
        <v>0</v>
      </c>
      <c r="F108" s="109">
        <f>F44*c_off</f>
        <v>0</v>
      </c>
      <c r="G108" s="110">
        <f>G44*c_off</f>
        <v>0</v>
      </c>
      <c r="J108" s="87" t="s">
        <v>175</v>
      </c>
      <c r="K108" s="109">
        <f>K44*c_off</f>
        <v>0</v>
      </c>
      <c r="L108" s="109">
        <f>L44*c_off</f>
        <v>0</v>
      </c>
      <c r="M108" s="109">
        <f>M44*c_off</f>
        <v>0</v>
      </c>
      <c r="N108" s="109">
        <f>N44*c_off</f>
        <v>0</v>
      </c>
      <c r="O108" s="110">
        <f>O44*c_off</f>
        <v>0</v>
      </c>
      <c r="R108" s="87" t="s">
        <v>175</v>
      </c>
      <c r="S108" s="109">
        <f>S44*c_off</f>
        <v>0</v>
      </c>
      <c r="T108" s="109">
        <f>T44*c_off</f>
        <v>0</v>
      </c>
      <c r="U108" s="109">
        <f>U44*c_off</f>
        <v>0</v>
      </c>
      <c r="V108" s="109">
        <f>V44*c_off</f>
        <v>0</v>
      </c>
      <c r="W108" s="110">
        <f>W44*c_off</f>
        <v>0</v>
      </c>
      <c r="Z108" s="87" t="s">
        <v>175</v>
      </c>
      <c r="AA108" s="109">
        <f>AA44*c_off</f>
        <v>0</v>
      </c>
      <c r="AB108" s="109">
        <f>AB44*c_off</f>
        <v>0</v>
      </c>
      <c r="AC108" s="109">
        <f>AC44*c_off</f>
        <v>0</v>
      </c>
      <c r="AD108" s="109">
        <f>AD44*c_off</f>
        <v>0</v>
      </c>
      <c r="AE108" s="110">
        <f>AE44*c_off</f>
        <v>0</v>
      </c>
      <c r="AH108" s="87" t="s">
        <v>175</v>
      </c>
      <c r="AI108" s="109">
        <f>AI44*c_off</f>
        <v>0</v>
      </c>
      <c r="AJ108" s="109">
        <f>AJ44*c_off</f>
        <v>0</v>
      </c>
      <c r="AK108" s="109">
        <f>AK44*c_off</f>
        <v>0</v>
      </c>
      <c r="AL108" s="109">
        <f>AL44*c_off</f>
        <v>0</v>
      </c>
      <c r="AM108" s="110">
        <f>AM44*c_off</f>
        <v>0</v>
      </c>
      <c r="AP108" s="87" t="s">
        <v>175</v>
      </c>
      <c r="AQ108" s="109">
        <f>AQ44*c_off</f>
        <v>0</v>
      </c>
      <c r="AR108" s="109">
        <f>AR44*c_off</f>
        <v>0</v>
      </c>
      <c r="AS108" s="109">
        <f>AS44*c_off</f>
        <v>0</v>
      </c>
      <c r="AT108" s="109">
        <f>AT44*c_off</f>
        <v>0</v>
      </c>
      <c r="AU108" s="110">
        <f>AU44*c_off</f>
        <v>0</v>
      </c>
      <c r="AX108" s="87" t="s">
        <v>175</v>
      </c>
      <c r="AY108" s="109">
        <f>AY44*c_off</f>
        <v>0</v>
      </c>
      <c r="AZ108" s="109">
        <f>AZ44*c_off</f>
        <v>0</v>
      </c>
      <c r="BA108" s="109">
        <f>BA44*c_off</f>
        <v>0</v>
      </c>
      <c r="BB108" s="109">
        <f>BB44*c_off</f>
        <v>0</v>
      </c>
      <c r="BC108" s="110">
        <f>BC44*c_off</f>
        <v>0</v>
      </c>
      <c r="BF108" s="87" t="s">
        <v>175</v>
      </c>
      <c r="BG108" s="109">
        <f>BG44*c_off</f>
        <v>0</v>
      </c>
      <c r="BH108" s="109">
        <f>BH44*c_off</f>
        <v>0</v>
      </c>
      <c r="BI108" s="109">
        <f>BI44*c_off</f>
        <v>0</v>
      </c>
      <c r="BJ108" s="109">
        <f>BJ44*c_off</f>
        <v>0</v>
      </c>
      <c r="BK108" s="110">
        <f>BK44*c_off</f>
        <v>0</v>
      </c>
      <c r="BN108" s="87" t="s">
        <v>175</v>
      </c>
      <c r="BO108" s="109">
        <f>BO44*c_off</f>
        <v>0</v>
      </c>
      <c r="BP108" s="109">
        <f>BP44*c_off</f>
        <v>0</v>
      </c>
      <c r="BQ108" s="109">
        <f>BQ44*c_off</f>
        <v>0</v>
      </c>
      <c r="BR108" s="109">
        <f>BR44*c_off</f>
        <v>0</v>
      </c>
      <c r="BS108" s="110">
        <f>BS44*c_off</f>
        <v>0</v>
      </c>
      <c r="BV108" s="87" t="s">
        <v>175</v>
      </c>
      <c r="BW108" s="109">
        <f>BW44*c_off</f>
        <v>0</v>
      </c>
      <c r="BX108" s="109">
        <f>BX44*c_off</f>
        <v>0</v>
      </c>
      <c r="BY108" s="109">
        <f>BY44*c_off</f>
        <v>0</v>
      </c>
      <c r="BZ108" s="109">
        <f>BZ44*c_off</f>
        <v>0</v>
      </c>
      <c r="CA108" s="110">
        <f>CA44*c_off</f>
        <v>0</v>
      </c>
      <c r="CD108" s="87" t="s">
        <v>175</v>
      </c>
      <c r="CE108" s="109">
        <f>CE44*c_off</f>
        <v>0</v>
      </c>
      <c r="CF108" s="109">
        <f>CF44*c_off</f>
        <v>0</v>
      </c>
      <c r="CG108" s="109">
        <f>CG44*c_off</f>
        <v>0</v>
      </c>
      <c r="CH108" s="109">
        <f>CH44*c_off</f>
        <v>0</v>
      </c>
      <c r="CI108" s="110">
        <f>CI44*c_off</f>
        <v>0</v>
      </c>
      <c r="CL108" s="87" t="s">
        <v>175</v>
      </c>
      <c r="CM108" s="109">
        <f>CM44*c_off</f>
        <v>0</v>
      </c>
      <c r="CN108" s="109">
        <f>CN44*c_off</f>
        <v>0</v>
      </c>
      <c r="CO108" s="109">
        <f>CO44*c_off</f>
        <v>0</v>
      </c>
      <c r="CP108" s="109">
        <f>CP44*c_off</f>
        <v>0</v>
      </c>
      <c r="CQ108" s="110">
        <f>CQ44*c_off</f>
        <v>0</v>
      </c>
      <c r="CT108" s="87" t="s">
        <v>175</v>
      </c>
      <c r="CU108" s="109">
        <f>CU44*c_off</f>
        <v>0</v>
      </c>
      <c r="CV108" s="109">
        <f>CV44*c_off</f>
        <v>0</v>
      </c>
      <c r="CW108" s="109">
        <f>CW44*c_off</f>
        <v>0</v>
      </c>
      <c r="CX108" s="109">
        <f>CX44*c_off</f>
        <v>0</v>
      </c>
      <c r="CY108" s="110">
        <f>CY44*c_off</f>
        <v>0</v>
      </c>
      <c r="DB108" s="87" t="s">
        <v>175</v>
      </c>
      <c r="DC108" s="109">
        <f>DC44*c_off</f>
        <v>0</v>
      </c>
      <c r="DD108" s="109">
        <f>DD44*c_off</f>
        <v>0</v>
      </c>
      <c r="DE108" s="109">
        <f>DE44*c_off</f>
        <v>0</v>
      </c>
      <c r="DF108" s="109">
        <f>DF44*c_off</f>
        <v>0</v>
      </c>
      <c r="DG108" s="110">
        <f>DG44*c_off</f>
        <v>0</v>
      </c>
    </row>
    <row r="109" spans="2:111">
      <c r="B109" s="87" t="s">
        <v>171</v>
      </c>
      <c r="C109" s="111"/>
      <c r="D109" s="109">
        <f ca="1">(D45*c_inicial)+(D45*c_on*12)+(D45*ci_int1)+(D45*(ct_int1+ca_int1)*'Time on treatment'!$D$12)</f>
        <v>151928.58127548228</v>
      </c>
      <c r="E109" s="109">
        <f ca="1">(E45*c_on*12)+(E45*(ct_int1+ca_int1)*'Time on treatment'!$E$12)</f>
        <v>151928.58127548228</v>
      </c>
      <c r="F109" s="109">
        <f ca="1">(F45*c_on*12)+(F45*(ct_int1+ca_int1)*'Time on treatment'!$F$12)</f>
        <v>151928.58127548228</v>
      </c>
      <c r="G109" s="110">
        <f ca="1">(G45*c_on*12)+(G45*(ct_int1+ca_int1)*'Time on treatment'!$G$12)</f>
        <v>151928.58127548228</v>
      </c>
      <c r="J109" s="87" t="s">
        <v>171</v>
      </c>
      <c r="K109" s="111"/>
      <c r="L109" s="109">
        <f ca="1">(L45*c_inicial)+(L45*c_on*12)+(L45*ci_int2)+(L45*(ct_int2+ca_int2)*'Time on treatment'!$D$13)</f>
        <v>302360.12992587988</v>
      </c>
      <c r="M109" s="109">
        <f ca="1">(M45*c_on*12)+(M45*(ct_int2+ca_int2)*'Time on treatment'!$E$13)</f>
        <v>302360.12992587988</v>
      </c>
      <c r="N109" s="109">
        <f ca="1">(N45*c_on*12)+(N45*(ct_int2+ca_int2)*'Time on treatment'!$F$13)</f>
        <v>302360.12992587988</v>
      </c>
      <c r="O109" s="110">
        <f ca="1">(O45*c_on*12)+(O45*(ct_int2+ca_int2)*'Time on treatment'!$G$13)</f>
        <v>302360.12992587988</v>
      </c>
      <c r="R109" s="87" t="s">
        <v>171</v>
      </c>
      <c r="S109" s="111"/>
      <c r="T109" s="109">
        <f ca="1">(T45*c_inicial)+(T45*c_on*12)+(T45*ci_int3)+(T45*(ct_int3+ca_int3)*'Time on treatment'!$D$14)</f>
        <v>144564.79917371453</v>
      </c>
      <c r="U109" s="109">
        <f ca="1">(U45*c_on*12)+(U45*(ct_int3+ca_int3)*'Time on treatment'!$E$14)</f>
        <v>144564.79917371453</v>
      </c>
      <c r="V109" s="109">
        <f ca="1">(V45*c_on*12)+(V45*(ct_int3+ca_int3)*'Time on treatment'!$F$14)</f>
        <v>144564.79917371453</v>
      </c>
      <c r="W109" s="110">
        <f ca="1">(W45*c_on*12)+(W45*(ct_int3+ca_int3)*'Time on treatment'!$G$14)</f>
        <v>144564.79917371453</v>
      </c>
      <c r="Z109" s="87" t="s">
        <v>171</v>
      </c>
      <c r="AA109" s="111"/>
      <c r="AB109" s="109">
        <f ca="1">(AB45*c_inicial)+(AB45*c_on*12)+(AB45*ci_int4)+(AB45*(ct_int4+ca_int4)*'Time on treatment'!$D$15)</f>
        <v>160371.30580974341</v>
      </c>
      <c r="AC109" s="109">
        <f ca="1">(AC45*c_on*12)+(AC45*(ct_int4+ca_int4)*'Time on treatment'!$E$15)</f>
        <v>160371.30580974341</v>
      </c>
      <c r="AD109" s="109">
        <f ca="1">(AD45*c_on*12)+(AD45*(ct_int4+ca_int4)*'Time on treatment'!$F$15)</f>
        <v>160371.30580974341</v>
      </c>
      <c r="AE109" s="110">
        <f ca="1">(AE45*c_on*12)+(AE45*(ct_int4+ca_int4)*'Time on treatment'!$G$15)</f>
        <v>160371.30580974341</v>
      </c>
      <c r="AH109" s="87" t="s">
        <v>171</v>
      </c>
      <c r="AI109" s="111"/>
      <c r="AJ109" s="109">
        <f ca="1">(AJ45*c_inicial)+(AJ45*c_on*12)+(AJ45*ci_comp1)+(AJ45*(ct_comp1+ca_comp1)*'Time on treatment'!$D$19)</f>
        <v>9560.1030877864359</v>
      </c>
      <c r="AK109" s="109">
        <f ca="1">(AK45*c_on*12)+(AK45*(ct_comp1+ca_comp1)*'Time on treatment'!$E$19)</f>
        <v>9560.1030877864359</v>
      </c>
      <c r="AL109" s="109">
        <f ca="1">(AL45*c_on*12)+(AL45*(ct_comp1+ca_comp1)*'Time on treatment'!$F$19)</f>
        <v>9560.1030877864359</v>
      </c>
      <c r="AM109" s="110">
        <f ca="1">(AM45*c_on*12)+(AM45*(ct_comp1+ca_comp1)*'Time on treatment'!$G$19)</f>
        <v>9560.1030877864359</v>
      </c>
      <c r="AP109" s="87" t="s">
        <v>171</v>
      </c>
      <c r="AQ109" s="111"/>
      <c r="AR109" s="109">
        <f ca="1">(AR45*c_inicial)+(AR45*c_on*12)+(AR45*ci_comp2)+(AR45*(ct_comp2+ca_comp2)*'Time on treatment'!$D$20)</f>
        <v>71925.999228368484</v>
      </c>
      <c r="AS109" s="109">
        <f ca="1">(AS45*c_on*12)+(AS45*(ct_comp2+ca_comp2)*'Time on treatment'!$E$20)</f>
        <v>71925.999228368484</v>
      </c>
      <c r="AT109" s="109">
        <f ca="1">(AT45*c_on*12)+(AT45*(ct_comp2+ca_comp2)*'Time on treatment'!$F$20)</f>
        <v>71925.999228368484</v>
      </c>
      <c r="AU109" s="110">
        <f ca="1">(AU45*c_on*12)+(AU45*(ct_comp2+ca_comp2)*'Time on treatment'!$G$20)</f>
        <v>71925.999228368484</v>
      </c>
      <c r="AX109" s="87" t="s">
        <v>171</v>
      </c>
      <c r="AY109" s="111"/>
      <c r="AZ109" s="109">
        <f ca="1">(AZ45*c_inicial)+(AZ45*c_on*12)+(AZ45*ci_comp3)+(AZ45*(ct_comp3+ca_comp3)*'Time on treatment'!$D$21)</f>
        <v>396013.12529645604</v>
      </c>
      <c r="BA109" s="109">
        <f ca="1">(BA45*c_on*12)+(BA45*(ct_comp3+ca_comp3)*'Time on treatment'!$E$21)</f>
        <v>396013.12529645604</v>
      </c>
      <c r="BB109" s="109">
        <f ca="1">(BB45*c_on*12)+(BB45*(ct_comp3+ca_comp3)*'Time on treatment'!$F$21)</f>
        <v>396013.12529645604</v>
      </c>
      <c r="BC109" s="110">
        <f ca="1">(BC45*c_on*12)+(BC45*(ct_comp3+ca_comp3)*'Time on treatment'!$G$21)</f>
        <v>396013.12529645604</v>
      </c>
      <c r="BF109" s="87" t="s">
        <v>171</v>
      </c>
      <c r="BG109" s="111"/>
      <c r="BH109" s="109">
        <f ca="1">(BH45*c_inicial)+(BH45*c_on*12)+(BH45*ci_comp4)+(BH45*(ct_comp4+ca_comp4)*'Time on treatment'!$D$22)</f>
        <v>75473.739505008227</v>
      </c>
      <c r="BI109" s="109">
        <f ca="1">(BI45*c_on*12)+(BI45*(ct_comp4+ca_comp4)*'Time on treatment'!$E$22)</f>
        <v>75473.739505008227</v>
      </c>
      <c r="BJ109" s="109">
        <f ca="1">(BJ45*c_on*12)+(BJ45*(ct_comp4+ca_comp4)*'Time on treatment'!$F$22)</f>
        <v>75473.739505008227</v>
      </c>
      <c r="BK109" s="110">
        <f ca="1">(BK45*c_on*12)+(BK45*(ct_comp4+ca_comp4)*'Time on treatment'!$G$22)</f>
        <v>75473.739505008227</v>
      </c>
      <c r="BN109" s="87" t="s">
        <v>171</v>
      </c>
      <c r="BO109" s="111"/>
      <c r="BP109" s="109">
        <f ca="1">(BP45*c_inicial)+(BP45*c_on*12)+(BP45*ci_comp5)+(BP45*(ct_comp5+ca_comp5)*'Time on treatment'!$D$23)</f>
        <v>8551.7195309745748</v>
      </c>
      <c r="BQ109" s="109">
        <f ca="1">(BQ45*c_on*12)+(BQ45*(ct_comp5+ca_comp5)*'Time on treatment'!$E$23)</f>
        <v>8551.7195309745748</v>
      </c>
      <c r="BR109" s="109">
        <f ca="1">(BR45*c_on*12)+(BR45*(ct_comp5+ca_comp5)*'Time on treatment'!$F$23)</f>
        <v>8551.7195309745748</v>
      </c>
      <c r="BS109" s="110">
        <f ca="1">(BS45*c_on*12)+(BS45*(ct_comp5+ca_comp5)*'Time on treatment'!$G$23)</f>
        <v>8551.7195309745748</v>
      </c>
      <c r="BV109" s="87" t="s">
        <v>171</v>
      </c>
      <c r="BW109" s="111"/>
      <c r="BX109" s="109">
        <f ca="1">(BX45*c_inicial)+(BX45*c_on*12)+(BX45*ci_comp6)+(BX45*(ct_comp6+ca_comp6)*'Time on treatment'!$D$24)</f>
        <v>280.6089164461518</v>
      </c>
      <c r="BY109" s="109">
        <f ca="1">(BY45*c_on*12)+(BY45*(ct_comp6+ca_comp6)*'Time on treatment'!$E$24)</f>
        <v>280.6089164461518</v>
      </c>
      <c r="BZ109" s="109">
        <f ca="1">(BZ45*c_on*12)+(BZ45*(ct_comp6+ca_comp6)*'Time on treatment'!$F$24)</f>
        <v>280.6089164461518</v>
      </c>
      <c r="CA109" s="110">
        <f ca="1">(CA45*c_on*12)+(CA45*(ct_comp6+ca_comp6)*'Time on treatment'!$G$24)</f>
        <v>280.6089164461518</v>
      </c>
      <c r="CD109" s="87" t="s">
        <v>171</v>
      </c>
      <c r="CE109" s="111"/>
      <c r="CF109" s="109">
        <f ca="1">(CF45*c_inicial)+(CF45*c_on*12)+(CF45*ci_comp7)+(CF45*(ct_comp7+ca_comp7)*'Time on treatment'!$D$25)</f>
        <v>20262.215747502949</v>
      </c>
      <c r="CG109" s="109">
        <f ca="1">(CG45*c_on*12)+(CG45*(ct_comp7+ca_comp7)*'Time on treatment'!$E$25)</f>
        <v>20262.215747502949</v>
      </c>
      <c r="CH109" s="109">
        <f ca="1">(CH45*c_on*12)+(CH45*(ct_comp7+ca_comp7)*'Time on treatment'!$F$25)</f>
        <v>20262.215747502949</v>
      </c>
      <c r="CI109" s="110">
        <f ca="1">(CI45*c_on*12)+(CI45*(ct_comp7+ca_comp7)*'Time on treatment'!$G$25)</f>
        <v>20262.215747502949</v>
      </c>
      <c r="CL109" s="87" t="s">
        <v>171</v>
      </c>
      <c r="CM109" s="111"/>
      <c r="CN109" s="109">
        <f ca="1">(CN45*c_inicial)+(CN45*c_on*12)+(CN45*ci_comp8)+(CN45*(ct_comp8+ca_comp8)*'Time on treatment'!$D$26)</f>
        <v>86821.67136599723</v>
      </c>
      <c r="CO109" s="109">
        <f ca="1">(CO45*c_on*12)+(CO45*(ct_comp8+ca_comp8)*'Time on treatment'!$E$26)</f>
        <v>86821.67136599723</v>
      </c>
      <c r="CP109" s="109">
        <f ca="1">(CP45*c_on*12)+(CP45*(ct_comp8+ca_comp8)*'Time on treatment'!$F$26)</f>
        <v>86821.67136599723</v>
      </c>
      <c r="CQ109" s="110">
        <f ca="1">(CQ45*c_on*12)+(CQ45*(ct_comp8+ca_comp8)*'Time on treatment'!$G$26)</f>
        <v>86821.67136599723</v>
      </c>
      <c r="CT109" s="87" t="s">
        <v>171</v>
      </c>
      <c r="CU109" s="111"/>
      <c r="CV109" s="109">
        <f ca="1">(CV45*c_inicial)+(CV45*c_on*12)+(CV45*ci_comp9)+(CV45*(ct_comp9+ca_comp9)*'Time on treatment'!$D$27)</f>
        <v>185158.47847448502</v>
      </c>
      <c r="CW109" s="109">
        <f ca="1">(CW45*c_on*12)+(CW45*(ct_comp9+ca_comp9)*'Time on treatment'!$E$27)</f>
        <v>185158.47847448502</v>
      </c>
      <c r="CX109" s="109">
        <f ca="1">(CX45*c_on*12)+(CX45*(ct_comp9+ca_comp9)*'Time on treatment'!$F$27)</f>
        <v>185158.47847448502</v>
      </c>
      <c r="CY109" s="110">
        <f ca="1">(CY45*c_on*12)+(CY45*(ct_comp9+ca_comp9)*'Time on treatment'!$G$27)</f>
        <v>185158.47847448502</v>
      </c>
      <c r="DB109" s="87" t="s">
        <v>171</v>
      </c>
      <c r="DC109" s="111"/>
      <c r="DD109" s="109">
        <f ca="1">(DD45*c_inicial)+(DD45*c_on*12)+(DD45*ci_comp10)+(DD45*(ct_comp10+ca_comp10)*'Time on treatment'!$D$28)</f>
        <v>0</v>
      </c>
      <c r="DE109" s="109">
        <f ca="1">(DE45*c_on*12)+(DE45*(ct_comp10+ca_comp10)*'Time on treatment'!$E$28)</f>
        <v>0</v>
      </c>
      <c r="DF109" s="109">
        <f ca="1">(DF45*c_on*12)+(DF45*(ct_comp10+ca_comp10)*'Time on treatment'!$F$28)</f>
        <v>0</v>
      </c>
      <c r="DG109" s="110">
        <f ca="1">(DG45*c_on*12)+(DG45*(ct_comp10+ca_comp10)*'Time on treatment'!$G$28)</f>
        <v>0</v>
      </c>
    </row>
    <row r="110" spans="2:111">
      <c r="B110" s="87" t="s">
        <v>176</v>
      </c>
      <c r="C110" s="111"/>
      <c r="D110" s="109">
        <f>D46*c_off</f>
        <v>0</v>
      </c>
      <c r="E110" s="109">
        <f>E46*c_off</f>
        <v>0</v>
      </c>
      <c r="F110" s="109">
        <f>F46*c_off</f>
        <v>0</v>
      </c>
      <c r="G110" s="110">
        <f>G46*c_off</f>
        <v>0</v>
      </c>
      <c r="J110" s="87" t="s">
        <v>176</v>
      </c>
      <c r="K110" s="111"/>
      <c r="L110" s="109">
        <f>L46*c_off</f>
        <v>0</v>
      </c>
      <c r="M110" s="109">
        <f>M46*c_off</f>
        <v>0</v>
      </c>
      <c r="N110" s="109">
        <f>N46*c_off</f>
        <v>0</v>
      </c>
      <c r="O110" s="110">
        <f>O46*c_off</f>
        <v>0</v>
      </c>
      <c r="R110" s="87" t="s">
        <v>176</v>
      </c>
      <c r="S110" s="111"/>
      <c r="T110" s="109">
        <f>T46*c_off</f>
        <v>0</v>
      </c>
      <c r="U110" s="109">
        <f>U46*c_off</f>
        <v>0</v>
      </c>
      <c r="V110" s="109">
        <f>V46*c_off</f>
        <v>0</v>
      </c>
      <c r="W110" s="110">
        <f>W46*c_off</f>
        <v>0</v>
      </c>
      <c r="Z110" s="87" t="s">
        <v>176</v>
      </c>
      <c r="AA110" s="111"/>
      <c r="AB110" s="109">
        <f>AB46*c_off</f>
        <v>0</v>
      </c>
      <c r="AC110" s="109">
        <f>AC46*c_off</f>
        <v>0</v>
      </c>
      <c r="AD110" s="109">
        <f>AD46*c_off</f>
        <v>0</v>
      </c>
      <c r="AE110" s="110">
        <f>AE46*c_off</f>
        <v>0</v>
      </c>
      <c r="AH110" s="87" t="s">
        <v>176</v>
      </c>
      <c r="AI110" s="111"/>
      <c r="AJ110" s="109">
        <f>AJ46*c_off</f>
        <v>0</v>
      </c>
      <c r="AK110" s="109">
        <f>AK46*c_off</f>
        <v>0</v>
      </c>
      <c r="AL110" s="109">
        <f>AL46*c_off</f>
        <v>0</v>
      </c>
      <c r="AM110" s="110">
        <f>AM46*c_off</f>
        <v>0</v>
      </c>
      <c r="AP110" s="87" t="s">
        <v>176</v>
      </c>
      <c r="AQ110" s="111"/>
      <c r="AR110" s="109">
        <f>AR46*c_off</f>
        <v>0</v>
      </c>
      <c r="AS110" s="109">
        <f>AS46*c_off</f>
        <v>0</v>
      </c>
      <c r="AT110" s="109">
        <f>AT46*c_off</f>
        <v>0</v>
      </c>
      <c r="AU110" s="110">
        <f>AU46*c_off</f>
        <v>0</v>
      </c>
      <c r="AX110" s="87" t="s">
        <v>176</v>
      </c>
      <c r="AY110" s="111"/>
      <c r="AZ110" s="109">
        <f>AZ46*c_off</f>
        <v>0</v>
      </c>
      <c r="BA110" s="109">
        <f>BA46*c_off</f>
        <v>0</v>
      </c>
      <c r="BB110" s="109">
        <f>BB46*c_off</f>
        <v>0</v>
      </c>
      <c r="BC110" s="110">
        <f>BC46*c_off</f>
        <v>0</v>
      </c>
      <c r="BF110" s="87" t="s">
        <v>176</v>
      </c>
      <c r="BG110" s="111"/>
      <c r="BH110" s="109">
        <f>BH46*c_off</f>
        <v>0</v>
      </c>
      <c r="BI110" s="109">
        <f>BI46*c_off</f>
        <v>0</v>
      </c>
      <c r="BJ110" s="109">
        <f>BJ46*c_off</f>
        <v>0</v>
      </c>
      <c r="BK110" s="110">
        <f>BK46*c_off</f>
        <v>0</v>
      </c>
      <c r="BN110" s="87" t="s">
        <v>176</v>
      </c>
      <c r="BO110" s="111"/>
      <c r="BP110" s="109">
        <f>BP46*c_off</f>
        <v>0</v>
      </c>
      <c r="BQ110" s="109">
        <f>BQ46*c_off</f>
        <v>0</v>
      </c>
      <c r="BR110" s="109">
        <f>BR46*c_off</f>
        <v>0</v>
      </c>
      <c r="BS110" s="110">
        <f>BS46*c_off</f>
        <v>0</v>
      </c>
      <c r="BV110" s="87" t="s">
        <v>176</v>
      </c>
      <c r="BW110" s="111"/>
      <c r="BX110" s="109">
        <f>BX46*c_off</f>
        <v>0</v>
      </c>
      <c r="BY110" s="109">
        <f>BY46*c_off</f>
        <v>0</v>
      </c>
      <c r="BZ110" s="109">
        <f>BZ46*c_off</f>
        <v>0</v>
      </c>
      <c r="CA110" s="110">
        <f>CA46*c_off</f>
        <v>0</v>
      </c>
      <c r="CD110" s="87" t="s">
        <v>176</v>
      </c>
      <c r="CE110" s="111"/>
      <c r="CF110" s="109">
        <f>CF46*c_off</f>
        <v>0</v>
      </c>
      <c r="CG110" s="109">
        <f>CG46*c_off</f>
        <v>0</v>
      </c>
      <c r="CH110" s="109">
        <f>CH46*c_off</f>
        <v>0</v>
      </c>
      <c r="CI110" s="110">
        <f>CI46*c_off</f>
        <v>0</v>
      </c>
      <c r="CL110" s="87" t="s">
        <v>176</v>
      </c>
      <c r="CM110" s="111"/>
      <c r="CN110" s="109">
        <f>CN46*c_off</f>
        <v>0</v>
      </c>
      <c r="CO110" s="109">
        <f>CO46*c_off</f>
        <v>0</v>
      </c>
      <c r="CP110" s="109">
        <f>CP46*c_off</f>
        <v>0</v>
      </c>
      <c r="CQ110" s="110">
        <f>CQ46*c_off</f>
        <v>0</v>
      </c>
      <c r="CT110" s="87" t="s">
        <v>176</v>
      </c>
      <c r="CU110" s="111"/>
      <c r="CV110" s="109">
        <f>CV46*c_off</f>
        <v>0</v>
      </c>
      <c r="CW110" s="109">
        <f>CW46*c_off</f>
        <v>0</v>
      </c>
      <c r="CX110" s="109">
        <f>CX46*c_off</f>
        <v>0</v>
      </c>
      <c r="CY110" s="110">
        <f>CY46*c_off</f>
        <v>0</v>
      </c>
      <c r="DB110" s="87" t="s">
        <v>176</v>
      </c>
      <c r="DC110" s="111"/>
      <c r="DD110" s="109">
        <f>DD46*c_off</f>
        <v>0</v>
      </c>
      <c r="DE110" s="109">
        <f>DE46*c_off</f>
        <v>0</v>
      </c>
      <c r="DF110" s="109">
        <f>DF46*c_off</f>
        <v>0</v>
      </c>
      <c r="DG110" s="110">
        <f>DG46*c_off</f>
        <v>0</v>
      </c>
    </row>
    <row r="111" spans="2:111">
      <c r="B111" s="87" t="s">
        <v>172</v>
      </c>
      <c r="C111" s="111"/>
      <c r="D111" s="111"/>
      <c r="E111" s="109">
        <f ca="1">(E47*c_inicial)+(E47*c_on*12)+(E47*ci_int1)+(E47*(ct_int1+ca_int1)*'Time on treatment'!$D$12)</f>
        <v>218343.82776580245</v>
      </c>
      <c r="F111" s="109">
        <f ca="1">(F47*c_on*12)+(F47*(ct_int1+ca_int1)*'Time on treatment'!$E$12)</f>
        <v>218343.82776580245</v>
      </c>
      <c r="G111" s="110">
        <f ca="1">(G47*c_on*12)+(G47*(ct_int1+ca_int1)*'Time on treatment'!$F$12)</f>
        <v>218343.82776580245</v>
      </c>
      <c r="J111" s="87" t="s">
        <v>172</v>
      </c>
      <c r="K111" s="111"/>
      <c r="L111" s="111"/>
      <c r="M111" s="109">
        <f ca="1">(M47*c_inicial)+(M47*c_on*12)+(M47*ci_int2)+(M47*(ct_int2+ca_int2)*'Time on treatment'!$D$13)</f>
        <v>434536.19837385934</v>
      </c>
      <c r="N111" s="109">
        <f ca="1">(N47*c_on*12)+(N47*(ct_int2+ca_int2)*'Time on treatment'!$E$13)</f>
        <v>434536.19837385934</v>
      </c>
      <c r="O111" s="110">
        <f ca="1">(O47*c_on*12)+(O47*(ct_int2+ca_int2)*'Time on treatment'!$F$13)</f>
        <v>434536.19837385934</v>
      </c>
      <c r="R111" s="87" t="s">
        <v>172</v>
      </c>
      <c r="S111" s="111"/>
      <c r="T111" s="111"/>
      <c r="U111" s="109">
        <f ca="1">(U47*c_inicial)+(U47*c_on*12)+(U47*ci_int3)+(U47*(ct_int3+ca_int3)*'Time on treatment'!$D$14)</f>
        <v>207760.98444932414</v>
      </c>
      <c r="V111" s="109">
        <f ca="1">(V47*c_on*12)+(V47*(ct_int3+ca_int3)*'Time on treatment'!$E$14)</f>
        <v>207760.98444932414</v>
      </c>
      <c r="W111" s="110">
        <f ca="1">(W47*c_on*12)+(W47*(ct_int3+ca_int3)*'Time on treatment'!$F$14)</f>
        <v>207760.98444932414</v>
      </c>
      <c r="Z111" s="87" t="s">
        <v>172</v>
      </c>
      <c r="AA111" s="111"/>
      <c r="AB111" s="111"/>
      <c r="AC111" s="109">
        <f ca="1">(AC47*c_inicial)+(AC47*c_on*12)+(AC47*ci_int4)+(AC47*(ct_int4+ca_int4)*'Time on treatment'!$D$15)</f>
        <v>230477.27083561092</v>
      </c>
      <c r="AD111" s="109">
        <f ca="1">(AD47*c_on*12)+(AD47*(ct_int4+ca_int4)*'Time on treatment'!$E$15)</f>
        <v>230477.27083561092</v>
      </c>
      <c r="AE111" s="110">
        <f ca="1">(AE47*c_on*12)+(AE47*(ct_int4+ca_int4)*'Time on treatment'!$F$15)</f>
        <v>230477.27083561092</v>
      </c>
      <c r="AH111" s="87" t="s">
        <v>172</v>
      </c>
      <c r="AI111" s="111"/>
      <c r="AJ111" s="111"/>
      <c r="AK111" s="109">
        <f ca="1">(AK47*c_inicial)+(AK47*c_on*12)+(AK47*ci_comp1)+(AK47*(ct_comp1+ca_comp1)*'Time on treatment'!$D$19)</f>
        <v>8014.5807059975359</v>
      </c>
      <c r="AL111" s="109">
        <f ca="1">(AL47*c_on*12)+(AL47*(ct_comp1+ca_comp1)*'Time on treatment'!$E$19)</f>
        <v>8014.5807059975359</v>
      </c>
      <c r="AM111" s="110">
        <f ca="1">(AM47*c_on*12)+(AM47*(ct_comp1+ca_comp1)*'Time on treatment'!$F$19)</f>
        <v>8014.5807059975359</v>
      </c>
      <c r="AP111" s="87" t="s">
        <v>172</v>
      </c>
      <c r="AQ111" s="111"/>
      <c r="AR111" s="111"/>
      <c r="AS111" s="109">
        <f ca="1">(AS47*c_inicial)+(AS47*c_on*12)+(AS47*ci_comp2)+(AS47*(ct_comp2+ca_comp2)*'Time on treatment'!$D$20)</f>
        <v>60298.170467610464</v>
      </c>
      <c r="AT111" s="109">
        <f ca="1">(AT47*c_on*12)+(AT47*(ct_comp2+ca_comp2)*'Time on treatment'!$E$20)</f>
        <v>60298.170467610464</v>
      </c>
      <c r="AU111" s="110">
        <f ca="1">(AU47*c_on*12)+(AU47*(ct_comp2+ca_comp2)*'Time on treatment'!$F$20)</f>
        <v>60298.170467610464</v>
      </c>
      <c r="AX111" s="87" t="s">
        <v>172</v>
      </c>
      <c r="AY111" s="111"/>
      <c r="AZ111" s="111"/>
      <c r="BA111" s="109">
        <f ca="1">(BA47*c_inicial)+(BA47*c_on*12)+(BA47*ci_comp3)+(BA47*(ct_comp3+ca_comp3)*'Time on treatment'!$D$21)</f>
        <v>331992.14738359553</v>
      </c>
      <c r="BB111" s="109">
        <f ca="1">(BB47*c_on*12)+(BB47*(ct_comp3+ca_comp3)*'Time on treatment'!$E$21)</f>
        <v>331992.14738359553</v>
      </c>
      <c r="BC111" s="110">
        <f ca="1">(BC47*c_on*12)+(BC47*(ct_comp3+ca_comp3)*'Time on treatment'!$F$21)</f>
        <v>331992.14738359553</v>
      </c>
      <c r="BF111" s="87" t="s">
        <v>172</v>
      </c>
      <c r="BG111" s="111"/>
      <c r="BH111" s="111"/>
      <c r="BI111" s="109">
        <f ca="1">(BI47*c_inicial)+(BI47*c_on*12)+(BI47*ci_comp4)+(BI47*(ct_comp4+ca_comp4)*'Time on treatment'!$D$22)</f>
        <v>63272.369648304739</v>
      </c>
      <c r="BJ111" s="109">
        <f ca="1">(BJ47*c_on*12)+(BJ47*(ct_comp4+ca_comp4)*'Time on treatment'!$E$22)</f>
        <v>63272.369648304739</v>
      </c>
      <c r="BK111" s="110">
        <f ca="1">(BK47*c_on*12)+(BK47*(ct_comp4+ca_comp4)*'Time on treatment'!$F$22)</f>
        <v>63272.369648304739</v>
      </c>
      <c r="BN111" s="87" t="s">
        <v>172</v>
      </c>
      <c r="BO111" s="111"/>
      <c r="BP111" s="111"/>
      <c r="BQ111" s="109">
        <f ca="1">(BQ47*c_inicial)+(BQ47*c_on*12)+(BQ47*ci_comp5)+(BQ47*(ct_comp5+ca_comp5)*'Time on treatment'!$D$23)</f>
        <v>8193.3899937140486</v>
      </c>
      <c r="BR111" s="109">
        <f ca="1">(BR47*c_on*12)+(BR47*(ct_comp5+ca_comp5)*'Time on treatment'!$E$23)</f>
        <v>8193.3899937140486</v>
      </c>
      <c r="BS111" s="110">
        <f ca="1">(BS47*c_on*12)+(BS47*(ct_comp5+ca_comp5)*'Time on treatment'!$F$23)</f>
        <v>8193.3899937140486</v>
      </c>
      <c r="BV111" s="87" t="s">
        <v>172</v>
      </c>
      <c r="BW111" s="111"/>
      <c r="BX111" s="111"/>
      <c r="BY111" s="109">
        <f ca="1">(BY47*c_inicial)+(BY47*c_on*12)+(BY47*ci_comp6)+(BY47*(ct_comp6+ca_comp6)*'Time on treatment'!$D$24)</f>
        <v>235.2446189156033</v>
      </c>
      <c r="BZ111" s="109">
        <f ca="1">(BZ47*c_on*12)+(BZ47*(ct_comp6+ca_comp6)*'Time on treatment'!$E$24)</f>
        <v>235.2446189156033</v>
      </c>
      <c r="CA111" s="110">
        <f ca="1">(CA47*c_on*12)+(CA47*(ct_comp6+ca_comp6)*'Time on treatment'!$F$24)</f>
        <v>235.2446189156033</v>
      </c>
      <c r="CD111" s="87" t="s">
        <v>172</v>
      </c>
      <c r="CE111" s="111"/>
      <c r="CF111" s="111"/>
      <c r="CG111" s="109">
        <f ca="1">(CG47*c_inicial)+(CG47*c_on*12)+(CG47*ci_comp7)+(CG47*(ct_comp7+ca_comp7)*'Time on treatment'!$D$25)</f>
        <v>16986.549402188233</v>
      </c>
      <c r="CH111" s="109">
        <f ca="1">(CH47*c_on*12)+(CH47*(ct_comp7+ca_comp7)*'Time on treatment'!$E$25)</f>
        <v>16986.549402188233</v>
      </c>
      <c r="CI111" s="110">
        <f ca="1">(CI47*c_on*12)+(CI47*(ct_comp7+ca_comp7)*'Time on treatment'!$F$25)</f>
        <v>16986.549402188233</v>
      </c>
      <c r="CL111" s="87" t="s">
        <v>172</v>
      </c>
      <c r="CM111" s="111"/>
      <c r="CN111" s="111"/>
      <c r="CO111" s="109">
        <f ca="1">(CO47*c_inicial)+(CO47*c_on*12)+(CO47*ci_comp8)+(CO47*(ct_comp8+ca_comp8)*'Time on treatment'!$D$26)</f>
        <v>72785.75197388338</v>
      </c>
      <c r="CP111" s="109">
        <f ca="1">(CP47*c_on*12)+(CP47*(ct_comp8+ca_comp8)*'Time on treatment'!$E$26)</f>
        <v>72785.75197388338</v>
      </c>
      <c r="CQ111" s="110">
        <f ca="1">(CQ47*c_on*12)+(CQ47*(ct_comp8+ca_comp8)*'Time on treatment'!$F$26)</f>
        <v>72785.75197388338</v>
      </c>
      <c r="CT111" s="87" t="s">
        <v>172</v>
      </c>
      <c r="CU111" s="111"/>
      <c r="CV111" s="111"/>
      <c r="CW111" s="109">
        <f ca="1">(CW47*c_inicial)+(CW47*c_on*12)+(CW47*ci_comp9)+(CW47*(ct_comp9+ca_comp9)*'Time on treatment'!$D$27)</f>
        <v>155194.2941364469</v>
      </c>
      <c r="CX111" s="109">
        <f ca="1">(CX47*c_on*12)+(CX47*(ct_comp9+ca_comp9)*'Time on treatment'!$E$27)</f>
        <v>155194.2941364469</v>
      </c>
      <c r="CY111" s="110">
        <f ca="1">(CY47*c_on*12)+(CY47*(ct_comp9+ca_comp9)*'Time on treatment'!$F$27)</f>
        <v>155194.2941364469</v>
      </c>
      <c r="DB111" s="87" t="s">
        <v>172</v>
      </c>
      <c r="DC111" s="111"/>
      <c r="DD111" s="111"/>
      <c r="DE111" s="109">
        <f ca="1">(DE47*c_inicial)+(DE47*c_on*12)+(DE47*ci_comp10)+(DE47*(ct_comp10+ca_comp10)*'Time on treatment'!$D$28)</f>
        <v>0</v>
      </c>
      <c r="DF111" s="109">
        <f ca="1">(DF47*c_on*12)+(DF47*(ct_comp10+ca_comp10)*'Time on treatment'!$E$28)</f>
        <v>0</v>
      </c>
      <c r="DG111" s="110">
        <f ca="1">(DG47*c_on*12)+(DG47*(ct_comp10+ca_comp10)*'Time on treatment'!$F$28)</f>
        <v>0</v>
      </c>
    </row>
    <row r="112" spans="2:111">
      <c r="B112" s="87" t="s">
        <v>177</v>
      </c>
      <c r="C112" s="111"/>
      <c r="D112" s="111"/>
      <c r="E112" s="109">
        <f>E48*c_off</f>
        <v>0</v>
      </c>
      <c r="F112" s="109">
        <f>F48*c_off</f>
        <v>0</v>
      </c>
      <c r="G112" s="110">
        <f>G48*c_off</f>
        <v>0</v>
      </c>
      <c r="J112" s="87" t="s">
        <v>177</v>
      </c>
      <c r="K112" s="111"/>
      <c r="L112" s="111"/>
      <c r="M112" s="109">
        <f>M48*c_off</f>
        <v>0</v>
      </c>
      <c r="N112" s="109">
        <f>N48*c_off</f>
        <v>0</v>
      </c>
      <c r="O112" s="110">
        <f>O48*c_off</f>
        <v>0</v>
      </c>
      <c r="R112" s="87" t="s">
        <v>177</v>
      </c>
      <c r="S112" s="111"/>
      <c r="T112" s="111"/>
      <c r="U112" s="109">
        <f>U48*c_off</f>
        <v>0</v>
      </c>
      <c r="V112" s="109">
        <f>V48*c_off</f>
        <v>0</v>
      </c>
      <c r="W112" s="110">
        <f>W48*c_off</f>
        <v>0</v>
      </c>
      <c r="Z112" s="87" t="s">
        <v>177</v>
      </c>
      <c r="AA112" s="111"/>
      <c r="AB112" s="111"/>
      <c r="AC112" s="109">
        <f>AC48*c_off</f>
        <v>0</v>
      </c>
      <c r="AD112" s="109">
        <f>AD48*c_off</f>
        <v>0</v>
      </c>
      <c r="AE112" s="110">
        <f>AE48*c_off</f>
        <v>0</v>
      </c>
      <c r="AH112" s="87" t="s">
        <v>177</v>
      </c>
      <c r="AI112" s="111"/>
      <c r="AJ112" s="111"/>
      <c r="AK112" s="109">
        <f>AK48*c_off</f>
        <v>0</v>
      </c>
      <c r="AL112" s="109">
        <f>AL48*c_off</f>
        <v>0</v>
      </c>
      <c r="AM112" s="110">
        <f>AM48*c_off</f>
        <v>0</v>
      </c>
      <c r="AP112" s="87" t="s">
        <v>177</v>
      </c>
      <c r="AQ112" s="111"/>
      <c r="AR112" s="111"/>
      <c r="AS112" s="109">
        <f>AS48*c_off</f>
        <v>0</v>
      </c>
      <c r="AT112" s="109">
        <f>AT48*c_off</f>
        <v>0</v>
      </c>
      <c r="AU112" s="110">
        <f>AU48*c_off</f>
        <v>0</v>
      </c>
      <c r="AX112" s="87" t="s">
        <v>177</v>
      </c>
      <c r="AY112" s="111"/>
      <c r="AZ112" s="111"/>
      <c r="BA112" s="109">
        <f>BA48*c_off</f>
        <v>0</v>
      </c>
      <c r="BB112" s="109">
        <f>BB48*c_off</f>
        <v>0</v>
      </c>
      <c r="BC112" s="110">
        <f>BC48*c_off</f>
        <v>0</v>
      </c>
      <c r="BF112" s="87" t="s">
        <v>177</v>
      </c>
      <c r="BG112" s="111"/>
      <c r="BH112" s="111"/>
      <c r="BI112" s="109">
        <f>BI48*c_off</f>
        <v>0</v>
      </c>
      <c r="BJ112" s="109">
        <f>BJ48*c_off</f>
        <v>0</v>
      </c>
      <c r="BK112" s="110">
        <f>BK48*c_off</f>
        <v>0</v>
      </c>
      <c r="BN112" s="87" t="s">
        <v>177</v>
      </c>
      <c r="BO112" s="111"/>
      <c r="BP112" s="111"/>
      <c r="BQ112" s="109">
        <f>BQ48*c_off</f>
        <v>0</v>
      </c>
      <c r="BR112" s="109">
        <f>BR48*c_off</f>
        <v>0</v>
      </c>
      <c r="BS112" s="110">
        <f>BS48*c_off</f>
        <v>0</v>
      </c>
      <c r="BV112" s="87" t="s">
        <v>177</v>
      </c>
      <c r="BW112" s="111"/>
      <c r="BX112" s="111"/>
      <c r="BY112" s="109">
        <f>BY48*c_off</f>
        <v>0</v>
      </c>
      <c r="BZ112" s="109">
        <f>BZ48*c_off</f>
        <v>0</v>
      </c>
      <c r="CA112" s="110">
        <f>CA48*c_off</f>
        <v>0</v>
      </c>
      <c r="CD112" s="87" t="s">
        <v>177</v>
      </c>
      <c r="CE112" s="111"/>
      <c r="CF112" s="111"/>
      <c r="CG112" s="109">
        <f>CG48*c_off</f>
        <v>0</v>
      </c>
      <c r="CH112" s="109">
        <f>CH48*c_off</f>
        <v>0</v>
      </c>
      <c r="CI112" s="110">
        <f>CI48*c_off</f>
        <v>0</v>
      </c>
      <c r="CL112" s="87" t="s">
        <v>177</v>
      </c>
      <c r="CM112" s="111"/>
      <c r="CN112" s="111"/>
      <c r="CO112" s="109">
        <f>CO48*c_off</f>
        <v>0</v>
      </c>
      <c r="CP112" s="109">
        <f>CP48*c_off</f>
        <v>0</v>
      </c>
      <c r="CQ112" s="110">
        <f>CQ48*c_off</f>
        <v>0</v>
      </c>
      <c r="CT112" s="87" t="s">
        <v>177</v>
      </c>
      <c r="CU112" s="111"/>
      <c r="CV112" s="111"/>
      <c r="CW112" s="109">
        <f>CW48*c_off</f>
        <v>0</v>
      </c>
      <c r="CX112" s="109">
        <f>CX48*c_off</f>
        <v>0</v>
      </c>
      <c r="CY112" s="110">
        <f>CY48*c_off</f>
        <v>0</v>
      </c>
      <c r="DB112" s="87" t="s">
        <v>177</v>
      </c>
      <c r="DC112" s="111"/>
      <c r="DD112" s="111"/>
      <c r="DE112" s="109">
        <f>DE48*c_off</f>
        <v>0</v>
      </c>
      <c r="DF112" s="109">
        <f>DF48*c_off</f>
        <v>0</v>
      </c>
      <c r="DG112" s="110">
        <f>DG48*c_off</f>
        <v>0</v>
      </c>
    </row>
    <row r="113" spans="2:111">
      <c r="B113" s="87" t="s">
        <v>173</v>
      </c>
      <c r="C113" s="111"/>
      <c r="D113" s="111"/>
      <c r="E113" s="111"/>
      <c r="F113" s="109">
        <f ca="1">(F49*c_inicial)+(F49*c_on*12)+(F49*ci_int1)+(F49*(ct_int1+ca_int1)*'Time on treatment'!$D$12)</f>
        <v>291816.89690728136</v>
      </c>
      <c r="G113" s="110">
        <f ca="1">(G49*c_on*12)+(G49*(ct_int1+ca_int1)*'Time on treatment'!$E$12)</f>
        <v>291816.89690728136</v>
      </c>
      <c r="J113" s="87" t="s">
        <v>173</v>
      </c>
      <c r="K113" s="111"/>
      <c r="L113" s="111"/>
      <c r="M113" s="111"/>
      <c r="N113" s="109">
        <f ca="1">(N49*c_inicial)+(N49*c_on*12)+(N49*ci_int2)+(N49*(ct_int2+ca_int2)*'Time on treatment'!$D$13)</f>
        <v>580758.36766660807</v>
      </c>
      <c r="O113" s="110">
        <f ca="1">(O49*c_on*12)+(O49*(ct_int2+ca_int2)*'Time on treatment'!$E$13)</f>
        <v>580758.36766660807</v>
      </c>
      <c r="R113" s="87" t="s">
        <v>173</v>
      </c>
      <c r="S113" s="111"/>
      <c r="T113" s="111"/>
      <c r="U113" s="111"/>
      <c r="V113" s="109">
        <f ca="1">(V49*c_inicial)+(V49*c_on*12)+(V49*ci_int3)+(V49*(ct_int3+ca_int3)*'Time on treatment'!$D$14)</f>
        <v>277672.90882815339</v>
      </c>
      <c r="W113" s="110">
        <f ca="1">(W49*c_on*12)+(W49*(ct_int3+ca_int3)*'Time on treatment'!$E$14)</f>
        <v>277672.90882815339</v>
      </c>
      <c r="Z113" s="87" t="s">
        <v>173</v>
      </c>
      <c r="AA113" s="111"/>
      <c r="AB113" s="111"/>
      <c r="AC113" s="111"/>
      <c r="AD113" s="109">
        <f ca="1">(AD49*c_inicial)+(AD49*c_on*12)+(AD49*ci_int4)+(AD49*(ct_int4+ca_int4)*'Time on treatment'!$D$15)</f>
        <v>308033.26419214223</v>
      </c>
      <c r="AE113" s="110">
        <f ca="1">(AE49*c_on*12)+(AE49*(ct_int4+ca_int4)*'Time on treatment'!$E$15)</f>
        <v>308033.26419214223</v>
      </c>
      <c r="AH113" s="87" t="s">
        <v>173</v>
      </c>
      <c r="AI113" s="111"/>
      <c r="AJ113" s="111"/>
      <c r="AK113" s="111"/>
      <c r="AL113" s="109">
        <f ca="1">(AL49*c_inicial)+(AL49*c_on*12)+(AL49*ci_comp1)+(AL49*(ct_comp1+ca_comp1)*'Time on treatment'!$D$19)</f>
        <v>6885.9647583351853</v>
      </c>
      <c r="AM113" s="110">
        <f ca="1">(AM49*c_on*12)+(AM49*(ct_comp1+ca_comp1)*'Time on treatment'!$E$19)</f>
        <v>6885.9647583351853</v>
      </c>
      <c r="AP113" s="87" t="s">
        <v>173</v>
      </c>
      <c r="AQ113" s="111"/>
      <c r="AR113" s="111"/>
      <c r="AS113" s="111"/>
      <c r="AT113" s="109">
        <f ca="1">(AT49*c_inicial)+(AT49*c_on*12)+(AT49*ci_comp2)+(AT49*(ct_comp2+ca_comp2)*'Time on treatment'!$D$20)</f>
        <v>51806.961844097335</v>
      </c>
      <c r="AU113" s="110">
        <f ca="1">(AU49*c_on*12)+(AU49*(ct_comp2+ca_comp2)*'Time on treatment'!$E$20)</f>
        <v>51806.961844097335</v>
      </c>
      <c r="AX113" s="87" t="s">
        <v>173</v>
      </c>
      <c r="AY113" s="111"/>
      <c r="AZ113" s="111"/>
      <c r="BA113" s="111"/>
      <c r="BB113" s="109">
        <f ca="1">(BB49*c_inicial)+(BB49*c_on*12)+(BB49*ci_comp3)+(BB49*(ct_comp3+ca_comp3)*'Time on treatment'!$D$21)</f>
        <v>285240.9016502531</v>
      </c>
      <c r="BC113" s="110">
        <f ca="1">(BC49*c_on*12)+(BC49*(ct_comp3+ca_comp3)*'Time on treatment'!$E$21)</f>
        <v>285240.9016502531</v>
      </c>
      <c r="BF113" s="87" t="s">
        <v>173</v>
      </c>
      <c r="BG113" s="111"/>
      <c r="BH113" s="111"/>
      <c r="BI113" s="111"/>
      <c r="BJ113" s="109">
        <f ca="1">(BJ49*c_inicial)+(BJ49*c_on*12)+(BJ49*ci_comp4)+(BJ49*(ct_comp4+ca_comp4)*'Time on treatment'!$D$22)</f>
        <v>54362.333296930068</v>
      </c>
      <c r="BK113" s="110">
        <f ca="1">(BK49*c_on*12)+(BK49*(ct_comp4+ca_comp4)*'Time on treatment'!$E$22)</f>
        <v>54362.333296930068</v>
      </c>
      <c r="BN113" s="87" t="s">
        <v>173</v>
      </c>
      <c r="BO113" s="111"/>
      <c r="BP113" s="111"/>
      <c r="BQ113" s="111"/>
      <c r="BR113" s="109">
        <f ca="1">(BR49*c_inicial)+(BR49*c_on*12)+(BR49*ci_comp5)+(BR49*(ct_comp5+ca_comp5)*'Time on treatment'!$D$23)</f>
        <v>8212.8597390947707</v>
      </c>
      <c r="BS113" s="110">
        <f ca="1">(BS49*c_on*12)+(BS49*(ct_comp5+ca_comp5)*'Time on treatment'!$E$23)</f>
        <v>8212.8597390947707</v>
      </c>
      <c r="BV113" s="87" t="s">
        <v>173</v>
      </c>
      <c r="BW113" s="111"/>
      <c r="BX113" s="111"/>
      <c r="BY113" s="111"/>
      <c r="BZ113" s="109">
        <f ca="1">(BZ49*c_inicial)+(BZ49*c_on*12)+(BZ49*ci_comp6)+(BZ49*(ct_comp6+ca_comp6)*'Time on treatment'!$D$24)</f>
        <v>202.11739264521083</v>
      </c>
      <c r="CA113" s="110">
        <f ca="1">(CA49*c_on*12)+(CA49*(ct_comp6+ca_comp6)*'Time on treatment'!$E$24)</f>
        <v>202.11739264521083</v>
      </c>
      <c r="CD113" s="87" t="s">
        <v>173</v>
      </c>
      <c r="CE113" s="111"/>
      <c r="CF113" s="111"/>
      <c r="CG113" s="111"/>
      <c r="CH113" s="109">
        <f ca="1">(CH49*c_inicial)+(CH49*c_on*12)+(CH49*ci_comp7)+(CH49*(ct_comp7+ca_comp7)*'Time on treatment'!$D$25)</f>
        <v>14594.497808432665</v>
      </c>
      <c r="CI113" s="110">
        <f ca="1">(CI49*c_on*12)+(CI49*(ct_comp7+ca_comp7)*'Time on treatment'!$E$25)</f>
        <v>14594.497808432665</v>
      </c>
      <c r="CL113" s="87" t="s">
        <v>173</v>
      </c>
      <c r="CM113" s="111"/>
      <c r="CN113" s="111"/>
      <c r="CO113" s="111"/>
      <c r="CP113" s="109">
        <f ca="1">(CP49*c_inicial)+(CP49*c_on*12)+(CP49*ci_comp8)+(CP49*(ct_comp8+ca_comp8)*'Time on treatment'!$D$26)</f>
        <v>62536.037927227349</v>
      </c>
      <c r="CQ113" s="110">
        <f ca="1">(CQ49*c_on*12)+(CQ49*(ct_comp8+ca_comp8)*'Time on treatment'!$E$26)</f>
        <v>62536.037927227349</v>
      </c>
      <c r="CT113" s="87" t="s">
        <v>173</v>
      </c>
      <c r="CU113" s="111"/>
      <c r="CV113" s="111"/>
      <c r="CW113" s="111"/>
      <c r="CX113" s="109">
        <f ca="1">(CX49*c_inicial)+(CX49*c_on*12)+(CX49*ci_comp9)+(CX49*(ct_comp9+ca_comp9)*'Time on treatment'!$D$27)</f>
        <v>133304.53770858003</v>
      </c>
      <c r="CY113" s="110">
        <f ca="1">(CY49*c_on*12)+(CY49*(ct_comp9+ca_comp9)*'Time on treatment'!$E$27)</f>
        <v>133304.53770858003</v>
      </c>
      <c r="DB113" s="87" t="s">
        <v>173</v>
      </c>
      <c r="DC113" s="111"/>
      <c r="DD113" s="111"/>
      <c r="DE113" s="111"/>
      <c r="DF113" s="109">
        <f ca="1">(DF49*c_inicial)+(DF49*c_on*12)+(DF49*ci_comp10)+(DF49*(ct_comp10+ca_comp10)*'Time on treatment'!$D$28)</f>
        <v>0</v>
      </c>
      <c r="DG113" s="110">
        <f ca="1">(DG49*c_on*12)+(DG49*(ct_comp10+ca_comp10)*'Time on treatment'!$E$28)</f>
        <v>0</v>
      </c>
    </row>
    <row r="114" spans="2:111">
      <c r="B114" s="87" t="s">
        <v>178</v>
      </c>
      <c r="C114" s="111"/>
      <c r="D114" s="111"/>
      <c r="E114" s="111"/>
      <c r="F114" s="109">
        <f>F50*c_off</f>
        <v>0</v>
      </c>
      <c r="G114" s="110">
        <f>G50*c_off</f>
        <v>0</v>
      </c>
      <c r="J114" s="87" t="s">
        <v>178</v>
      </c>
      <c r="K114" s="111"/>
      <c r="L114" s="111"/>
      <c r="M114" s="111"/>
      <c r="N114" s="109">
        <f>N50*c_off</f>
        <v>0</v>
      </c>
      <c r="O114" s="110">
        <f>O50*c_off</f>
        <v>0</v>
      </c>
      <c r="R114" s="87" t="s">
        <v>178</v>
      </c>
      <c r="S114" s="111"/>
      <c r="T114" s="111"/>
      <c r="U114" s="111"/>
      <c r="V114" s="109">
        <f>V50*c_off</f>
        <v>0</v>
      </c>
      <c r="W114" s="110">
        <f>W50*c_off</f>
        <v>0</v>
      </c>
      <c r="Z114" s="87" t="s">
        <v>178</v>
      </c>
      <c r="AA114" s="111"/>
      <c r="AB114" s="111"/>
      <c r="AC114" s="111"/>
      <c r="AD114" s="109">
        <f>AD50*c_off</f>
        <v>0</v>
      </c>
      <c r="AE114" s="110">
        <f>AE50*c_off</f>
        <v>0</v>
      </c>
      <c r="AH114" s="87" t="s">
        <v>178</v>
      </c>
      <c r="AI114" s="111"/>
      <c r="AJ114" s="111"/>
      <c r="AK114" s="111"/>
      <c r="AL114" s="109">
        <f>AL50*c_off</f>
        <v>0</v>
      </c>
      <c r="AM114" s="110">
        <f>AM50*c_off</f>
        <v>0</v>
      </c>
      <c r="AP114" s="87" t="s">
        <v>178</v>
      </c>
      <c r="AQ114" s="111"/>
      <c r="AR114" s="111"/>
      <c r="AS114" s="111"/>
      <c r="AT114" s="109">
        <f>AT50*c_off</f>
        <v>0</v>
      </c>
      <c r="AU114" s="110">
        <f>AU50*c_off</f>
        <v>0</v>
      </c>
      <c r="AX114" s="87" t="s">
        <v>178</v>
      </c>
      <c r="AY114" s="111"/>
      <c r="AZ114" s="111"/>
      <c r="BA114" s="111"/>
      <c r="BB114" s="109">
        <f>BB50*c_off</f>
        <v>0</v>
      </c>
      <c r="BC114" s="110">
        <f>BC50*c_off</f>
        <v>0</v>
      </c>
      <c r="BF114" s="87" t="s">
        <v>178</v>
      </c>
      <c r="BG114" s="111"/>
      <c r="BH114" s="111"/>
      <c r="BI114" s="111"/>
      <c r="BJ114" s="109">
        <f>BJ50*c_off</f>
        <v>0</v>
      </c>
      <c r="BK114" s="110">
        <f>BK50*c_off</f>
        <v>0</v>
      </c>
      <c r="BN114" s="87" t="s">
        <v>178</v>
      </c>
      <c r="BO114" s="111"/>
      <c r="BP114" s="111"/>
      <c r="BQ114" s="111"/>
      <c r="BR114" s="109">
        <f>BR50*c_off</f>
        <v>0</v>
      </c>
      <c r="BS114" s="110">
        <f>BS50*c_off</f>
        <v>0</v>
      </c>
      <c r="BV114" s="87" t="s">
        <v>178</v>
      </c>
      <c r="BW114" s="111"/>
      <c r="BX114" s="111"/>
      <c r="BY114" s="111"/>
      <c r="BZ114" s="109">
        <f>BZ50*c_off</f>
        <v>0</v>
      </c>
      <c r="CA114" s="110">
        <f>CA50*c_off</f>
        <v>0</v>
      </c>
      <c r="CD114" s="87" t="s">
        <v>178</v>
      </c>
      <c r="CE114" s="111"/>
      <c r="CF114" s="111"/>
      <c r="CG114" s="111"/>
      <c r="CH114" s="109">
        <f>CH50*c_off</f>
        <v>0</v>
      </c>
      <c r="CI114" s="110">
        <f>CI50*c_off</f>
        <v>0</v>
      </c>
      <c r="CL114" s="87" t="s">
        <v>178</v>
      </c>
      <c r="CM114" s="111"/>
      <c r="CN114" s="111"/>
      <c r="CO114" s="111"/>
      <c r="CP114" s="109">
        <f>CP50*c_off</f>
        <v>0</v>
      </c>
      <c r="CQ114" s="110">
        <f>CQ50*c_off</f>
        <v>0</v>
      </c>
      <c r="CT114" s="87" t="s">
        <v>178</v>
      </c>
      <c r="CU114" s="111"/>
      <c r="CV114" s="111"/>
      <c r="CW114" s="111"/>
      <c r="CX114" s="109">
        <f>CX50*c_off</f>
        <v>0</v>
      </c>
      <c r="CY114" s="110">
        <f>CY50*c_off</f>
        <v>0</v>
      </c>
      <c r="DB114" s="87" t="s">
        <v>178</v>
      </c>
      <c r="DC114" s="111"/>
      <c r="DD114" s="111"/>
      <c r="DE114" s="111"/>
      <c r="DF114" s="109">
        <f>DF50*c_off</f>
        <v>0</v>
      </c>
      <c r="DG114" s="110">
        <f>DG50*c_off</f>
        <v>0</v>
      </c>
    </row>
    <row r="115" spans="2:111">
      <c r="B115" s="87" t="s">
        <v>174</v>
      </c>
      <c r="C115" s="111"/>
      <c r="D115" s="111"/>
      <c r="E115" s="111"/>
      <c r="F115" s="111"/>
      <c r="G115" s="110">
        <f ca="1">(G51*c_inicial)+(G51*c_on*12)+(G51*ci_int1)+(G51*(ct_int1+ca_int1)*'Time on treatment'!$D$12)</f>
        <v>366768.95282276877</v>
      </c>
      <c r="J115" s="87" t="s">
        <v>174</v>
      </c>
      <c r="K115" s="111"/>
      <c r="L115" s="111"/>
      <c r="M115" s="111"/>
      <c r="N115" s="111"/>
      <c r="O115" s="110">
        <f ca="1">(O51*c_inicial)+(O51*c_on*12)+(O51*ci_int2)+(O51*(ct_int2+ca_int2)*'Time on treatment'!$D$13)</f>
        <v>729923.93726885505</v>
      </c>
      <c r="R115" s="87" t="s">
        <v>174</v>
      </c>
      <c r="S115" s="111"/>
      <c r="T115" s="111"/>
      <c r="U115" s="111"/>
      <c r="V115" s="111"/>
      <c r="W115" s="110">
        <f ca="1">(W51*c_inicial)+(W51*c_on*12)+(W51*ci_int3)+(W51*(ct_int3+ca_int3)*'Time on treatment'!$D$14)</f>
        <v>348992.1354023309</v>
      </c>
      <c r="Z115" s="87" t="s">
        <v>174</v>
      </c>
      <c r="AA115" s="111"/>
      <c r="AB115" s="111"/>
      <c r="AC115" s="111"/>
      <c r="AD115" s="111"/>
      <c r="AE115" s="110">
        <f ca="1">(AE51*c_inicial)+(AE51*c_on*12)+(AE51*ci_int4)+(AE51*(ct_int4+ca_int4)*'Time on treatment'!$D$15)</f>
        <v>387150.43213631102</v>
      </c>
      <c r="AH115" s="87" t="s">
        <v>174</v>
      </c>
      <c r="AI115" s="111"/>
      <c r="AJ115" s="111"/>
      <c r="AK115" s="111"/>
      <c r="AL115" s="111"/>
      <c r="AM115" s="110">
        <f ca="1">(AM51*c_inicial)+(AM51*c_on*12)+(AM51*ci_comp1)+(AM51*(ct_comp1+ca_comp1)*'Time on treatment'!$D$19)</f>
        <v>5769.732345534303</v>
      </c>
      <c r="AP115" s="87" t="s">
        <v>174</v>
      </c>
      <c r="AQ115" s="111"/>
      <c r="AR115" s="111"/>
      <c r="AS115" s="111"/>
      <c r="AT115" s="111"/>
      <c r="AU115" s="110">
        <f ca="1">(AU51*c_inicial)+(AU51*c_on*12)+(AU51*ci_comp2)+(AU51*(ct_comp2+ca_comp2)*'Time on treatment'!$D$20)</f>
        <v>43408.921475226627</v>
      </c>
      <c r="AX115" s="87" t="s">
        <v>174</v>
      </c>
      <c r="AY115" s="111"/>
      <c r="AZ115" s="111"/>
      <c r="BA115" s="111"/>
      <c r="BB115" s="111"/>
      <c r="BC115" s="110">
        <f ca="1">(BC51*c_inicial)+(BC51*c_on*12)+(BC51*ci_comp3)+(BC51*(ct_comp3+ca_comp3)*'Time on treatment'!$D$21)</f>
        <v>239002.62552588631</v>
      </c>
      <c r="BF115" s="87" t="s">
        <v>174</v>
      </c>
      <c r="BG115" s="111"/>
      <c r="BH115" s="111"/>
      <c r="BI115" s="111"/>
      <c r="BJ115" s="111"/>
      <c r="BK115" s="110">
        <f ca="1">(BK51*c_inicial)+(BK51*c_on*12)+(BK51*ci_comp4)+(BK51*(ct_comp4+ca_comp4)*'Time on treatment'!$D$22)</f>
        <v>45550.060711877115</v>
      </c>
      <c r="BN115" s="87" t="s">
        <v>174</v>
      </c>
      <c r="BO115" s="111"/>
      <c r="BP115" s="111"/>
      <c r="BQ115" s="111"/>
      <c r="BR115" s="111"/>
      <c r="BS115" s="110">
        <f ca="1">(BS51*c_inicial)+(BS51*c_on*12)+(BS51*ci_comp5)+(BS51*(ct_comp5+ca_comp5)*'Time on treatment'!$D$23)</f>
        <v>8257.8411273974634</v>
      </c>
      <c r="BV115" s="87" t="s">
        <v>174</v>
      </c>
      <c r="BW115" s="111"/>
      <c r="BX115" s="111"/>
      <c r="BY115" s="111"/>
      <c r="BZ115" s="111"/>
      <c r="CA115" s="110">
        <f ca="1">(CA51*c_inicial)+(CA51*c_on*12)+(CA51*ci_comp6)+(CA51*(ct_comp6+ca_comp6)*'Time on treatment'!$D$24)</f>
        <v>169.35364888827465</v>
      </c>
      <c r="CD115" s="87" t="s">
        <v>174</v>
      </c>
      <c r="CE115" s="111"/>
      <c r="CF115" s="111"/>
      <c r="CG115" s="111"/>
      <c r="CH115" s="111"/>
      <c r="CI115" s="110">
        <f ca="1">(CI51*c_inicial)+(CI51*c_on*12)+(CI51*ci_comp7)+(CI51*(ct_comp7+ca_comp7)*'Time on treatment'!$D$25)</f>
        <v>12228.692569216977</v>
      </c>
      <c r="CL115" s="87" t="s">
        <v>174</v>
      </c>
      <c r="CM115" s="111"/>
      <c r="CN115" s="111"/>
      <c r="CO115" s="111"/>
      <c r="CP115" s="111"/>
      <c r="CQ115" s="110">
        <f ca="1">(CQ51*c_inicial)+(CQ51*c_on*12)+(CQ51*ci_comp8)+(CQ51*(ct_comp8+ca_comp8)*'Time on treatment'!$D$26)</f>
        <v>52398.787018700619</v>
      </c>
      <c r="CT115" s="87" t="s">
        <v>174</v>
      </c>
      <c r="CU115" s="111"/>
      <c r="CV115" s="111"/>
      <c r="CW115" s="111"/>
      <c r="CX115" s="111"/>
      <c r="CY115" s="110">
        <f ca="1">(CY51*c_inicial)+(CY51*c_on*12)+(CY51*ci_comp9)+(CY51*(ct_comp9+ca_comp9)*'Time on treatment'!$D$27)</f>
        <v>111654.1899210535</v>
      </c>
      <c r="DB115" s="87" t="s">
        <v>174</v>
      </c>
      <c r="DC115" s="111"/>
      <c r="DD115" s="111"/>
      <c r="DE115" s="111"/>
      <c r="DF115" s="111"/>
      <c r="DG115" s="110">
        <f ca="1">(DG51*c_inicial)+(DG51*c_on*12)+(DG51*ci_comp10)+(DG51*(ct_comp10+ca_comp10)*'Time on treatment'!$D$28)</f>
        <v>0</v>
      </c>
    </row>
    <row r="116" spans="2:111" ht="15" thickBot="1">
      <c r="B116" s="87" t="s">
        <v>179</v>
      </c>
      <c r="C116" s="111"/>
      <c r="D116" s="111"/>
      <c r="E116" s="111"/>
      <c r="F116" s="111"/>
      <c r="G116" s="112">
        <v>0</v>
      </c>
      <c r="J116" s="87" t="s">
        <v>179</v>
      </c>
      <c r="K116" s="111"/>
      <c r="L116" s="111"/>
      <c r="M116" s="111"/>
      <c r="N116" s="111"/>
      <c r="O116" s="112">
        <v>0</v>
      </c>
      <c r="R116" s="87" t="s">
        <v>179</v>
      </c>
      <c r="S116" s="111"/>
      <c r="T116" s="111"/>
      <c r="U116" s="111"/>
      <c r="V116" s="111"/>
      <c r="W116" s="112">
        <v>0</v>
      </c>
      <c r="Z116" s="87" t="s">
        <v>179</v>
      </c>
      <c r="AA116" s="111"/>
      <c r="AB116" s="111"/>
      <c r="AC116" s="111"/>
      <c r="AD116" s="111"/>
      <c r="AE116" s="112">
        <v>0</v>
      </c>
      <c r="AH116" s="87" t="s">
        <v>179</v>
      </c>
      <c r="AI116" s="111"/>
      <c r="AJ116" s="111"/>
      <c r="AK116" s="111"/>
      <c r="AL116" s="111"/>
      <c r="AM116" s="112">
        <v>0</v>
      </c>
      <c r="AP116" s="87" t="s">
        <v>179</v>
      </c>
      <c r="AQ116" s="111"/>
      <c r="AR116" s="111"/>
      <c r="AS116" s="111"/>
      <c r="AT116" s="111"/>
      <c r="AU116" s="112">
        <v>0</v>
      </c>
      <c r="AX116" s="87" t="s">
        <v>179</v>
      </c>
      <c r="AY116" s="111"/>
      <c r="AZ116" s="111"/>
      <c r="BA116" s="111"/>
      <c r="BB116" s="111"/>
      <c r="BC116" s="112">
        <v>0</v>
      </c>
      <c r="BF116" s="87" t="s">
        <v>179</v>
      </c>
      <c r="BG116" s="111"/>
      <c r="BH116" s="111"/>
      <c r="BI116" s="111"/>
      <c r="BJ116" s="111"/>
      <c r="BK116" s="112">
        <v>0</v>
      </c>
      <c r="BN116" s="87" t="s">
        <v>179</v>
      </c>
      <c r="BO116" s="111"/>
      <c r="BP116" s="111"/>
      <c r="BQ116" s="111"/>
      <c r="BR116" s="111"/>
      <c r="BS116" s="112">
        <v>0</v>
      </c>
      <c r="BV116" s="87" t="s">
        <v>179</v>
      </c>
      <c r="BW116" s="111"/>
      <c r="BX116" s="111"/>
      <c r="BY116" s="111"/>
      <c r="BZ116" s="111"/>
      <c r="CA116" s="112">
        <v>0</v>
      </c>
      <c r="CD116" s="87" t="s">
        <v>179</v>
      </c>
      <c r="CE116" s="111"/>
      <c r="CF116" s="111"/>
      <c r="CG116" s="111"/>
      <c r="CH116" s="111"/>
      <c r="CI116" s="112">
        <v>0</v>
      </c>
      <c r="CL116" s="87" t="s">
        <v>179</v>
      </c>
      <c r="CM116" s="111"/>
      <c r="CN116" s="111"/>
      <c r="CO116" s="111"/>
      <c r="CP116" s="111"/>
      <c r="CQ116" s="112">
        <v>0</v>
      </c>
      <c r="CT116" s="87" t="s">
        <v>179</v>
      </c>
      <c r="CU116" s="111"/>
      <c r="CV116" s="111"/>
      <c r="CW116" s="111"/>
      <c r="CX116" s="111"/>
      <c r="CY116" s="112">
        <v>0</v>
      </c>
      <c r="DB116" s="87" t="s">
        <v>179</v>
      </c>
      <c r="DC116" s="111"/>
      <c r="DD116" s="111"/>
      <c r="DE116" s="111"/>
      <c r="DF116" s="111"/>
      <c r="DG116" s="112">
        <v>0</v>
      </c>
    </row>
    <row r="117" spans="2:111" ht="15" thickBot="1">
      <c r="B117" s="85" t="str">
        <f>B103</f>
        <v>Rosuvastatin 5mg</v>
      </c>
      <c r="C117" s="113">
        <f ca="1">SUM(C107:C115)</f>
        <v>9261678.4026258253</v>
      </c>
      <c r="D117" s="113">
        <f ca="1">SUM(D107:D115)</f>
        <v>9413606.983901307</v>
      </c>
      <c r="E117" s="113">
        <f ca="1">SUM(E107:E115)</f>
        <v>9631950.8116671089</v>
      </c>
      <c r="F117" s="113">
        <f ca="1">SUM(F107:F115)</f>
        <v>9923767.70857439</v>
      </c>
      <c r="G117" s="114">
        <f ca="1">SUM(G107:G115)</f>
        <v>10290536.661397159</v>
      </c>
      <c r="J117" s="85" t="str">
        <f>J103</f>
        <v>Rosuvastatin 10mg</v>
      </c>
      <c r="K117" s="113">
        <f ca="1">SUM(K107:K115)</f>
        <v>18432096.591963455</v>
      </c>
      <c r="L117" s="113">
        <f ca="1">SUM(L107:L115)</f>
        <v>18734456.721889336</v>
      </c>
      <c r="M117" s="113">
        <f ca="1">SUM(M107:M115)</f>
        <v>19168992.920263194</v>
      </c>
      <c r="N117" s="113">
        <f ca="1">SUM(N107:N115)</f>
        <v>19749751.287929803</v>
      </c>
      <c r="O117" s="114">
        <f ca="1">SUM(O107:O115)</f>
        <v>20479675.225198656</v>
      </c>
      <c r="R117" s="85" t="str">
        <f>R103</f>
        <v>Rosuvastatin 20mg</v>
      </c>
      <c r="S117" s="113">
        <f ca="1">SUM(S107:S115)</f>
        <v>8812776.8129379638</v>
      </c>
      <c r="T117" s="113">
        <f ca="1">SUM(T107:T115)</f>
        <v>8957341.6121116783</v>
      </c>
      <c r="U117" s="113">
        <f ca="1">SUM(U107:U115)</f>
        <v>9165102.5965610016</v>
      </c>
      <c r="V117" s="113">
        <f ca="1">SUM(V107:V115)</f>
        <v>9442775.5053891558</v>
      </c>
      <c r="W117" s="114">
        <f ca="1">SUM(W107:W115)</f>
        <v>9791767.6407914869</v>
      </c>
      <c r="Z117" s="85" t="str">
        <f>Z103</f>
        <v>Rosuvastatin 40mg</v>
      </c>
      <c r="AA117" s="113">
        <f ca="1">SUM(AA107:AA115)</f>
        <v>9776353.1190078706</v>
      </c>
      <c r="AB117" s="113">
        <f ca="1">SUM(AB107:AB115)</f>
        <v>9936724.4248176143</v>
      </c>
      <c r="AC117" s="113">
        <f ca="1">SUM(AC107:AC115)</f>
        <v>10167201.695653224</v>
      </c>
      <c r="AD117" s="113">
        <f ca="1">SUM(AD107:AD115)</f>
        <v>10475234.959845366</v>
      </c>
      <c r="AE117" s="114">
        <f ca="1">SUM(AE107:AE115)</f>
        <v>10862385.391981676</v>
      </c>
      <c r="AH117" s="85" t="str">
        <f>AH103</f>
        <v>Atorvastatin 10mg</v>
      </c>
      <c r="AI117" s="113">
        <f ca="1">SUM(AI107:AI115)</f>
        <v>1311279.6090853959</v>
      </c>
      <c r="AJ117" s="113">
        <f ca="1">SUM(AJ107:AJ115)</f>
        <v>1320839.7121731823</v>
      </c>
      <c r="AK117" s="113">
        <f ca="1">SUM(AK107:AK115)</f>
        <v>1328854.2928791798</v>
      </c>
      <c r="AL117" s="113">
        <f ca="1">SUM(AL107:AL115)</f>
        <v>1335740.257637515</v>
      </c>
      <c r="AM117" s="114">
        <f ca="1">SUM(AM107:AM115)</f>
        <v>1341509.9899830492</v>
      </c>
      <c r="AP117" s="85" t="str">
        <f>AP103</f>
        <v>Atorvastatin 20mg</v>
      </c>
      <c r="AQ117" s="113">
        <f ca="1">SUM(AQ107:AQ115)</f>
        <v>9865489.4497679938</v>
      </c>
      <c r="AR117" s="113">
        <f ca="1">SUM(AR107:AR115)</f>
        <v>9937415.4489963613</v>
      </c>
      <c r="AS117" s="113">
        <f ca="1">SUM(AS107:AS115)</f>
        <v>9997713.6194639709</v>
      </c>
      <c r="AT117" s="113">
        <f ca="1">SUM(AT107:AT115)</f>
        <v>10049520.581308069</v>
      </c>
      <c r="AU117" s="114">
        <f ca="1">SUM(AU107:AU115)</f>
        <v>10092929.502783295</v>
      </c>
      <c r="AX117" s="85" t="str">
        <f>AX103</f>
        <v>Atorvastatin 40mg</v>
      </c>
      <c r="AY117" s="113">
        <f ca="1">SUM(AY107:AY115)</f>
        <v>54317817.638895214</v>
      </c>
      <c r="AZ117" s="113">
        <f ca="1">SUM(AZ107:AZ115)</f>
        <v>54713830.764191672</v>
      </c>
      <c r="BA117" s="113">
        <f ca="1">SUM(BA107:BA115)</f>
        <v>55045822.911575265</v>
      </c>
      <c r="BB117" s="113">
        <f ca="1">SUM(BB107:BB115)</f>
        <v>55331063.813225515</v>
      </c>
      <c r="BC117" s="114">
        <f ca="1">SUM(BC107:BC115)</f>
        <v>55570066.4387514</v>
      </c>
      <c r="BF117" s="85" t="str">
        <f>BF103</f>
        <v>Atorvastatin 80mg</v>
      </c>
      <c r="BG117" s="113">
        <f ca="1">SUM(BG107:BG115)</f>
        <v>10352103.395284122</v>
      </c>
      <c r="BH117" s="113">
        <f ca="1">SUM(BH107:BH115)</f>
        <v>10427577.13478913</v>
      </c>
      <c r="BI117" s="113">
        <f ca="1">SUM(BI107:BI115)</f>
        <v>10490849.504437434</v>
      </c>
      <c r="BJ117" s="113">
        <f ca="1">SUM(BJ107:BJ115)</f>
        <v>10545211.837734364</v>
      </c>
      <c r="BK117" s="114">
        <f ca="1">SUM(BK107:BK115)</f>
        <v>10590761.898446241</v>
      </c>
      <c r="BN117" s="85" t="str">
        <f>BN103</f>
        <v>Pravastatin</v>
      </c>
      <c r="BO117" s="113">
        <f ca="1">SUM(BO107:BO115)</f>
        <v>1042638.2635894753</v>
      </c>
      <c r="BP117" s="113">
        <f ca="1">SUM(BP107:BP115)</f>
        <v>1051189.9831204498</v>
      </c>
      <c r="BQ117" s="113">
        <f ca="1">SUM(BQ107:BQ115)</f>
        <v>1059383.3731141638</v>
      </c>
      <c r="BR117" s="113">
        <f ca="1">SUM(BR107:BR115)</f>
        <v>1067596.2328532585</v>
      </c>
      <c r="BS117" s="114">
        <f ca="1">SUM(BS107:BS115)</f>
        <v>1075854.073980656</v>
      </c>
      <c r="BV117" s="85" t="str">
        <f>BV103</f>
        <v>Simvastatin 5mg</v>
      </c>
      <c r="BW117" s="113">
        <f ca="1">SUM(BW107:BW115)</f>
        <v>38488.78478449375</v>
      </c>
      <c r="BX117" s="113">
        <f ca="1">SUM(BX107:BX115)</f>
        <v>38769.393700939901</v>
      </c>
      <c r="BY117" s="113">
        <f ca="1">SUM(BY107:BY115)</f>
        <v>39004.638319855505</v>
      </c>
      <c r="BZ117" s="113">
        <f ca="1">SUM(BZ107:BZ115)</f>
        <v>39206.755712500715</v>
      </c>
      <c r="CA117" s="114">
        <f ca="1">SUM(CA107:CA115)</f>
        <v>39376.10936138899</v>
      </c>
      <c r="CD117" s="85" t="str">
        <f>CD103</f>
        <v>Simvastatin 10mg</v>
      </c>
      <c r="CE117" s="113">
        <f ca="1">SUM(CE107:CE115)</f>
        <v>2779199.1467679399</v>
      </c>
      <c r="CF117" s="113">
        <f ca="1">SUM(CF107:CF115)</f>
        <v>2799461.362515443</v>
      </c>
      <c r="CG117" s="113">
        <f ca="1">SUM(CG107:CG115)</f>
        <v>2816447.911917631</v>
      </c>
      <c r="CH117" s="113">
        <f ca="1">SUM(CH107:CH115)</f>
        <v>2831042.4097260637</v>
      </c>
      <c r="CI117" s="114">
        <f ca="1">SUM(CI107:CI115)</f>
        <v>2843271.1022952809</v>
      </c>
      <c r="CL117" s="85" t="str">
        <f>CL103</f>
        <v>Simvastatin 20mg</v>
      </c>
      <c r="CM117" s="113">
        <f ca="1">SUM(CM107:CM115)</f>
        <v>11908604.566659126</v>
      </c>
      <c r="CN117" s="113">
        <f ca="1">SUM(CN107:CN115)</f>
        <v>11995426.238025123</v>
      </c>
      <c r="CO117" s="113">
        <f ca="1">SUM(CO107:CO115)</f>
        <v>12068211.989999007</v>
      </c>
      <c r="CP117" s="113">
        <f ca="1">SUM(CP107:CP115)</f>
        <v>12130748.027926235</v>
      </c>
      <c r="CQ117" s="114">
        <f ca="1">SUM(CQ107:CQ115)</f>
        <v>12183146.814944936</v>
      </c>
      <c r="CT117" s="85" t="str">
        <f>CT103</f>
        <v>Simvastatin 40mg</v>
      </c>
      <c r="CU117" s="113">
        <f ca="1">SUM(CU107:CU115)</f>
        <v>25400559.249601152</v>
      </c>
      <c r="CV117" s="113">
        <f ca="1">SUM(CV107:CV115)</f>
        <v>25585717.728075638</v>
      </c>
      <c r="CW117" s="113">
        <f ca="1">SUM(CW107:CW115)</f>
        <v>25740912.022212084</v>
      </c>
      <c r="CX117" s="113">
        <f ca="1">SUM(CX107:CX115)</f>
        <v>25874216.559920665</v>
      </c>
      <c r="CY117" s="114">
        <f ca="1">SUM(CY107:CY115)</f>
        <v>25985870.74984172</v>
      </c>
      <c r="DB117" s="85">
        <f>DB103</f>
        <v>0</v>
      </c>
      <c r="DC117" s="113">
        <f ca="1">SUM(DC107:DC115)</f>
        <v>0</v>
      </c>
      <c r="DD117" s="113">
        <f ca="1">SUM(DD107:DD115)</f>
        <v>0</v>
      </c>
      <c r="DE117" s="113">
        <f ca="1">SUM(DE107:DE115)</f>
        <v>0</v>
      </c>
      <c r="DF117" s="113">
        <f ca="1">SUM(DF107:DF115)</f>
        <v>0</v>
      </c>
      <c r="DG117" s="114">
        <f ca="1">SUM(DG107:DG115)</f>
        <v>0</v>
      </c>
    </row>
    <row r="118" spans="2:111" ht="15" thickBot="1">
      <c r="B118" s="83"/>
      <c r="C118" s="86"/>
      <c r="D118" s="86"/>
      <c r="E118" s="86"/>
      <c r="F118" s="86"/>
      <c r="G118" s="86"/>
      <c r="J118" s="83"/>
      <c r="K118" s="86"/>
      <c r="L118" s="86"/>
      <c r="M118" s="86"/>
      <c r="N118" s="86"/>
      <c r="O118" s="86"/>
      <c r="R118" s="83"/>
      <c r="S118" s="86"/>
      <c r="T118" s="86"/>
      <c r="U118" s="86"/>
      <c r="V118" s="86"/>
      <c r="W118" s="86"/>
      <c r="Z118" s="83"/>
      <c r="AA118" s="86"/>
      <c r="AB118" s="86"/>
      <c r="AC118" s="86"/>
      <c r="AD118" s="86"/>
      <c r="AE118" s="86"/>
      <c r="AH118" s="83"/>
      <c r="AI118" s="86"/>
      <c r="AJ118" s="86"/>
      <c r="AK118" s="86"/>
      <c r="AL118" s="86"/>
      <c r="AM118" s="86"/>
      <c r="AP118" s="83"/>
      <c r="AQ118" s="86"/>
      <c r="AR118" s="86"/>
      <c r="AS118" s="86"/>
      <c r="AT118" s="86"/>
      <c r="AU118" s="86"/>
      <c r="AX118" s="83"/>
      <c r="AY118" s="86"/>
      <c r="AZ118" s="86"/>
      <c r="BA118" s="86"/>
      <c r="BB118" s="86"/>
      <c r="BC118" s="86"/>
      <c r="BF118" s="83"/>
      <c r="BG118" s="86"/>
      <c r="BH118" s="86"/>
      <c r="BI118" s="86"/>
      <c r="BJ118" s="86"/>
      <c r="BK118" s="86"/>
      <c r="BN118" s="83"/>
      <c r="BO118" s="86"/>
      <c r="BP118" s="86"/>
      <c r="BQ118" s="86"/>
      <c r="BR118" s="86"/>
      <c r="BS118" s="86"/>
      <c r="BV118" s="83"/>
      <c r="BW118" s="86"/>
      <c r="BX118" s="86"/>
      <c r="BY118" s="86"/>
      <c r="BZ118" s="86"/>
      <c r="CA118" s="86"/>
      <c r="CD118" s="83"/>
      <c r="CE118" s="86"/>
      <c r="CF118" s="86"/>
      <c r="CG118" s="86"/>
      <c r="CH118" s="86"/>
      <c r="CI118" s="86"/>
      <c r="CL118" s="83"/>
      <c r="CM118" s="86"/>
      <c r="CN118" s="86"/>
      <c r="CO118" s="86"/>
      <c r="CP118" s="86"/>
      <c r="CQ118" s="86"/>
      <c r="CT118" s="83"/>
      <c r="CU118" s="86"/>
      <c r="CV118" s="86"/>
      <c r="CW118" s="86"/>
      <c r="CX118" s="86"/>
      <c r="CY118" s="86"/>
      <c r="DB118" s="83"/>
      <c r="DC118" s="86"/>
      <c r="DD118" s="86"/>
      <c r="DE118" s="86"/>
      <c r="DF118" s="86"/>
      <c r="DG118" s="86"/>
    </row>
    <row r="119" spans="2:111" ht="15" thickBot="1">
      <c r="B119" s="507" t="str">
        <f>B56</f>
        <v>high intensity only</v>
      </c>
      <c r="C119" s="505"/>
      <c r="D119" s="505"/>
      <c r="E119" s="505"/>
      <c r="F119" s="505"/>
      <c r="G119" s="506"/>
      <c r="J119" s="507" t="str">
        <f>J56</f>
        <v>high intensity only</v>
      </c>
      <c r="K119" s="505"/>
      <c r="L119" s="505"/>
      <c r="M119" s="505"/>
      <c r="N119" s="505"/>
      <c r="O119" s="506"/>
      <c r="R119" s="507" t="str">
        <f>R56</f>
        <v>high intensity only</v>
      </c>
      <c r="S119" s="505"/>
      <c r="T119" s="505"/>
      <c r="U119" s="505"/>
      <c r="V119" s="505"/>
      <c r="W119" s="506"/>
      <c r="Z119" s="507" t="str">
        <f>Z56</f>
        <v>high intensity only</v>
      </c>
      <c r="AA119" s="505"/>
      <c r="AB119" s="505"/>
      <c r="AC119" s="505"/>
      <c r="AD119" s="505"/>
      <c r="AE119" s="506"/>
      <c r="AH119" s="507" t="str">
        <f>AH56</f>
        <v>high intensity only</v>
      </c>
      <c r="AI119" s="505"/>
      <c r="AJ119" s="505"/>
      <c r="AK119" s="505"/>
      <c r="AL119" s="505"/>
      <c r="AM119" s="506"/>
      <c r="AP119" s="507" t="str">
        <f>AP56</f>
        <v>high intensity only</v>
      </c>
      <c r="AQ119" s="505"/>
      <c r="AR119" s="505"/>
      <c r="AS119" s="505"/>
      <c r="AT119" s="505"/>
      <c r="AU119" s="506"/>
      <c r="AX119" s="507" t="str">
        <f>AX56</f>
        <v>high intensity only</v>
      </c>
      <c r="AY119" s="505"/>
      <c r="AZ119" s="505"/>
      <c r="BA119" s="505"/>
      <c r="BB119" s="505"/>
      <c r="BC119" s="506"/>
      <c r="BF119" s="507" t="str">
        <f>BF56</f>
        <v>high intensity only</v>
      </c>
      <c r="BG119" s="505"/>
      <c r="BH119" s="505"/>
      <c r="BI119" s="505"/>
      <c r="BJ119" s="505"/>
      <c r="BK119" s="506"/>
      <c r="BN119" s="507" t="str">
        <f>BN56</f>
        <v>high intensity only</v>
      </c>
      <c r="BO119" s="505"/>
      <c r="BP119" s="505"/>
      <c r="BQ119" s="505"/>
      <c r="BR119" s="505"/>
      <c r="BS119" s="506"/>
      <c r="BV119" s="507" t="str">
        <f>BV56</f>
        <v>high intensity only</v>
      </c>
      <c r="BW119" s="505"/>
      <c r="BX119" s="505"/>
      <c r="BY119" s="505"/>
      <c r="BZ119" s="505"/>
      <c r="CA119" s="506"/>
      <c r="CD119" s="507" t="str">
        <f>CD56</f>
        <v>high intensity only</v>
      </c>
      <c r="CE119" s="505"/>
      <c r="CF119" s="505"/>
      <c r="CG119" s="505"/>
      <c r="CH119" s="505"/>
      <c r="CI119" s="506"/>
      <c r="CL119" s="507" t="str">
        <f>CL56</f>
        <v>high intensity only</v>
      </c>
      <c r="CM119" s="505"/>
      <c r="CN119" s="505"/>
      <c r="CO119" s="505"/>
      <c r="CP119" s="505"/>
      <c r="CQ119" s="506"/>
      <c r="CT119" s="507" t="str">
        <f>CT56</f>
        <v>high intensity only</v>
      </c>
      <c r="CU119" s="505"/>
      <c r="CV119" s="505"/>
      <c r="CW119" s="505"/>
      <c r="CX119" s="505"/>
      <c r="CY119" s="506"/>
      <c r="DB119" s="507" t="str">
        <f>DB56</f>
        <v>high intensity only</v>
      </c>
      <c r="DC119" s="505"/>
      <c r="DD119" s="505"/>
      <c r="DE119" s="505"/>
      <c r="DF119" s="505"/>
      <c r="DG119" s="506"/>
    </row>
    <row r="120" spans="2:111">
      <c r="B120" s="84"/>
      <c r="C120" s="101">
        <f>C57</f>
        <v>2026</v>
      </c>
      <c r="D120" s="101">
        <f t="shared" ref="D120:F120" si="300">D57</f>
        <v>2027</v>
      </c>
      <c r="E120" s="101">
        <f t="shared" si="300"/>
        <v>2028</v>
      </c>
      <c r="F120" s="101">
        <f t="shared" si="300"/>
        <v>2029</v>
      </c>
      <c r="G120" s="102">
        <f>G57</f>
        <v>2030</v>
      </c>
      <c r="J120" s="84"/>
      <c r="K120" s="101">
        <f>K57</f>
        <v>2026</v>
      </c>
      <c r="L120" s="101">
        <f t="shared" ref="L120:N120" si="301">L57</f>
        <v>2027</v>
      </c>
      <c r="M120" s="101">
        <f t="shared" si="301"/>
        <v>2028</v>
      </c>
      <c r="N120" s="101">
        <f t="shared" si="301"/>
        <v>2029</v>
      </c>
      <c r="O120" s="102">
        <f>O57</f>
        <v>2030</v>
      </c>
      <c r="R120" s="84"/>
      <c r="S120" s="101">
        <f>S57</f>
        <v>2026</v>
      </c>
      <c r="T120" s="101">
        <f t="shared" ref="T120:V120" si="302">T57</f>
        <v>2027</v>
      </c>
      <c r="U120" s="101">
        <f t="shared" si="302"/>
        <v>2028</v>
      </c>
      <c r="V120" s="101">
        <f t="shared" si="302"/>
        <v>2029</v>
      </c>
      <c r="W120" s="102">
        <f>W57</f>
        <v>2030</v>
      </c>
      <c r="Z120" s="84"/>
      <c r="AA120" s="101">
        <f>AA57</f>
        <v>2026</v>
      </c>
      <c r="AB120" s="101">
        <f t="shared" ref="AB120:AD120" si="303">AB57</f>
        <v>2027</v>
      </c>
      <c r="AC120" s="101">
        <f t="shared" si="303"/>
        <v>2028</v>
      </c>
      <c r="AD120" s="101">
        <f t="shared" si="303"/>
        <v>2029</v>
      </c>
      <c r="AE120" s="102">
        <f>AE57</f>
        <v>2030</v>
      </c>
      <c r="AH120" s="84"/>
      <c r="AI120" s="101">
        <f>AI57</f>
        <v>2026</v>
      </c>
      <c r="AJ120" s="101">
        <f t="shared" ref="AJ120:AL120" si="304">AJ57</f>
        <v>2027</v>
      </c>
      <c r="AK120" s="101">
        <f t="shared" si="304"/>
        <v>2028</v>
      </c>
      <c r="AL120" s="101">
        <f t="shared" si="304"/>
        <v>2029</v>
      </c>
      <c r="AM120" s="102">
        <f>AM57</f>
        <v>2030</v>
      </c>
      <c r="AP120" s="84"/>
      <c r="AQ120" s="101">
        <f>AQ57</f>
        <v>2026</v>
      </c>
      <c r="AR120" s="101">
        <f t="shared" ref="AR120:AT120" si="305">AR57</f>
        <v>2027</v>
      </c>
      <c r="AS120" s="101">
        <f t="shared" si="305"/>
        <v>2028</v>
      </c>
      <c r="AT120" s="101">
        <f t="shared" si="305"/>
        <v>2029</v>
      </c>
      <c r="AU120" s="102">
        <f>AU57</f>
        <v>2030</v>
      </c>
      <c r="AX120" s="84"/>
      <c r="AY120" s="101">
        <f>AY57</f>
        <v>2026</v>
      </c>
      <c r="AZ120" s="101">
        <f t="shared" ref="AZ120:BB120" si="306">AZ57</f>
        <v>2027</v>
      </c>
      <c r="BA120" s="101">
        <f t="shared" si="306"/>
        <v>2028</v>
      </c>
      <c r="BB120" s="101">
        <f t="shared" si="306"/>
        <v>2029</v>
      </c>
      <c r="BC120" s="102">
        <f>BC57</f>
        <v>2030</v>
      </c>
      <c r="BF120" s="84"/>
      <c r="BG120" s="101">
        <f>BG57</f>
        <v>2026</v>
      </c>
      <c r="BH120" s="101">
        <f t="shared" ref="BH120:BJ120" si="307">BH57</f>
        <v>2027</v>
      </c>
      <c r="BI120" s="101">
        <f t="shared" si="307"/>
        <v>2028</v>
      </c>
      <c r="BJ120" s="101">
        <f t="shared" si="307"/>
        <v>2029</v>
      </c>
      <c r="BK120" s="102">
        <f>BK57</f>
        <v>2030</v>
      </c>
      <c r="BN120" s="84"/>
      <c r="BO120" s="101">
        <f>BO57</f>
        <v>2026</v>
      </c>
      <c r="BP120" s="101">
        <f t="shared" ref="BP120:BR120" si="308">BP57</f>
        <v>2027</v>
      </c>
      <c r="BQ120" s="101">
        <f t="shared" si="308"/>
        <v>2028</v>
      </c>
      <c r="BR120" s="101">
        <f t="shared" si="308"/>
        <v>2029</v>
      </c>
      <c r="BS120" s="102">
        <f>BS57</f>
        <v>2030</v>
      </c>
      <c r="BV120" s="84"/>
      <c r="BW120" s="101">
        <f>BW57</f>
        <v>2026</v>
      </c>
      <c r="BX120" s="101">
        <f t="shared" ref="BX120:BZ120" si="309">BX57</f>
        <v>2027</v>
      </c>
      <c r="BY120" s="101">
        <f t="shared" si="309"/>
        <v>2028</v>
      </c>
      <c r="BZ120" s="101">
        <f t="shared" si="309"/>
        <v>2029</v>
      </c>
      <c r="CA120" s="102">
        <f>CA57</f>
        <v>2030</v>
      </c>
      <c r="CD120" s="84"/>
      <c r="CE120" s="101">
        <f>CE57</f>
        <v>2026</v>
      </c>
      <c r="CF120" s="101">
        <f t="shared" ref="CF120:CH120" si="310">CF57</f>
        <v>2027</v>
      </c>
      <c r="CG120" s="101">
        <f t="shared" si="310"/>
        <v>2028</v>
      </c>
      <c r="CH120" s="101">
        <f t="shared" si="310"/>
        <v>2029</v>
      </c>
      <c r="CI120" s="102">
        <f>CI57</f>
        <v>2030</v>
      </c>
      <c r="CL120" s="84"/>
      <c r="CM120" s="101">
        <f>CM57</f>
        <v>2026</v>
      </c>
      <c r="CN120" s="101">
        <f t="shared" ref="CN120:CP120" si="311">CN57</f>
        <v>2027</v>
      </c>
      <c r="CO120" s="101">
        <f t="shared" si="311"/>
        <v>2028</v>
      </c>
      <c r="CP120" s="101">
        <f t="shared" si="311"/>
        <v>2029</v>
      </c>
      <c r="CQ120" s="102">
        <f>CQ57</f>
        <v>2030</v>
      </c>
      <c r="CT120" s="84"/>
      <c r="CU120" s="101">
        <f>CU57</f>
        <v>2026</v>
      </c>
      <c r="CV120" s="101">
        <f t="shared" ref="CV120:CX120" si="312">CV57</f>
        <v>2027</v>
      </c>
      <c r="CW120" s="101">
        <f t="shared" si="312"/>
        <v>2028</v>
      </c>
      <c r="CX120" s="101">
        <f t="shared" si="312"/>
        <v>2029</v>
      </c>
      <c r="CY120" s="102">
        <f>CY57</f>
        <v>2030</v>
      </c>
      <c r="DB120" s="84"/>
      <c r="DC120" s="101">
        <f>DC57</f>
        <v>2026</v>
      </c>
      <c r="DD120" s="101">
        <f t="shared" ref="DD120:DF120" si="313">DD57</f>
        <v>2027</v>
      </c>
      <c r="DE120" s="101">
        <f t="shared" si="313"/>
        <v>2028</v>
      </c>
      <c r="DF120" s="101">
        <f t="shared" si="313"/>
        <v>2029</v>
      </c>
      <c r="DG120" s="102">
        <f>DG57</f>
        <v>2030</v>
      </c>
    </row>
    <row r="121" spans="2:111">
      <c r="B121" s="87" t="s">
        <v>170</v>
      </c>
      <c r="C121" s="109">
        <f ca="1">(C58*c_inicial)+(C58*c_on*12)+(C58*ci_int1)+(C58*(ct_int1+ca_int1)*'Time on treatment'!$D$12)</f>
        <v>0</v>
      </c>
      <c r="D121" s="109">
        <f ca="1">(D58*c_on*12)+(D58*(ct_int1+ca_int1)*'Time on treatment'!$E$12)</f>
        <v>0</v>
      </c>
      <c r="E121" s="109">
        <f ca="1">(E58*c_on*12)+(E58*(ct_int1+ca_int1)*'Time on treatment'!$F$12)</f>
        <v>0</v>
      </c>
      <c r="F121" s="109">
        <f ca="1">(F58*c_on*12)+(F58*(ct_int1+ca_int1)*'Time on treatment'!$G$12)</f>
        <v>0</v>
      </c>
      <c r="G121" s="110">
        <f ca="1">(G58*c_on*12)+(G58*(ct_int1+ca_int1)*'Time on treatment'!$H$12)</f>
        <v>0</v>
      </c>
      <c r="J121" s="87" t="s">
        <v>170</v>
      </c>
      <c r="K121" s="109">
        <f ca="1">(K58*c_inicial)+(K58*c_on*12)+(K58*ci_int2)+(K58*(ct_int2+ca_int2)*'Time on treatment'!$D$13)</f>
        <v>0</v>
      </c>
      <c r="L121" s="109">
        <f ca="1">(L58*c_on*12)+(L58*(ct_int2+ca_int2)*'Time on treatment'!$E$13)</f>
        <v>0</v>
      </c>
      <c r="M121" s="109">
        <f ca="1">(M58*c_on*12)+(M58*(ct_int2+ca_int2)*'Time on treatment'!$F$13)</f>
        <v>0</v>
      </c>
      <c r="N121" s="109">
        <f ca="1">(N58*c_on*12)+(N58*(ct_int2+ca_int2)*'Time on treatment'!$G$13)</f>
        <v>0</v>
      </c>
      <c r="O121" s="110">
        <f ca="1">(O58*c_on*12)+(O58*(ct_int2+ca_int2)*'Time on treatment'!$H$13)</f>
        <v>0</v>
      </c>
      <c r="R121" s="87" t="s">
        <v>170</v>
      </c>
      <c r="S121" s="109">
        <f ca="1">(S58*c_inicial)+(S58*c_on*12)+(S58*ci_int3)+(S58*(ct_int3+ca_int3)*'Time on treatment'!$D$14)</f>
        <v>29769516.979841314</v>
      </c>
      <c r="T121" s="109">
        <f ca="1">(T58*c_on*12)+(T58*(ct_int3+ca_int3)*'Time on treatment'!$E$14)</f>
        <v>29769516.979841314</v>
      </c>
      <c r="U121" s="109">
        <f ca="1">(U58*c_on*12)+(U58*(ct_int3+ca_int3)*'Time on treatment'!$F$14)</f>
        <v>29769516.979841314</v>
      </c>
      <c r="V121" s="109">
        <f ca="1">(V58*c_on*12)+(V58*(ct_int3+ca_int3)*'Time on treatment'!$G$14)</f>
        <v>29769516.979841314</v>
      </c>
      <c r="W121" s="110">
        <f ca="1">(W58*c_on*12)+(W58*(ct_int3+ca_int3)*'Time on treatment'!$H$14)</f>
        <v>29769516.979841314</v>
      </c>
      <c r="Z121" s="87" t="s">
        <v>170</v>
      </c>
      <c r="AA121" s="109">
        <f ca="1">(AA58*c_inicial)+(AA58*c_on*12)+(AA58*ci_int4)+(AA58*(ct_int4+ca_int4)*'Time on treatment'!$D$15)</f>
        <v>33024473.029880863</v>
      </c>
      <c r="AB121" s="109">
        <f ca="1">(AB58*c_on*12)+(AB58*(ct_int4+ca_int4)*'Time on treatment'!$E$15)</f>
        <v>33024473.029880863</v>
      </c>
      <c r="AC121" s="109">
        <f ca="1">(AC58*c_on*12)+(AC58*(ct_int4+ca_int4)*'Time on treatment'!$F$15)</f>
        <v>33024473.029880863</v>
      </c>
      <c r="AD121" s="109">
        <f ca="1">(AD58*c_on*12)+(AD58*(ct_int4+ca_int4)*'Time on treatment'!$G$15)</f>
        <v>33024473.029880863</v>
      </c>
      <c r="AE121" s="110">
        <f ca="1">(AE58*c_on*12)+(AE58*(ct_int4+ca_int4)*'Time on treatment'!$H$15)</f>
        <v>33024473.029880863</v>
      </c>
      <c r="AH121" s="87" t="s">
        <v>170</v>
      </c>
      <c r="AI121" s="109">
        <f ca="1">(AI58*c_inicial)+(AI58*c_on*12)+(AI58*ci_comp1)+(AI58*(ct_comp1+ca_comp1)*'Time on treatment'!$D$19)</f>
        <v>1311279.6090853959</v>
      </c>
      <c r="AJ121" s="109">
        <f ca="1">(AJ58*c_on*12)+(AJ58*(ct_comp1+ca_comp1)*'Time on treatment'!$E$19)</f>
        <v>1311279.6090853959</v>
      </c>
      <c r="AK121" s="109">
        <f ca="1">(AK58*c_on*12)+(AK58*(ct_comp1+ca_comp1)*'Time on treatment'!$F$19)</f>
        <v>1311279.6090853959</v>
      </c>
      <c r="AL121" s="109">
        <f ca="1">(AL58*c_on*12)+(AL58*(ct_comp1+ca_comp1)*'Time on treatment'!$G$19)</f>
        <v>1311279.6090853959</v>
      </c>
      <c r="AM121" s="110">
        <f ca="1">(AM58*c_on*12)+(AM58*(ct_comp1+ca_comp1)*'Time on treatment'!$H$19)</f>
        <v>1311279.6090853959</v>
      </c>
      <c r="AP121" s="87" t="s">
        <v>170</v>
      </c>
      <c r="AQ121" s="109">
        <f ca="1">(AQ58*c_inicial)+(AQ58*c_on*12)+(AQ58*ci_comp2)+(AQ58*(ct_comp2+ca_comp2)*'Time on treatment'!$D$20)</f>
        <v>9865489.4497679938</v>
      </c>
      <c r="AR121" s="109">
        <f ca="1">(AR58*c_on*12)+(AR58*(ct_comp2+ca_comp2)*'Time on treatment'!$E$20)</f>
        <v>9865489.4497679938</v>
      </c>
      <c r="AS121" s="109">
        <f ca="1">(AS58*c_on*12)+(AS58*(ct_comp2+ca_comp2)*'Time on treatment'!$F$20)</f>
        <v>9865489.4497679938</v>
      </c>
      <c r="AT121" s="109">
        <f ca="1">(AT58*c_on*12)+(AT58*(ct_comp2+ca_comp2)*'Time on treatment'!$G$20)</f>
        <v>9865489.4497679938</v>
      </c>
      <c r="AU121" s="110">
        <f ca="1">(AU58*c_on*12)+(AU58*(ct_comp2+ca_comp2)*'Time on treatment'!$H$20)</f>
        <v>9865489.4497679938</v>
      </c>
      <c r="AX121" s="87" t="s">
        <v>170</v>
      </c>
      <c r="AY121" s="109">
        <f ca="1">(AY58*c_inicial)+(AY58*c_on*12)+(AY58*ci_comp3)+(AY58*(ct_comp3+ca_comp3)*'Time on treatment'!$D$21)</f>
        <v>54317817.638895214</v>
      </c>
      <c r="AZ121" s="109">
        <f ca="1">(AZ58*c_on*12)+(AZ58*(ct_comp3+ca_comp3)*'Time on treatment'!$E$21)</f>
        <v>54317817.638895214</v>
      </c>
      <c r="BA121" s="109">
        <f ca="1">(BA58*c_on*12)+(BA58*(ct_comp3+ca_comp3)*'Time on treatment'!$F$21)</f>
        <v>54317817.638895214</v>
      </c>
      <c r="BB121" s="109">
        <f ca="1">(BB58*c_on*12)+(BB58*(ct_comp3+ca_comp3)*'Time on treatment'!$G$21)</f>
        <v>54317817.638895214</v>
      </c>
      <c r="BC121" s="110">
        <f ca="1">(BC58*c_on*12)+(BC58*(ct_comp3+ca_comp3)*'Time on treatment'!$H$21)</f>
        <v>54317817.638895214</v>
      </c>
      <c r="BF121" s="87" t="s">
        <v>170</v>
      </c>
      <c r="BG121" s="109">
        <f ca="1">(BG58*c_inicial)+(BG58*c_on*12)+(BG58*ci_comp4)+(BG58*(ct_comp4+ca_comp4)*'Time on treatment'!$D$22)</f>
        <v>10352103.395284122</v>
      </c>
      <c r="BH121" s="109">
        <f ca="1">(BH58*c_on*12)+(BH58*(ct_comp4+ca_comp4)*'Time on treatment'!$E$22)</f>
        <v>10352103.395284122</v>
      </c>
      <c r="BI121" s="109">
        <f ca="1">(BI58*c_on*12)+(BI58*(ct_comp4+ca_comp4)*'Time on treatment'!$F$22)</f>
        <v>10352103.395284122</v>
      </c>
      <c r="BJ121" s="109">
        <f ca="1">(BJ58*c_on*12)+(BJ58*(ct_comp4+ca_comp4)*'Time on treatment'!$G$22)</f>
        <v>10352103.395284122</v>
      </c>
      <c r="BK121" s="110">
        <f ca="1">(BK58*c_on*12)+(BK58*(ct_comp4+ca_comp4)*'Time on treatment'!$H$22)</f>
        <v>10352103.395284122</v>
      </c>
      <c r="BN121" s="87" t="s">
        <v>170</v>
      </c>
      <c r="BO121" s="109">
        <f ca="1">(BO58*c_inicial)+(BO58*c_on*12)+(BO58*ci_comp5)+(BO58*(ct_comp5+ca_comp5)*'Time on treatment'!$D$23)</f>
        <v>1042638.2635894753</v>
      </c>
      <c r="BP121" s="109">
        <f ca="1">(BP58*c_on*12)+(BP58*(ct_comp5+ca_comp5)*'Time on treatment'!$E$23)</f>
        <v>1042638.2635894753</v>
      </c>
      <c r="BQ121" s="109">
        <f ca="1">(BQ58*c_on*12)+(BQ58*(ct_comp5+ca_comp5)*'Time on treatment'!$F$23)</f>
        <v>1042638.2635894753</v>
      </c>
      <c r="BR121" s="109">
        <f ca="1">(BR58*c_on*12)+(BR58*(ct_comp5+ca_comp5)*'Time on treatment'!$G$23)</f>
        <v>1042638.2635894753</v>
      </c>
      <c r="BS121" s="110">
        <f ca="1">(BS58*c_on*12)+(BS58*(ct_comp5+ca_comp5)*'Time on treatment'!$H$23)</f>
        <v>1042638.2635894753</v>
      </c>
      <c r="BV121" s="87" t="s">
        <v>170</v>
      </c>
      <c r="BW121" s="109">
        <f ca="1">(BW58*c_inicial)+(BW58*c_on*12)+(BW58*ci_comp6)+(BW58*(ct_comp6+ca_comp6)*'Time on treatment'!$D$24)</f>
        <v>38488.78478449375</v>
      </c>
      <c r="BX121" s="109">
        <f ca="1">(BX58*c_on*12)+(BX58*(ct_comp6+ca_comp6)*'Time on treatment'!$E$24)</f>
        <v>38488.78478449375</v>
      </c>
      <c r="BY121" s="109">
        <f ca="1">(BY58*c_on*12)+(BY58*(ct_comp6+ca_comp6)*'Time on treatment'!$F$24)</f>
        <v>38488.78478449375</v>
      </c>
      <c r="BZ121" s="109">
        <f ca="1">(BZ58*c_on*12)+(BZ58*(ct_comp6+ca_comp6)*'Time on treatment'!$G$24)</f>
        <v>38488.78478449375</v>
      </c>
      <c r="CA121" s="110">
        <f ca="1">(CA58*c_on*12)+(CA58*(ct_comp6+ca_comp6)*'Time on treatment'!$H$24)</f>
        <v>38488.78478449375</v>
      </c>
      <c r="CD121" s="87" t="s">
        <v>170</v>
      </c>
      <c r="CE121" s="109">
        <f ca="1">(CE58*c_inicial)+(CE58*c_on*12)+(CE58*ci_comp7)+(CE58*(ct_comp7+ca_comp7)*'Time on treatment'!$D$25)</f>
        <v>2779199.1467679399</v>
      </c>
      <c r="CF121" s="109">
        <f ca="1">(CF58*c_on*12)+(CF58*(ct_comp7+ca_comp7)*'Time on treatment'!$E$25)</f>
        <v>2779199.1467679399</v>
      </c>
      <c r="CG121" s="109">
        <f ca="1">(CG58*c_on*12)+(CG58*(ct_comp7+ca_comp7)*'Time on treatment'!$F$25)</f>
        <v>2779199.1467679399</v>
      </c>
      <c r="CH121" s="109">
        <f ca="1">(CH58*c_on*12)+(CH58*(ct_comp7+ca_comp7)*'Time on treatment'!$G$25)</f>
        <v>2779199.1467679399</v>
      </c>
      <c r="CI121" s="110">
        <f ca="1">(CI58*c_on*12)+(CI58*(ct_comp7+ca_comp7)*'Time on treatment'!$H$25)</f>
        <v>2779199.1467679399</v>
      </c>
      <c r="CL121" s="87" t="s">
        <v>170</v>
      </c>
      <c r="CM121" s="109">
        <f ca="1">(CM58*c_inicial)+(CM58*c_on*12)+(CM58*ci_comp8)+(CM58*(ct_comp8+ca_comp8)*'Time on treatment'!$D$26)</f>
        <v>11908604.566659126</v>
      </c>
      <c r="CN121" s="109">
        <f ca="1">(CN58*c_on*12)+(CN58*(ct_comp8+ca_comp8)*'Time on treatment'!$E$26)</f>
        <v>11908604.566659126</v>
      </c>
      <c r="CO121" s="109">
        <f ca="1">(CO58*c_on*12)+(CO58*(ct_comp8+ca_comp8)*'Time on treatment'!$F$26)</f>
        <v>11908604.566659126</v>
      </c>
      <c r="CP121" s="109">
        <f ca="1">(CP58*c_on*12)+(CP58*(ct_comp8+ca_comp8)*'Time on treatment'!$G$26)</f>
        <v>11908604.566659126</v>
      </c>
      <c r="CQ121" s="110">
        <f ca="1">(CQ58*c_on*12)+(CQ58*(ct_comp8+ca_comp8)*'Time on treatment'!$H$26)</f>
        <v>11908604.566659126</v>
      </c>
      <c r="CT121" s="87" t="s">
        <v>170</v>
      </c>
      <c r="CU121" s="109">
        <f ca="1">(CU58*c_inicial)+(CU58*c_on*12)+(CU58*ci_comp9)+(CU58*(ct_comp9+ca_comp9)*'Time on treatment'!$D$27)</f>
        <v>25400559.249601152</v>
      </c>
      <c r="CV121" s="109">
        <f ca="1">(CV58*c_on*12)+(CV58*(ct_comp9+ca_comp9)*'Time on treatment'!$E$27)</f>
        <v>25400559.249601152</v>
      </c>
      <c r="CW121" s="109">
        <f ca="1">(CW58*c_on*12)+(CW58*(ct_comp9+ca_comp9)*'Time on treatment'!$F$27)</f>
        <v>25400559.249601152</v>
      </c>
      <c r="CX121" s="109">
        <f ca="1">(CX58*c_on*12)+(CX58*(ct_comp9+ca_comp9)*'Time on treatment'!$G$27)</f>
        <v>25400559.249601152</v>
      </c>
      <c r="CY121" s="110">
        <f ca="1">(CY58*c_on*12)+(CY58*(ct_comp9+ca_comp9)*'Time on treatment'!$H$27)</f>
        <v>25400559.249601152</v>
      </c>
      <c r="DB121" s="87" t="s">
        <v>170</v>
      </c>
      <c r="DC121" s="109">
        <f ca="1">(DC58*c_inicial)+(DC58*c_on*12)+(DC58*ci_comp10)+(DC58*(ct_comp10+ca_comp10)*'Time on treatment'!$D$28)</f>
        <v>0</v>
      </c>
      <c r="DD121" s="109">
        <f ca="1">(DD58*c_on*12)+(DD58*(ct_comp10+ca_comp10)*'Time on treatment'!$E$28)</f>
        <v>0</v>
      </c>
      <c r="DE121" s="109">
        <f ca="1">(DE58*c_on*12)+(DE58*(ct_comp10+ca_comp10)*'Time on treatment'!$F$28)</f>
        <v>0</v>
      </c>
      <c r="DF121" s="109">
        <f ca="1">(DF58*c_on*12)+(DF58*(ct_comp10+ca_comp10)*'Time on treatment'!$G$28)</f>
        <v>0</v>
      </c>
      <c r="DG121" s="110">
        <f ca="1">(DG58*c_on*12)+(DG58*(ct_comp10+ca_comp10)*'Time on treatment'!$H$28)</f>
        <v>0</v>
      </c>
    </row>
    <row r="122" spans="2:111">
      <c r="B122" s="87" t="s">
        <v>175</v>
      </c>
      <c r="C122" s="109">
        <f>C59*c_off</f>
        <v>0</v>
      </c>
      <c r="D122" s="109">
        <f>D59*c_off</f>
        <v>0</v>
      </c>
      <c r="E122" s="109">
        <f>E59*c_off</f>
        <v>0</v>
      </c>
      <c r="F122" s="109">
        <f>F59*c_off</f>
        <v>0</v>
      </c>
      <c r="G122" s="110">
        <f>G59*c_off</f>
        <v>0</v>
      </c>
      <c r="J122" s="87" t="s">
        <v>175</v>
      </c>
      <c r="K122" s="109">
        <f>K59*c_off</f>
        <v>0</v>
      </c>
      <c r="L122" s="109">
        <f>L59*c_off</f>
        <v>0</v>
      </c>
      <c r="M122" s="109">
        <f>M59*c_off</f>
        <v>0</v>
      </c>
      <c r="N122" s="109">
        <f>N59*c_off</f>
        <v>0</v>
      </c>
      <c r="O122" s="110">
        <f>O59*c_off</f>
        <v>0</v>
      </c>
      <c r="R122" s="87" t="s">
        <v>175</v>
      </c>
      <c r="S122" s="109">
        <f>S59*c_off</f>
        <v>0</v>
      </c>
      <c r="T122" s="109">
        <f>T59*c_off</f>
        <v>0</v>
      </c>
      <c r="U122" s="109">
        <f>U59*c_off</f>
        <v>0</v>
      </c>
      <c r="V122" s="109">
        <f>V59*c_off</f>
        <v>0</v>
      </c>
      <c r="W122" s="110">
        <f>W59*c_off</f>
        <v>0</v>
      </c>
      <c r="Z122" s="87" t="s">
        <v>175</v>
      </c>
      <c r="AA122" s="109">
        <f>AA59*c_off</f>
        <v>0</v>
      </c>
      <c r="AB122" s="109">
        <f>AB59*c_off</f>
        <v>0</v>
      </c>
      <c r="AC122" s="109">
        <f>AC59*c_off</f>
        <v>0</v>
      </c>
      <c r="AD122" s="109">
        <f>AD59*c_off</f>
        <v>0</v>
      </c>
      <c r="AE122" s="110">
        <f>AE59*c_off</f>
        <v>0</v>
      </c>
      <c r="AH122" s="87" t="s">
        <v>175</v>
      </c>
      <c r="AI122" s="109">
        <f>AI59*c_off</f>
        <v>0</v>
      </c>
      <c r="AJ122" s="109">
        <f>AJ59*c_off</f>
        <v>0</v>
      </c>
      <c r="AK122" s="109">
        <f>AK59*c_off</f>
        <v>0</v>
      </c>
      <c r="AL122" s="109">
        <f>AL59*c_off</f>
        <v>0</v>
      </c>
      <c r="AM122" s="110">
        <f>AM59*c_off</f>
        <v>0</v>
      </c>
      <c r="AP122" s="87" t="s">
        <v>175</v>
      </c>
      <c r="AQ122" s="109">
        <f>AQ59*c_off</f>
        <v>0</v>
      </c>
      <c r="AR122" s="109">
        <f>AR59*c_off</f>
        <v>0</v>
      </c>
      <c r="AS122" s="109">
        <f>AS59*c_off</f>
        <v>0</v>
      </c>
      <c r="AT122" s="109">
        <f>AT59*c_off</f>
        <v>0</v>
      </c>
      <c r="AU122" s="110">
        <f>AU59*c_off</f>
        <v>0</v>
      </c>
      <c r="AX122" s="87" t="s">
        <v>175</v>
      </c>
      <c r="AY122" s="109">
        <f>AY59*c_off</f>
        <v>0</v>
      </c>
      <c r="AZ122" s="109">
        <f>AZ59*c_off</f>
        <v>0</v>
      </c>
      <c r="BA122" s="109">
        <f>BA59*c_off</f>
        <v>0</v>
      </c>
      <c r="BB122" s="109">
        <f>BB59*c_off</f>
        <v>0</v>
      </c>
      <c r="BC122" s="110">
        <f>BC59*c_off</f>
        <v>0</v>
      </c>
      <c r="BF122" s="87" t="s">
        <v>175</v>
      </c>
      <c r="BG122" s="109">
        <f>BG59*c_off</f>
        <v>0</v>
      </c>
      <c r="BH122" s="109">
        <f>BH59*c_off</f>
        <v>0</v>
      </c>
      <c r="BI122" s="109">
        <f>BI59*c_off</f>
        <v>0</v>
      </c>
      <c r="BJ122" s="109">
        <f>BJ59*c_off</f>
        <v>0</v>
      </c>
      <c r="BK122" s="110">
        <f>BK59*c_off</f>
        <v>0</v>
      </c>
      <c r="BN122" s="87" t="s">
        <v>175</v>
      </c>
      <c r="BO122" s="109">
        <f>BO59*c_off</f>
        <v>0</v>
      </c>
      <c r="BP122" s="109">
        <f>BP59*c_off</f>
        <v>0</v>
      </c>
      <c r="BQ122" s="109">
        <f>BQ59*c_off</f>
        <v>0</v>
      </c>
      <c r="BR122" s="109">
        <f>BR59*c_off</f>
        <v>0</v>
      </c>
      <c r="BS122" s="110">
        <f>BS59*c_off</f>
        <v>0</v>
      </c>
      <c r="BV122" s="87" t="s">
        <v>175</v>
      </c>
      <c r="BW122" s="109">
        <f>BW59*c_off</f>
        <v>0</v>
      </c>
      <c r="BX122" s="109">
        <f>BX59*c_off</f>
        <v>0</v>
      </c>
      <c r="BY122" s="109">
        <f>BY59*c_off</f>
        <v>0</v>
      </c>
      <c r="BZ122" s="109">
        <f>BZ59*c_off</f>
        <v>0</v>
      </c>
      <c r="CA122" s="110">
        <f>CA59*c_off</f>
        <v>0</v>
      </c>
      <c r="CD122" s="87" t="s">
        <v>175</v>
      </c>
      <c r="CE122" s="109">
        <f>CE59*c_off</f>
        <v>0</v>
      </c>
      <c r="CF122" s="109">
        <f>CF59*c_off</f>
        <v>0</v>
      </c>
      <c r="CG122" s="109">
        <f>CG59*c_off</f>
        <v>0</v>
      </c>
      <c r="CH122" s="109">
        <f>CH59*c_off</f>
        <v>0</v>
      </c>
      <c r="CI122" s="110">
        <f>CI59*c_off</f>
        <v>0</v>
      </c>
      <c r="CL122" s="87" t="s">
        <v>175</v>
      </c>
      <c r="CM122" s="109">
        <f>CM59*c_off</f>
        <v>0</v>
      </c>
      <c r="CN122" s="109">
        <f>CN59*c_off</f>
        <v>0</v>
      </c>
      <c r="CO122" s="109">
        <f>CO59*c_off</f>
        <v>0</v>
      </c>
      <c r="CP122" s="109">
        <f>CP59*c_off</f>
        <v>0</v>
      </c>
      <c r="CQ122" s="110">
        <f>CQ59*c_off</f>
        <v>0</v>
      </c>
      <c r="CT122" s="87" t="s">
        <v>175</v>
      </c>
      <c r="CU122" s="109">
        <f>CU59*c_off</f>
        <v>0</v>
      </c>
      <c r="CV122" s="109">
        <f>CV59*c_off</f>
        <v>0</v>
      </c>
      <c r="CW122" s="109">
        <f>CW59*c_off</f>
        <v>0</v>
      </c>
      <c r="CX122" s="109">
        <f>CX59*c_off</f>
        <v>0</v>
      </c>
      <c r="CY122" s="110">
        <f>CY59*c_off</f>
        <v>0</v>
      </c>
      <c r="DB122" s="87" t="s">
        <v>175</v>
      </c>
      <c r="DC122" s="109">
        <f>DC59*c_off</f>
        <v>0</v>
      </c>
      <c r="DD122" s="109">
        <f>DD59*c_off</f>
        <v>0</v>
      </c>
      <c r="DE122" s="109">
        <f>DE59*c_off</f>
        <v>0</v>
      </c>
      <c r="DF122" s="109">
        <f>DF59*c_off</f>
        <v>0</v>
      </c>
      <c r="DG122" s="110">
        <f>DG59*c_off</f>
        <v>0</v>
      </c>
    </row>
    <row r="123" spans="2:111">
      <c r="B123" s="87" t="s">
        <v>171</v>
      </c>
      <c r="C123" s="111"/>
      <c r="D123" s="109">
        <f ca="1">(D60*c_inicial)+(D60*c_on*12)+(D60*ci_int1)+(D60*(ct_int1+ca_int1)*'Time on treatment'!$D$12)</f>
        <v>0</v>
      </c>
      <c r="E123" s="109">
        <f ca="1">(E60*c_on*12)+(E60*(ct_int1+ca_int1)*'Time on treatment'!$E$12)</f>
        <v>0</v>
      </c>
      <c r="F123" s="109">
        <f ca="1">(F60*c_on*12)+(F60*(ct_int1+ca_int1)*'Time on treatment'!$F$12)</f>
        <v>0</v>
      </c>
      <c r="G123" s="110">
        <f ca="1">(G60*c_on*12)+(G60*(ct_int1+ca_int1)*'Time on treatment'!$G$12)</f>
        <v>0</v>
      </c>
      <c r="J123" s="87" t="s">
        <v>171</v>
      </c>
      <c r="K123" s="111"/>
      <c r="L123" s="109">
        <f ca="1">(L60*c_inicial)+(L60*c_on*12)+(L60*ci_int2)+(L60*(ct_int2+ca_int2)*'Time on treatment'!$D$13)</f>
        <v>0</v>
      </c>
      <c r="M123" s="109">
        <f ca="1">(M60*c_on*12)+(M60*(ct_int2+ca_int2)*'Time on treatment'!$E$13)</f>
        <v>0</v>
      </c>
      <c r="N123" s="109">
        <f ca="1">(N60*c_on*12)+(N60*(ct_int2+ca_int2)*'Time on treatment'!$F$13)</f>
        <v>0</v>
      </c>
      <c r="O123" s="110">
        <f ca="1">(O60*c_on*12)+(O60*(ct_int2+ca_int2)*'Time on treatment'!$G$13)</f>
        <v>0</v>
      </c>
      <c r="R123" s="87" t="s">
        <v>171</v>
      </c>
      <c r="S123" s="111"/>
      <c r="T123" s="109">
        <f ca="1">(T60*c_inicial)+(T60*c_on*12)+(T60*ci_int3)+(T60*(ct_int3+ca_int3)*'Time on treatment'!$D$14)</f>
        <v>488339.18469047447</v>
      </c>
      <c r="U123" s="109">
        <f ca="1">(U60*c_on*12)+(U60*(ct_int3+ca_int3)*'Time on treatment'!$E$14)</f>
        <v>488339.18469047447</v>
      </c>
      <c r="V123" s="109">
        <f ca="1">(V60*c_on*12)+(V60*(ct_int3+ca_int3)*'Time on treatment'!$F$14)</f>
        <v>488339.18469047447</v>
      </c>
      <c r="W123" s="110">
        <f ca="1">(W60*c_on*12)+(W60*(ct_int3+ca_int3)*'Time on treatment'!$G$14)</f>
        <v>488339.18469047447</v>
      </c>
      <c r="Z123" s="87" t="s">
        <v>171</v>
      </c>
      <c r="AA123" s="111"/>
      <c r="AB123" s="109">
        <f ca="1">(AB60*c_inicial)+(AB60*c_on*12)+(AB60*ci_int4)+(AB60*(ct_int4+ca_int4)*'Time on treatment'!$D$15)</f>
        <v>541733.48681354895</v>
      </c>
      <c r="AC123" s="109">
        <f ca="1">(AC60*c_on*12)+(AC60*(ct_int4+ca_int4)*'Time on treatment'!$E$15)</f>
        <v>541733.48681354895</v>
      </c>
      <c r="AD123" s="109">
        <f ca="1">(AD60*c_on*12)+(AD60*(ct_int4+ca_int4)*'Time on treatment'!$F$15)</f>
        <v>541733.48681354895</v>
      </c>
      <c r="AE123" s="110">
        <f ca="1">(AE60*c_on*12)+(AE60*(ct_int4+ca_int4)*'Time on treatment'!$G$15)</f>
        <v>541733.48681354895</v>
      </c>
      <c r="AH123" s="87" t="s">
        <v>171</v>
      </c>
      <c r="AI123" s="111"/>
      <c r="AJ123" s="109">
        <f ca="1">(AJ60*c_inicial)+(AJ60*c_on*12)+(AJ60*ci_comp1)+(AJ60*(ct_comp1+ca_comp1)*'Time on treatment'!$D$19)</f>
        <v>9560.1030877864359</v>
      </c>
      <c r="AK123" s="109">
        <f ca="1">(AK60*c_on*12)+(AK60*(ct_comp1+ca_comp1)*'Time on treatment'!$E$19)</f>
        <v>9560.1030877864359</v>
      </c>
      <c r="AL123" s="109">
        <f ca="1">(AL60*c_on*12)+(AL60*(ct_comp1+ca_comp1)*'Time on treatment'!$F$19)</f>
        <v>9560.1030877864359</v>
      </c>
      <c r="AM123" s="110">
        <f ca="1">(AM60*c_on*12)+(AM60*(ct_comp1+ca_comp1)*'Time on treatment'!$G$19)</f>
        <v>9560.1030877864359</v>
      </c>
      <c r="AP123" s="87" t="s">
        <v>171</v>
      </c>
      <c r="AQ123" s="111"/>
      <c r="AR123" s="109">
        <f ca="1">(AR60*c_inicial)+(AR60*c_on*12)+(AR60*ci_comp2)+(AR60*(ct_comp2+ca_comp2)*'Time on treatment'!$D$20)</f>
        <v>71925.999228368484</v>
      </c>
      <c r="AS123" s="109">
        <f ca="1">(AS60*c_on*12)+(AS60*(ct_comp2+ca_comp2)*'Time on treatment'!$E$20)</f>
        <v>71925.999228368484</v>
      </c>
      <c r="AT123" s="109">
        <f ca="1">(AT60*c_on*12)+(AT60*(ct_comp2+ca_comp2)*'Time on treatment'!$F$20)</f>
        <v>71925.999228368484</v>
      </c>
      <c r="AU123" s="110">
        <f ca="1">(AU60*c_on*12)+(AU60*(ct_comp2+ca_comp2)*'Time on treatment'!$G$20)</f>
        <v>71925.999228368484</v>
      </c>
      <c r="AX123" s="87" t="s">
        <v>171</v>
      </c>
      <c r="AY123" s="111"/>
      <c r="AZ123" s="109">
        <f ca="1">(AZ60*c_inicial)+(AZ60*c_on*12)+(AZ60*ci_comp3)+(AZ60*(ct_comp3+ca_comp3)*'Time on treatment'!$D$21)</f>
        <v>396013.12529645604</v>
      </c>
      <c r="BA123" s="109">
        <f ca="1">(BA60*c_on*12)+(BA60*(ct_comp3+ca_comp3)*'Time on treatment'!$E$21)</f>
        <v>396013.12529645604</v>
      </c>
      <c r="BB123" s="109">
        <f ca="1">(BB60*c_on*12)+(BB60*(ct_comp3+ca_comp3)*'Time on treatment'!$F$21)</f>
        <v>396013.12529645604</v>
      </c>
      <c r="BC123" s="110">
        <f ca="1">(BC60*c_on*12)+(BC60*(ct_comp3+ca_comp3)*'Time on treatment'!$G$21)</f>
        <v>396013.12529645604</v>
      </c>
      <c r="BF123" s="87" t="s">
        <v>171</v>
      </c>
      <c r="BG123" s="111"/>
      <c r="BH123" s="109">
        <f ca="1">(BH60*c_inicial)+(BH60*c_on*12)+(BH60*ci_comp4)+(BH60*(ct_comp4+ca_comp4)*'Time on treatment'!$D$22)</f>
        <v>75473.739505008227</v>
      </c>
      <c r="BI123" s="109">
        <f ca="1">(BI60*c_on*12)+(BI60*(ct_comp4+ca_comp4)*'Time on treatment'!$E$22)</f>
        <v>75473.739505008227</v>
      </c>
      <c r="BJ123" s="109">
        <f ca="1">(BJ60*c_on*12)+(BJ60*(ct_comp4+ca_comp4)*'Time on treatment'!$F$22)</f>
        <v>75473.739505008227</v>
      </c>
      <c r="BK123" s="110">
        <f ca="1">(BK60*c_on*12)+(BK60*(ct_comp4+ca_comp4)*'Time on treatment'!$G$22)</f>
        <v>75473.739505008227</v>
      </c>
      <c r="BN123" s="87" t="s">
        <v>171</v>
      </c>
      <c r="BO123" s="111"/>
      <c r="BP123" s="109">
        <f ca="1">(BP60*c_inicial)+(BP60*c_on*12)+(BP60*ci_comp5)+(BP60*(ct_comp5+ca_comp5)*'Time on treatment'!$D$23)</f>
        <v>8551.7195309745748</v>
      </c>
      <c r="BQ123" s="109">
        <f ca="1">(BQ60*c_on*12)+(BQ60*(ct_comp5+ca_comp5)*'Time on treatment'!$E$23)</f>
        <v>8551.7195309745748</v>
      </c>
      <c r="BR123" s="109">
        <f ca="1">(BR60*c_on*12)+(BR60*(ct_comp5+ca_comp5)*'Time on treatment'!$F$23)</f>
        <v>8551.7195309745748</v>
      </c>
      <c r="BS123" s="110">
        <f ca="1">(BS60*c_on*12)+(BS60*(ct_comp5+ca_comp5)*'Time on treatment'!$G$23)</f>
        <v>8551.7195309745748</v>
      </c>
      <c r="BV123" s="87" t="s">
        <v>171</v>
      </c>
      <c r="BW123" s="111"/>
      <c r="BX123" s="109">
        <f ca="1">(BX60*c_inicial)+(BX60*c_on*12)+(BX60*ci_comp6)+(BX60*(ct_comp6+ca_comp6)*'Time on treatment'!$D$24)</f>
        <v>280.6089164461518</v>
      </c>
      <c r="BY123" s="109">
        <f ca="1">(BY60*c_on*12)+(BY60*(ct_comp6+ca_comp6)*'Time on treatment'!$E$24)</f>
        <v>280.6089164461518</v>
      </c>
      <c r="BZ123" s="109">
        <f ca="1">(BZ60*c_on*12)+(BZ60*(ct_comp6+ca_comp6)*'Time on treatment'!$F$24)</f>
        <v>280.6089164461518</v>
      </c>
      <c r="CA123" s="110">
        <f ca="1">(CA60*c_on*12)+(CA60*(ct_comp6+ca_comp6)*'Time on treatment'!$G$24)</f>
        <v>280.6089164461518</v>
      </c>
      <c r="CD123" s="87" t="s">
        <v>171</v>
      </c>
      <c r="CE123" s="111"/>
      <c r="CF123" s="109">
        <f ca="1">(CF60*c_inicial)+(CF60*c_on*12)+(CF60*ci_comp7)+(CF60*(ct_comp7+ca_comp7)*'Time on treatment'!$D$25)</f>
        <v>20262.215747502949</v>
      </c>
      <c r="CG123" s="109">
        <f ca="1">(CG60*c_on*12)+(CG60*(ct_comp7+ca_comp7)*'Time on treatment'!$E$25)</f>
        <v>20262.215747502949</v>
      </c>
      <c r="CH123" s="109">
        <f ca="1">(CH60*c_on*12)+(CH60*(ct_comp7+ca_comp7)*'Time on treatment'!$F$25)</f>
        <v>20262.215747502949</v>
      </c>
      <c r="CI123" s="110">
        <f ca="1">(CI60*c_on*12)+(CI60*(ct_comp7+ca_comp7)*'Time on treatment'!$G$25)</f>
        <v>20262.215747502949</v>
      </c>
      <c r="CL123" s="87" t="s">
        <v>171</v>
      </c>
      <c r="CM123" s="111"/>
      <c r="CN123" s="109">
        <f ca="1">(CN60*c_inicial)+(CN60*c_on*12)+(CN60*ci_comp8)+(CN60*(ct_comp8+ca_comp8)*'Time on treatment'!$D$26)</f>
        <v>86821.67136599723</v>
      </c>
      <c r="CO123" s="109">
        <f ca="1">(CO60*c_on*12)+(CO60*(ct_comp8+ca_comp8)*'Time on treatment'!$E$26)</f>
        <v>86821.67136599723</v>
      </c>
      <c r="CP123" s="109">
        <f ca="1">(CP60*c_on*12)+(CP60*(ct_comp8+ca_comp8)*'Time on treatment'!$F$26)</f>
        <v>86821.67136599723</v>
      </c>
      <c r="CQ123" s="110">
        <f ca="1">(CQ60*c_on*12)+(CQ60*(ct_comp8+ca_comp8)*'Time on treatment'!$G$26)</f>
        <v>86821.67136599723</v>
      </c>
      <c r="CT123" s="87" t="s">
        <v>171</v>
      </c>
      <c r="CU123" s="111"/>
      <c r="CV123" s="109">
        <f ca="1">(CV60*c_inicial)+(CV60*c_on*12)+(CV60*ci_comp9)+(CV60*(ct_comp9+ca_comp9)*'Time on treatment'!$D$27)</f>
        <v>185158.47847448502</v>
      </c>
      <c r="CW123" s="109">
        <f ca="1">(CW60*c_on*12)+(CW60*(ct_comp9+ca_comp9)*'Time on treatment'!$E$27)</f>
        <v>185158.47847448502</v>
      </c>
      <c r="CX123" s="109">
        <f ca="1">(CX60*c_on*12)+(CX60*(ct_comp9+ca_comp9)*'Time on treatment'!$F$27)</f>
        <v>185158.47847448502</v>
      </c>
      <c r="CY123" s="110">
        <f ca="1">(CY60*c_on*12)+(CY60*(ct_comp9+ca_comp9)*'Time on treatment'!$G$27)</f>
        <v>185158.47847448502</v>
      </c>
      <c r="DB123" s="87" t="s">
        <v>171</v>
      </c>
      <c r="DC123" s="111"/>
      <c r="DD123" s="109">
        <f ca="1">(DD60*c_inicial)+(DD60*c_on*12)+(DD60*ci_comp10)+(DD60*(ct_comp10+ca_comp10)*'Time on treatment'!$D$28)</f>
        <v>0</v>
      </c>
      <c r="DE123" s="109">
        <f ca="1">(DE60*c_on*12)+(DE60*(ct_comp10+ca_comp10)*'Time on treatment'!$E$28)</f>
        <v>0</v>
      </c>
      <c r="DF123" s="109">
        <f ca="1">(DF60*c_on*12)+(DF60*(ct_comp10+ca_comp10)*'Time on treatment'!$F$28)</f>
        <v>0</v>
      </c>
      <c r="DG123" s="110">
        <f ca="1">(DG60*c_on*12)+(DG60*(ct_comp10+ca_comp10)*'Time on treatment'!$G$28)</f>
        <v>0</v>
      </c>
    </row>
    <row r="124" spans="2:111">
      <c r="B124" s="87" t="s">
        <v>176</v>
      </c>
      <c r="C124" s="111"/>
      <c r="D124" s="109">
        <f>D61*c_off</f>
        <v>0</v>
      </c>
      <c r="E124" s="109">
        <f>E61*c_off</f>
        <v>0</v>
      </c>
      <c r="F124" s="109">
        <f>F61*c_off</f>
        <v>0</v>
      </c>
      <c r="G124" s="110">
        <f>G61*c_off</f>
        <v>0</v>
      </c>
      <c r="J124" s="87" t="s">
        <v>176</v>
      </c>
      <c r="K124" s="111"/>
      <c r="L124" s="109">
        <f>L61*c_off</f>
        <v>0</v>
      </c>
      <c r="M124" s="109">
        <f>M61*c_off</f>
        <v>0</v>
      </c>
      <c r="N124" s="109">
        <f>N61*c_off</f>
        <v>0</v>
      </c>
      <c r="O124" s="110">
        <f>O61*c_off</f>
        <v>0</v>
      </c>
      <c r="R124" s="87" t="s">
        <v>176</v>
      </c>
      <c r="S124" s="111"/>
      <c r="T124" s="109">
        <f>T61*c_off</f>
        <v>0</v>
      </c>
      <c r="U124" s="109">
        <f>U61*c_off</f>
        <v>0</v>
      </c>
      <c r="V124" s="109">
        <f>V61*c_off</f>
        <v>0</v>
      </c>
      <c r="W124" s="110">
        <f>W61*c_off</f>
        <v>0</v>
      </c>
      <c r="Z124" s="87" t="s">
        <v>176</v>
      </c>
      <c r="AA124" s="111"/>
      <c r="AB124" s="109">
        <f>AB61*c_off</f>
        <v>0</v>
      </c>
      <c r="AC124" s="109">
        <f>AC61*c_off</f>
        <v>0</v>
      </c>
      <c r="AD124" s="109">
        <f>AD61*c_off</f>
        <v>0</v>
      </c>
      <c r="AE124" s="110">
        <f>AE61*c_off</f>
        <v>0</v>
      </c>
      <c r="AH124" s="87" t="s">
        <v>176</v>
      </c>
      <c r="AI124" s="111"/>
      <c r="AJ124" s="109">
        <f>AJ61*c_off</f>
        <v>0</v>
      </c>
      <c r="AK124" s="109">
        <f>AK61*c_off</f>
        <v>0</v>
      </c>
      <c r="AL124" s="109">
        <f>AL61*c_off</f>
        <v>0</v>
      </c>
      <c r="AM124" s="110">
        <f>AM61*c_off</f>
        <v>0</v>
      </c>
      <c r="AP124" s="87" t="s">
        <v>176</v>
      </c>
      <c r="AQ124" s="111"/>
      <c r="AR124" s="109">
        <f>AR61*c_off</f>
        <v>0</v>
      </c>
      <c r="AS124" s="109">
        <f>AS61*c_off</f>
        <v>0</v>
      </c>
      <c r="AT124" s="109">
        <f>AT61*c_off</f>
        <v>0</v>
      </c>
      <c r="AU124" s="110">
        <f>AU61*c_off</f>
        <v>0</v>
      </c>
      <c r="AX124" s="87" t="s">
        <v>176</v>
      </c>
      <c r="AY124" s="111"/>
      <c r="AZ124" s="109">
        <f>AZ61*c_off</f>
        <v>0</v>
      </c>
      <c r="BA124" s="109">
        <f>BA61*c_off</f>
        <v>0</v>
      </c>
      <c r="BB124" s="109">
        <f>BB61*c_off</f>
        <v>0</v>
      </c>
      <c r="BC124" s="110">
        <f>BC61*c_off</f>
        <v>0</v>
      </c>
      <c r="BF124" s="87" t="s">
        <v>176</v>
      </c>
      <c r="BG124" s="111"/>
      <c r="BH124" s="109">
        <f>BH61*c_off</f>
        <v>0</v>
      </c>
      <c r="BI124" s="109">
        <f>BI61*c_off</f>
        <v>0</v>
      </c>
      <c r="BJ124" s="109">
        <f>BJ61*c_off</f>
        <v>0</v>
      </c>
      <c r="BK124" s="110">
        <f>BK61*c_off</f>
        <v>0</v>
      </c>
      <c r="BN124" s="87" t="s">
        <v>176</v>
      </c>
      <c r="BO124" s="111"/>
      <c r="BP124" s="109">
        <f>BP61*c_off</f>
        <v>0</v>
      </c>
      <c r="BQ124" s="109">
        <f>BQ61*c_off</f>
        <v>0</v>
      </c>
      <c r="BR124" s="109">
        <f>BR61*c_off</f>
        <v>0</v>
      </c>
      <c r="BS124" s="110">
        <f>BS61*c_off</f>
        <v>0</v>
      </c>
      <c r="BV124" s="87" t="s">
        <v>176</v>
      </c>
      <c r="BW124" s="111"/>
      <c r="BX124" s="109">
        <f>BX61*c_off</f>
        <v>0</v>
      </c>
      <c r="BY124" s="109">
        <f>BY61*c_off</f>
        <v>0</v>
      </c>
      <c r="BZ124" s="109">
        <f>BZ61*c_off</f>
        <v>0</v>
      </c>
      <c r="CA124" s="110">
        <f>CA61*c_off</f>
        <v>0</v>
      </c>
      <c r="CD124" s="87" t="s">
        <v>176</v>
      </c>
      <c r="CE124" s="111"/>
      <c r="CF124" s="109">
        <f>CF61*c_off</f>
        <v>0</v>
      </c>
      <c r="CG124" s="109">
        <f>CG61*c_off</f>
        <v>0</v>
      </c>
      <c r="CH124" s="109">
        <f>CH61*c_off</f>
        <v>0</v>
      </c>
      <c r="CI124" s="110">
        <f>CI61*c_off</f>
        <v>0</v>
      </c>
      <c r="CL124" s="87" t="s">
        <v>176</v>
      </c>
      <c r="CM124" s="111"/>
      <c r="CN124" s="109">
        <f>CN61*c_off</f>
        <v>0</v>
      </c>
      <c r="CO124" s="109">
        <f>CO61*c_off</f>
        <v>0</v>
      </c>
      <c r="CP124" s="109">
        <f>CP61*c_off</f>
        <v>0</v>
      </c>
      <c r="CQ124" s="110">
        <f>CQ61*c_off</f>
        <v>0</v>
      </c>
      <c r="CT124" s="87" t="s">
        <v>176</v>
      </c>
      <c r="CU124" s="111"/>
      <c r="CV124" s="109">
        <f>CV61*c_off</f>
        <v>0</v>
      </c>
      <c r="CW124" s="109">
        <f>CW61*c_off</f>
        <v>0</v>
      </c>
      <c r="CX124" s="109">
        <f>CX61*c_off</f>
        <v>0</v>
      </c>
      <c r="CY124" s="110">
        <f>CY61*c_off</f>
        <v>0</v>
      </c>
      <c r="DB124" s="87" t="s">
        <v>176</v>
      </c>
      <c r="DC124" s="111"/>
      <c r="DD124" s="109">
        <f>DD61*c_off</f>
        <v>0</v>
      </c>
      <c r="DE124" s="109">
        <f>DE61*c_off</f>
        <v>0</v>
      </c>
      <c r="DF124" s="109">
        <f>DF61*c_off</f>
        <v>0</v>
      </c>
      <c r="DG124" s="110">
        <f>DG61*c_off</f>
        <v>0</v>
      </c>
    </row>
    <row r="125" spans="2:111">
      <c r="B125" s="87" t="s">
        <v>172</v>
      </c>
      <c r="C125" s="111"/>
      <c r="D125" s="111"/>
      <c r="E125" s="109">
        <f ca="1">(E62*c_inicial)+(E62*c_on*12)+(E62*ci_int1)+(E62*(ct_int1+ca_int1)*'Time on treatment'!$D$12)</f>
        <v>0</v>
      </c>
      <c r="F125" s="109">
        <f ca="1">(F62*c_on*12)+(F62*(ct_int1+ca_int1)*'Time on treatment'!$E$12)</f>
        <v>0</v>
      </c>
      <c r="G125" s="110">
        <f ca="1">(G62*c_on*12)+(G62*(ct_int1+ca_int1)*'Time on treatment'!$F$12)</f>
        <v>0</v>
      </c>
      <c r="J125" s="87" t="s">
        <v>172</v>
      </c>
      <c r="K125" s="111"/>
      <c r="L125" s="111"/>
      <c r="M125" s="109">
        <f ca="1">(M62*c_inicial)+(M62*c_on*12)+(M62*ci_int2)+(M62*(ct_int2+ca_int2)*'Time on treatment'!$D$13)</f>
        <v>0</v>
      </c>
      <c r="N125" s="109">
        <f ca="1">(N62*c_on*12)+(N62*(ct_int2+ca_int2)*'Time on treatment'!$E$13)</f>
        <v>0</v>
      </c>
      <c r="O125" s="110">
        <f ca="1">(O62*c_on*12)+(O62*(ct_int2+ca_int2)*'Time on treatment'!$F$13)</f>
        <v>0</v>
      </c>
      <c r="R125" s="87" t="s">
        <v>172</v>
      </c>
      <c r="S125" s="111"/>
      <c r="T125" s="111"/>
      <c r="U125" s="109">
        <f ca="1">(U62*c_inicial)+(U62*c_on*12)+(U62*ci_int3)+(U62*(ct_int3+ca_int3)*'Time on treatment'!$D$14)</f>
        <v>701815.58952368284</v>
      </c>
      <c r="V125" s="109">
        <f ca="1">(V62*c_on*12)+(V62*(ct_int3+ca_int3)*'Time on treatment'!$E$14)</f>
        <v>701815.58952368284</v>
      </c>
      <c r="W125" s="110">
        <f ca="1">(W62*c_on*12)+(W62*(ct_int3+ca_int3)*'Time on treatment'!$F$14)</f>
        <v>701815.58952368284</v>
      </c>
      <c r="Z125" s="87" t="s">
        <v>172</v>
      </c>
      <c r="AA125" s="111"/>
      <c r="AB125" s="111"/>
      <c r="AC125" s="109">
        <f ca="1">(AC62*c_inicial)+(AC62*c_on*12)+(AC62*ci_int4)+(AC62*(ct_int4+ca_int4)*'Time on treatment'!$D$15)</f>
        <v>778551.09385447437</v>
      </c>
      <c r="AD125" s="109">
        <f ca="1">(AD62*c_on*12)+(AD62*(ct_int4+ca_int4)*'Time on treatment'!$E$15)</f>
        <v>778551.09385447437</v>
      </c>
      <c r="AE125" s="110">
        <f ca="1">(AE62*c_on*12)+(AE62*(ct_int4+ca_int4)*'Time on treatment'!$F$15)</f>
        <v>778551.09385447437</v>
      </c>
      <c r="AH125" s="87" t="s">
        <v>172</v>
      </c>
      <c r="AI125" s="111"/>
      <c r="AJ125" s="111"/>
      <c r="AK125" s="109">
        <f ca="1">(AK62*c_inicial)+(AK62*c_on*12)+(AK62*ci_comp1)+(AK62*(ct_comp1+ca_comp1)*'Time on treatment'!$D$19)</f>
        <v>8014.5807059975359</v>
      </c>
      <c r="AL125" s="109">
        <f ca="1">(AL62*c_on*12)+(AL62*(ct_comp1+ca_comp1)*'Time on treatment'!$E$19)</f>
        <v>8014.5807059975359</v>
      </c>
      <c r="AM125" s="110">
        <f ca="1">(AM62*c_on*12)+(AM62*(ct_comp1+ca_comp1)*'Time on treatment'!$F$19)</f>
        <v>8014.5807059975359</v>
      </c>
      <c r="AP125" s="87" t="s">
        <v>172</v>
      </c>
      <c r="AQ125" s="111"/>
      <c r="AR125" s="111"/>
      <c r="AS125" s="109">
        <f ca="1">(AS62*c_inicial)+(AS62*c_on*12)+(AS62*ci_comp2)+(AS62*(ct_comp2+ca_comp2)*'Time on treatment'!$D$20)</f>
        <v>60298.170467610464</v>
      </c>
      <c r="AT125" s="109">
        <f ca="1">(AT62*c_on*12)+(AT62*(ct_comp2+ca_comp2)*'Time on treatment'!$E$20)</f>
        <v>60298.170467610464</v>
      </c>
      <c r="AU125" s="110">
        <f ca="1">(AU62*c_on*12)+(AU62*(ct_comp2+ca_comp2)*'Time on treatment'!$F$20)</f>
        <v>60298.170467610464</v>
      </c>
      <c r="AX125" s="87" t="s">
        <v>172</v>
      </c>
      <c r="AY125" s="111"/>
      <c r="AZ125" s="111"/>
      <c r="BA125" s="109">
        <f ca="1">(BA62*c_inicial)+(BA62*c_on*12)+(BA62*ci_comp3)+(BA62*(ct_comp3+ca_comp3)*'Time on treatment'!$D$21)</f>
        <v>331992.14738359553</v>
      </c>
      <c r="BB125" s="109">
        <f ca="1">(BB62*c_on*12)+(BB62*(ct_comp3+ca_comp3)*'Time on treatment'!$E$21)</f>
        <v>331992.14738359553</v>
      </c>
      <c r="BC125" s="110">
        <f ca="1">(BC62*c_on*12)+(BC62*(ct_comp3+ca_comp3)*'Time on treatment'!$F$21)</f>
        <v>331992.14738359553</v>
      </c>
      <c r="BF125" s="87" t="s">
        <v>172</v>
      </c>
      <c r="BG125" s="111"/>
      <c r="BH125" s="111"/>
      <c r="BI125" s="109">
        <f ca="1">(BI62*c_inicial)+(BI62*c_on*12)+(BI62*ci_comp4)+(BI62*(ct_comp4+ca_comp4)*'Time on treatment'!$D$22)</f>
        <v>63272.369648304739</v>
      </c>
      <c r="BJ125" s="109">
        <f ca="1">(BJ62*c_on*12)+(BJ62*(ct_comp4+ca_comp4)*'Time on treatment'!$E$22)</f>
        <v>63272.369648304739</v>
      </c>
      <c r="BK125" s="110">
        <f ca="1">(BK62*c_on*12)+(BK62*(ct_comp4+ca_comp4)*'Time on treatment'!$F$22)</f>
        <v>63272.369648304739</v>
      </c>
      <c r="BN125" s="87" t="s">
        <v>172</v>
      </c>
      <c r="BO125" s="111"/>
      <c r="BP125" s="111"/>
      <c r="BQ125" s="109">
        <f ca="1">(BQ62*c_inicial)+(BQ62*c_on*12)+(BQ62*ci_comp5)+(BQ62*(ct_comp5+ca_comp5)*'Time on treatment'!$D$23)</f>
        <v>8193.3899937140486</v>
      </c>
      <c r="BR125" s="109">
        <f ca="1">(BR62*c_on*12)+(BR62*(ct_comp5+ca_comp5)*'Time on treatment'!$E$23)</f>
        <v>8193.3899937140486</v>
      </c>
      <c r="BS125" s="110">
        <f ca="1">(BS62*c_on*12)+(BS62*(ct_comp5+ca_comp5)*'Time on treatment'!$F$23)</f>
        <v>8193.3899937140486</v>
      </c>
      <c r="BV125" s="87" t="s">
        <v>172</v>
      </c>
      <c r="BW125" s="111"/>
      <c r="BX125" s="111"/>
      <c r="BY125" s="109">
        <f ca="1">(BY62*c_inicial)+(BY62*c_on*12)+(BY62*ci_comp6)+(BY62*(ct_comp6+ca_comp6)*'Time on treatment'!$D$24)</f>
        <v>235.2446189156033</v>
      </c>
      <c r="BZ125" s="109">
        <f ca="1">(BZ62*c_on*12)+(BZ62*(ct_comp6+ca_comp6)*'Time on treatment'!$E$24)</f>
        <v>235.2446189156033</v>
      </c>
      <c r="CA125" s="110">
        <f ca="1">(CA62*c_on*12)+(CA62*(ct_comp6+ca_comp6)*'Time on treatment'!$F$24)</f>
        <v>235.2446189156033</v>
      </c>
      <c r="CD125" s="87" t="s">
        <v>172</v>
      </c>
      <c r="CE125" s="111"/>
      <c r="CF125" s="111"/>
      <c r="CG125" s="109">
        <f ca="1">(CG62*c_inicial)+(CG62*c_on*12)+(CG62*ci_comp7)+(CG62*(ct_comp7+ca_comp7)*'Time on treatment'!$D$25)</f>
        <v>16986.549402188233</v>
      </c>
      <c r="CH125" s="109">
        <f ca="1">(CH62*c_on*12)+(CH62*(ct_comp7+ca_comp7)*'Time on treatment'!$E$25)</f>
        <v>16986.549402188233</v>
      </c>
      <c r="CI125" s="110">
        <f ca="1">(CI62*c_on*12)+(CI62*(ct_comp7+ca_comp7)*'Time on treatment'!$F$25)</f>
        <v>16986.549402188233</v>
      </c>
      <c r="CL125" s="87" t="s">
        <v>172</v>
      </c>
      <c r="CM125" s="111"/>
      <c r="CN125" s="111"/>
      <c r="CO125" s="109">
        <f ca="1">(CO62*c_inicial)+(CO62*c_on*12)+(CO62*ci_comp8)+(CO62*(ct_comp8+ca_comp8)*'Time on treatment'!$D$26)</f>
        <v>72785.75197388338</v>
      </c>
      <c r="CP125" s="109">
        <f ca="1">(CP62*c_on*12)+(CP62*(ct_comp8+ca_comp8)*'Time on treatment'!$E$26)</f>
        <v>72785.75197388338</v>
      </c>
      <c r="CQ125" s="110">
        <f ca="1">(CQ62*c_on*12)+(CQ62*(ct_comp8+ca_comp8)*'Time on treatment'!$F$26)</f>
        <v>72785.75197388338</v>
      </c>
      <c r="CT125" s="87" t="s">
        <v>172</v>
      </c>
      <c r="CU125" s="111"/>
      <c r="CV125" s="111"/>
      <c r="CW125" s="109">
        <f ca="1">(CW62*c_inicial)+(CW62*c_on*12)+(CW62*ci_comp9)+(CW62*(ct_comp9+ca_comp9)*'Time on treatment'!$D$27)</f>
        <v>155194.2941364469</v>
      </c>
      <c r="CX125" s="109">
        <f ca="1">(CX62*c_on*12)+(CX62*(ct_comp9+ca_comp9)*'Time on treatment'!$E$27)</f>
        <v>155194.2941364469</v>
      </c>
      <c r="CY125" s="110">
        <f ca="1">(CY62*c_on*12)+(CY62*(ct_comp9+ca_comp9)*'Time on treatment'!$F$27)</f>
        <v>155194.2941364469</v>
      </c>
      <c r="DB125" s="87" t="s">
        <v>172</v>
      </c>
      <c r="DC125" s="111"/>
      <c r="DD125" s="111"/>
      <c r="DE125" s="109">
        <f ca="1">(DE62*c_inicial)+(DE62*c_on*12)+(DE62*ci_comp10)+(DE62*(ct_comp10+ca_comp10)*'Time on treatment'!$D$28)</f>
        <v>0</v>
      </c>
      <c r="DF125" s="109">
        <f ca="1">(DF62*c_on*12)+(DF62*(ct_comp10+ca_comp10)*'Time on treatment'!$E$28)</f>
        <v>0</v>
      </c>
      <c r="DG125" s="110">
        <f ca="1">(DG62*c_on*12)+(DG62*(ct_comp10+ca_comp10)*'Time on treatment'!$F$28)</f>
        <v>0</v>
      </c>
    </row>
    <row r="126" spans="2:111">
      <c r="B126" s="87" t="s">
        <v>177</v>
      </c>
      <c r="C126" s="111"/>
      <c r="D126" s="111"/>
      <c r="E126" s="109">
        <f>E63*c_off</f>
        <v>0</v>
      </c>
      <c r="F126" s="109">
        <f>F63*c_off</f>
        <v>0</v>
      </c>
      <c r="G126" s="110">
        <f>G63*c_off</f>
        <v>0</v>
      </c>
      <c r="J126" s="87" t="s">
        <v>177</v>
      </c>
      <c r="K126" s="111"/>
      <c r="L126" s="111"/>
      <c r="M126" s="109">
        <f>M63*c_off</f>
        <v>0</v>
      </c>
      <c r="N126" s="109">
        <f>N63*c_off</f>
        <v>0</v>
      </c>
      <c r="O126" s="110">
        <f>O63*c_off</f>
        <v>0</v>
      </c>
      <c r="R126" s="87" t="s">
        <v>177</v>
      </c>
      <c r="S126" s="111"/>
      <c r="T126" s="111"/>
      <c r="U126" s="109">
        <f>U63*c_off</f>
        <v>0</v>
      </c>
      <c r="V126" s="109">
        <f>V63*c_off</f>
        <v>0</v>
      </c>
      <c r="W126" s="110">
        <f>W63*c_off</f>
        <v>0</v>
      </c>
      <c r="Z126" s="87" t="s">
        <v>177</v>
      </c>
      <c r="AA126" s="111"/>
      <c r="AB126" s="111"/>
      <c r="AC126" s="109">
        <f>AC63*c_off</f>
        <v>0</v>
      </c>
      <c r="AD126" s="109">
        <f>AD63*c_off</f>
        <v>0</v>
      </c>
      <c r="AE126" s="110">
        <f>AE63*c_off</f>
        <v>0</v>
      </c>
      <c r="AH126" s="87" t="s">
        <v>177</v>
      </c>
      <c r="AI126" s="111"/>
      <c r="AJ126" s="111"/>
      <c r="AK126" s="109">
        <f>AK63*c_off</f>
        <v>0</v>
      </c>
      <c r="AL126" s="109">
        <f>AL63*c_off</f>
        <v>0</v>
      </c>
      <c r="AM126" s="110">
        <f>AM63*c_off</f>
        <v>0</v>
      </c>
      <c r="AP126" s="87" t="s">
        <v>177</v>
      </c>
      <c r="AQ126" s="111"/>
      <c r="AR126" s="111"/>
      <c r="AS126" s="109">
        <f>AS63*c_off</f>
        <v>0</v>
      </c>
      <c r="AT126" s="109">
        <f>AT63*c_off</f>
        <v>0</v>
      </c>
      <c r="AU126" s="110">
        <f>AU63*c_off</f>
        <v>0</v>
      </c>
      <c r="AX126" s="87" t="s">
        <v>177</v>
      </c>
      <c r="AY126" s="111"/>
      <c r="AZ126" s="111"/>
      <c r="BA126" s="109">
        <f>BA63*c_off</f>
        <v>0</v>
      </c>
      <c r="BB126" s="109">
        <f>BB63*c_off</f>
        <v>0</v>
      </c>
      <c r="BC126" s="110">
        <f>BC63*c_off</f>
        <v>0</v>
      </c>
      <c r="BF126" s="87" t="s">
        <v>177</v>
      </c>
      <c r="BG126" s="111"/>
      <c r="BH126" s="111"/>
      <c r="BI126" s="109">
        <f>BI63*c_off</f>
        <v>0</v>
      </c>
      <c r="BJ126" s="109">
        <f>BJ63*c_off</f>
        <v>0</v>
      </c>
      <c r="BK126" s="110">
        <f>BK63*c_off</f>
        <v>0</v>
      </c>
      <c r="BN126" s="87" t="s">
        <v>177</v>
      </c>
      <c r="BO126" s="111"/>
      <c r="BP126" s="111"/>
      <c r="BQ126" s="109">
        <f>BQ63*c_off</f>
        <v>0</v>
      </c>
      <c r="BR126" s="109">
        <f>BR63*c_off</f>
        <v>0</v>
      </c>
      <c r="BS126" s="110">
        <f>BS63*c_off</f>
        <v>0</v>
      </c>
      <c r="BV126" s="87" t="s">
        <v>177</v>
      </c>
      <c r="BW126" s="111"/>
      <c r="BX126" s="111"/>
      <c r="BY126" s="109">
        <f>BY63*c_off</f>
        <v>0</v>
      </c>
      <c r="BZ126" s="109">
        <f>BZ63*c_off</f>
        <v>0</v>
      </c>
      <c r="CA126" s="110">
        <f>CA63*c_off</f>
        <v>0</v>
      </c>
      <c r="CD126" s="87" t="s">
        <v>177</v>
      </c>
      <c r="CE126" s="111"/>
      <c r="CF126" s="111"/>
      <c r="CG126" s="109">
        <f>CG63*c_off</f>
        <v>0</v>
      </c>
      <c r="CH126" s="109">
        <f>CH63*c_off</f>
        <v>0</v>
      </c>
      <c r="CI126" s="110">
        <f>CI63*c_off</f>
        <v>0</v>
      </c>
      <c r="CL126" s="87" t="s">
        <v>177</v>
      </c>
      <c r="CM126" s="111"/>
      <c r="CN126" s="111"/>
      <c r="CO126" s="109">
        <f>CO63*c_off</f>
        <v>0</v>
      </c>
      <c r="CP126" s="109">
        <f>CP63*c_off</f>
        <v>0</v>
      </c>
      <c r="CQ126" s="110">
        <f>CQ63*c_off</f>
        <v>0</v>
      </c>
      <c r="CT126" s="87" t="s">
        <v>177</v>
      </c>
      <c r="CU126" s="111"/>
      <c r="CV126" s="111"/>
      <c r="CW126" s="109">
        <f>CW63*c_off</f>
        <v>0</v>
      </c>
      <c r="CX126" s="109">
        <f>CX63*c_off</f>
        <v>0</v>
      </c>
      <c r="CY126" s="110">
        <f>CY63*c_off</f>
        <v>0</v>
      </c>
      <c r="DB126" s="87" t="s">
        <v>177</v>
      </c>
      <c r="DC126" s="111"/>
      <c r="DD126" s="111"/>
      <c r="DE126" s="109">
        <f>DE63*c_off</f>
        <v>0</v>
      </c>
      <c r="DF126" s="109">
        <f>DF63*c_off</f>
        <v>0</v>
      </c>
      <c r="DG126" s="110">
        <f>DG63*c_off</f>
        <v>0</v>
      </c>
    </row>
    <row r="127" spans="2:111">
      <c r="B127" s="87" t="s">
        <v>173</v>
      </c>
      <c r="C127" s="111"/>
      <c r="D127" s="111"/>
      <c r="E127" s="111"/>
      <c r="F127" s="109">
        <f ca="1">(F64*c_inicial)+(F64*c_on*12)+(F64*ci_int1)+(F64*(ct_int1+ca_int1)*'Time on treatment'!$D$12)</f>
        <v>0</v>
      </c>
      <c r="G127" s="110">
        <f ca="1">(G64*c_on*12)+(G64*(ct_int1+ca_int1)*'Time on treatment'!$E$12)</f>
        <v>0</v>
      </c>
      <c r="J127" s="87" t="s">
        <v>173</v>
      </c>
      <c r="K127" s="111"/>
      <c r="L127" s="111"/>
      <c r="M127" s="111"/>
      <c r="N127" s="109">
        <f ca="1">(N64*c_inicial)+(N64*c_on*12)+(N64*ci_int2)+(N64*(ct_int2+ca_int2)*'Time on treatment'!$D$13)</f>
        <v>0</v>
      </c>
      <c r="O127" s="110">
        <f ca="1">(O64*c_on*12)+(O64*(ct_int2+ca_int2)*'Time on treatment'!$E$13)</f>
        <v>0</v>
      </c>
      <c r="R127" s="87" t="s">
        <v>173</v>
      </c>
      <c r="S127" s="111"/>
      <c r="T127" s="111"/>
      <c r="U127" s="111"/>
      <c r="V127" s="109">
        <f ca="1">(V64*c_inicial)+(V64*c_on*12)+(V64*ci_int3)+(V64*(ct_int3+ca_int3)*'Time on treatment'!$D$14)</f>
        <v>937977.72820776748</v>
      </c>
      <c r="W127" s="110">
        <f ca="1">(W64*c_on*12)+(W64*(ct_int3+ca_int3)*'Time on treatment'!$E$14)</f>
        <v>937977.72820776748</v>
      </c>
      <c r="Z127" s="87" t="s">
        <v>173</v>
      </c>
      <c r="AA127" s="111"/>
      <c r="AB127" s="111"/>
      <c r="AC127" s="111"/>
      <c r="AD127" s="109">
        <f ca="1">(AD64*c_inicial)+(AD64*c_on*12)+(AD64*ci_int4)+(AD64*(ct_int4+ca_int4)*'Time on treatment'!$D$15)</f>
        <v>1040534.8601659259</v>
      </c>
      <c r="AE127" s="110">
        <f ca="1">(AE64*c_on*12)+(AE64*(ct_int4+ca_int4)*'Time on treatment'!$E$15)</f>
        <v>1040534.8601659259</v>
      </c>
      <c r="AH127" s="87" t="s">
        <v>173</v>
      </c>
      <c r="AI127" s="111"/>
      <c r="AJ127" s="111"/>
      <c r="AK127" s="111"/>
      <c r="AL127" s="109">
        <f ca="1">(AL64*c_inicial)+(AL64*c_on*12)+(AL64*ci_comp1)+(AL64*(ct_comp1+ca_comp1)*'Time on treatment'!$D$19)</f>
        <v>6885.9647583351853</v>
      </c>
      <c r="AM127" s="110">
        <f ca="1">(AM64*c_on*12)+(AM64*(ct_comp1+ca_comp1)*'Time on treatment'!$E$19)</f>
        <v>6885.9647583351853</v>
      </c>
      <c r="AP127" s="87" t="s">
        <v>173</v>
      </c>
      <c r="AQ127" s="111"/>
      <c r="AR127" s="111"/>
      <c r="AS127" s="111"/>
      <c r="AT127" s="109">
        <f ca="1">(AT64*c_inicial)+(AT64*c_on*12)+(AT64*ci_comp2)+(AT64*(ct_comp2+ca_comp2)*'Time on treatment'!$D$20)</f>
        <v>51806.961844097335</v>
      </c>
      <c r="AU127" s="110">
        <f ca="1">(AU64*c_on*12)+(AU64*(ct_comp2+ca_comp2)*'Time on treatment'!$E$20)</f>
        <v>51806.961844097335</v>
      </c>
      <c r="AX127" s="87" t="s">
        <v>173</v>
      </c>
      <c r="AY127" s="111"/>
      <c r="AZ127" s="111"/>
      <c r="BA127" s="111"/>
      <c r="BB127" s="109">
        <f ca="1">(BB64*c_inicial)+(BB64*c_on*12)+(BB64*ci_comp3)+(BB64*(ct_comp3+ca_comp3)*'Time on treatment'!$D$21)</f>
        <v>285240.9016502531</v>
      </c>
      <c r="BC127" s="110">
        <f ca="1">(BC64*c_on*12)+(BC64*(ct_comp3+ca_comp3)*'Time on treatment'!$E$21)</f>
        <v>285240.9016502531</v>
      </c>
      <c r="BF127" s="87" t="s">
        <v>173</v>
      </c>
      <c r="BG127" s="111"/>
      <c r="BH127" s="111"/>
      <c r="BI127" s="111"/>
      <c r="BJ127" s="109">
        <f ca="1">(BJ64*c_inicial)+(BJ64*c_on*12)+(BJ64*ci_comp4)+(BJ64*(ct_comp4+ca_comp4)*'Time on treatment'!$D$22)</f>
        <v>54362.333296930068</v>
      </c>
      <c r="BK127" s="110">
        <f ca="1">(BK64*c_on*12)+(BK64*(ct_comp4+ca_comp4)*'Time on treatment'!$E$22)</f>
        <v>54362.333296930068</v>
      </c>
      <c r="BN127" s="87" t="s">
        <v>173</v>
      </c>
      <c r="BO127" s="111"/>
      <c r="BP127" s="111"/>
      <c r="BQ127" s="111"/>
      <c r="BR127" s="109">
        <f ca="1">(BR64*c_inicial)+(BR64*c_on*12)+(BR64*ci_comp5)+(BR64*(ct_comp5+ca_comp5)*'Time on treatment'!$D$23)</f>
        <v>8212.8597390947707</v>
      </c>
      <c r="BS127" s="110">
        <f ca="1">(BS64*c_on*12)+(BS64*(ct_comp5+ca_comp5)*'Time on treatment'!$E$23)</f>
        <v>8212.8597390947707</v>
      </c>
      <c r="BV127" s="87" t="s">
        <v>173</v>
      </c>
      <c r="BW127" s="111"/>
      <c r="BX127" s="111"/>
      <c r="BY127" s="111"/>
      <c r="BZ127" s="109">
        <f ca="1">(BZ64*c_inicial)+(BZ64*c_on*12)+(BZ64*ci_comp6)+(BZ64*(ct_comp6+ca_comp6)*'Time on treatment'!$D$24)</f>
        <v>202.11739264521083</v>
      </c>
      <c r="CA127" s="110">
        <f ca="1">(CA64*c_on*12)+(CA64*(ct_comp6+ca_comp6)*'Time on treatment'!$E$24)</f>
        <v>202.11739264521083</v>
      </c>
      <c r="CD127" s="87" t="s">
        <v>173</v>
      </c>
      <c r="CE127" s="111"/>
      <c r="CF127" s="111"/>
      <c r="CG127" s="111"/>
      <c r="CH127" s="109">
        <f ca="1">(CH64*c_inicial)+(CH64*c_on*12)+(CH64*ci_comp7)+(CH64*(ct_comp7+ca_comp7)*'Time on treatment'!$D$25)</f>
        <v>14594.497808432665</v>
      </c>
      <c r="CI127" s="110">
        <f ca="1">(CI64*c_on*12)+(CI64*(ct_comp7+ca_comp7)*'Time on treatment'!$E$25)</f>
        <v>14594.497808432665</v>
      </c>
      <c r="CL127" s="87" t="s">
        <v>173</v>
      </c>
      <c r="CM127" s="111"/>
      <c r="CN127" s="111"/>
      <c r="CO127" s="111"/>
      <c r="CP127" s="109">
        <f ca="1">(CP64*c_inicial)+(CP64*c_on*12)+(CP64*ci_comp8)+(CP64*(ct_comp8+ca_comp8)*'Time on treatment'!$D$26)</f>
        <v>62536.037927227349</v>
      </c>
      <c r="CQ127" s="110">
        <f ca="1">(CQ64*c_on*12)+(CQ64*(ct_comp8+ca_comp8)*'Time on treatment'!$E$26)</f>
        <v>62536.037927227349</v>
      </c>
      <c r="CT127" s="87" t="s">
        <v>173</v>
      </c>
      <c r="CU127" s="111"/>
      <c r="CV127" s="111"/>
      <c r="CW127" s="111"/>
      <c r="CX127" s="109">
        <f ca="1">(CX64*c_inicial)+(CX64*c_on*12)+(CX64*ci_comp9)+(CX64*(ct_comp9+ca_comp9)*'Time on treatment'!$D$27)</f>
        <v>133304.53770858003</v>
      </c>
      <c r="CY127" s="110">
        <f ca="1">(CY64*c_on*12)+(CY64*(ct_comp9+ca_comp9)*'Time on treatment'!$E$27)</f>
        <v>133304.53770858003</v>
      </c>
      <c r="DB127" s="87" t="s">
        <v>173</v>
      </c>
      <c r="DC127" s="111"/>
      <c r="DD127" s="111"/>
      <c r="DE127" s="111"/>
      <c r="DF127" s="109">
        <f ca="1">(DF64*c_inicial)+(DF64*c_on*12)+(DF64*ci_comp10)+(DF64*(ct_comp10+ca_comp10)*'Time on treatment'!$D$28)</f>
        <v>0</v>
      </c>
      <c r="DG127" s="110">
        <f ca="1">(DG64*c_on*12)+(DG64*(ct_comp10+ca_comp10)*'Time on treatment'!$E$28)</f>
        <v>0</v>
      </c>
    </row>
    <row r="128" spans="2:111">
      <c r="B128" s="87" t="s">
        <v>178</v>
      </c>
      <c r="C128" s="111"/>
      <c r="D128" s="111"/>
      <c r="E128" s="111"/>
      <c r="F128" s="109">
        <f>F65*c_off</f>
        <v>0</v>
      </c>
      <c r="G128" s="110">
        <f>G65*c_off</f>
        <v>0</v>
      </c>
      <c r="J128" s="87" t="s">
        <v>178</v>
      </c>
      <c r="K128" s="111"/>
      <c r="L128" s="111"/>
      <c r="M128" s="111"/>
      <c r="N128" s="109">
        <f>N65*c_off</f>
        <v>0</v>
      </c>
      <c r="O128" s="110">
        <f>O65*c_off</f>
        <v>0</v>
      </c>
      <c r="R128" s="87" t="s">
        <v>178</v>
      </c>
      <c r="S128" s="111"/>
      <c r="T128" s="111"/>
      <c r="U128" s="111"/>
      <c r="V128" s="109">
        <f>V65*c_off</f>
        <v>0</v>
      </c>
      <c r="W128" s="110">
        <f>W65*c_off</f>
        <v>0</v>
      </c>
      <c r="Z128" s="87" t="s">
        <v>178</v>
      </c>
      <c r="AA128" s="111"/>
      <c r="AB128" s="111"/>
      <c r="AC128" s="111"/>
      <c r="AD128" s="109">
        <f>AD65*c_off</f>
        <v>0</v>
      </c>
      <c r="AE128" s="110">
        <f>AE65*c_off</f>
        <v>0</v>
      </c>
      <c r="AH128" s="87" t="s">
        <v>178</v>
      </c>
      <c r="AI128" s="111"/>
      <c r="AJ128" s="111"/>
      <c r="AK128" s="111"/>
      <c r="AL128" s="109">
        <f>AL65*c_off</f>
        <v>0</v>
      </c>
      <c r="AM128" s="110">
        <f>AM65*c_off</f>
        <v>0</v>
      </c>
      <c r="AP128" s="87" t="s">
        <v>178</v>
      </c>
      <c r="AQ128" s="111"/>
      <c r="AR128" s="111"/>
      <c r="AS128" s="111"/>
      <c r="AT128" s="109">
        <f>AT65*c_off</f>
        <v>0</v>
      </c>
      <c r="AU128" s="110">
        <f>AU65*c_off</f>
        <v>0</v>
      </c>
      <c r="AX128" s="87" t="s">
        <v>178</v>
      </c>
      <c r="AY128" s="111"/>
      <c r="AZ128" s="111"/>
      <c r="BA128" s="111"/>
      <c r="BB128" s="109">
        <f>BB65*c_off</f>
        <v>0</v>
      </c>
      <c r="BC128" s="110">
        <f>BC65*c_off</f>
        <v>0</v>
      </c>
      <c r="BF128" s="87" t="s">
        <v>178</v>
      </c>
      <c r="BG128" s="111"/>
      <c r="BH128" s="111"/>
      <c r="BI128" s="111"/>
      <c r="BJ128" s="109">
        <f>BJ65*c_off</f>
        <v>0</v>
      </c>
      <c r="BK128" s="110">
        <f>BK65*c_off</f>
        <v>0</v>
      </c>
      <c r="BN128" s="87" t="s">
        <v>178</v>
      </c>
      <c r="BO128" s="111"/>
      <c r="BP128" s="111"/>
      <c r="BQ128" s="111"/>
      <c r="BR128" s="109">
        <f>BR65*c_off</f>
        <v>0</v>
      </c>
      <c r="BS128" s="110">
        <f>BS65*c_off</f>
        <v>0</v>
      </c>
      <c r="BV128" s="87" t="s">
        <v>178</v>
      </c>
      <c r="BW128" s="111"/>
      <c r="BX128" s="111"/>
      <c r="BY128" s="111"/>
      <c r="BZ128" s="109">
        <f>BZ65*c_off</f>
        <v>0</v>
      </c>
      <c r="CA128" s="110">
        <f>CA65*c_off</f>
        <v>0</v>
      </c>
      <c r="CD128" s="87" t="s">
        <v>178</v>
      </c>
      <c r="CE128" s="111"/>
      <c r="CF128" s="111"/>
      <c r="CG128" s="111"/>
      <c r="CH128" s="109">
        <f>CH65*c_off</f>
        <v>0</v>
      </c>
      <c r="CI128" s="110">
        <f>CI65*c_off</f>
        <v>0</v>
      </c>
      <c r="CL128" s="87" t="s">
        <v>178</v>
      </c>
      <c r="CM128" s="111"/>
      <c r="CN128" s="111"/>
      <c r="CO128" s="111"/>
      <c r="CP128" s="109">
        <f>CP65*c_off</f>
        <v>0</v>
      </c>
      <c r="CQ128" s="110">
        <f>CQ65*c_off</f>
        <v>0</v>
      </c>
      <c r="CT128" s="87" t="s">
        <v>178</v>
      </c>
      <c r="CU128" s="111"/>
      <c r="CV128" s="111"/>
      <c r="CW128" s="111"/>
      <c r="CX128" s="109">
        <f>CX65*c_off</f>
        <v>0</v>
      </c>
      <c r="CY128" s="110">
        <f>CY65*c_off</f>
        <v>0</v>
      </c>
      <c r="DB128" s="87" t="s">
        <v>178</v>
      </c>
      <c r="DC128" s="111"/>
      <c r="DD128" s="111"/>
      <c r="DE128" s="111"/>
      <c r="DF128" s="109">
        <f>DF65*c_off</f>
        <v>0</v>
      </c>
      <c r="DG128" s="110">
        <f>DG65*c_off</f>
        <v>0</v>
      </c>
    </row>
    <row r="129" spans="2:111">
      <c r="B129" s="87" t="s">
        <v>174</v>
      </c>
      <c r="C129" s="111"/>
      <c r="D129" s="111"/>
      <c r="E129" s="111"/>
      <c r="F129" s="111"/>
      <c r="G129" s="110">
        <f ca="1">(G66*c_inicial)+(G66*c_on*12)+(G66*ci_int1)+(G66*(ct_int1+ca_int1)*'Time on treatment'!$D$12)</f>
        <v>0</v>
      </c>
      <c r="J129" s="87" t="s">
        <v>174</v>
      </c>
      <c r="K129" s="111"/>
      <c r="L129" s="111"/>
      <c r="M129" s="111"/>
      <c r="N129" s="111"/>
      <c r="O129" s="110">
        <f ca="1">(O66*c_inicial)+(O66*c_on*12)+(O66*ci_int2)+(O66*(ct_int2+ca_int2)*'Time on treatment'!$D$13)</f>
        <v>0</v>
      </c>
      <c r="R129" s="87" t="s">
        <v>174</v>
      </c>
      <c r="S129" s="111"/>
      <c r="T129" s="111"/>
      <c r="U129" s="111"/>
      <c r="V129" s="111"/>
      <c r="W129" s="110">
        <f ca="1">(W66*c_inicial)+(W66*c_on*12)+(W66*ci_int3)+(W66*(ct_int3+ca_int3)*'Time on treatment'!$D$14)</f>
        <v>1178893.7268260645</v>
      </c>
      <c r="Z129" s="87" t="s">
        <v>174</v>
      </c>
      <c r="AA129" s="111"/>
      <c r="AB129" s="111"/>
      <c r="AC129" s="111"/>
      <c r="AD129" s="111"/>
      <c r="AE129" s="110">
        <f ca="1">(AE66*c_inicial)+(AE66*c_on*12)+(AE66*ci_int4)+(AE66*(ct_int4+ca_int4)*'Time on treatment'!$D$15)</f>
        <v>1307792.266600311</v>
      </c>
      <c r="AH129" s="87" t="s">
        <v>174</v>
      </c>
      <c r="AI129" s="111"/>
      <c r="AJ129" s="111"/>
      <c r="AK129" s="111"/>
      <c r="AL129" s="111"/>
      <c r="AM129" s="110">
        <f ca="1">(AM66*c_inicial)+(AM66*c_on*12)+(AM66*ci_comp1)+(AM66*(ct_comp1+ca_comp1)*'Time on treatment'!$D$19)</f>
        <v>5769.732345534303</v>
      </c>
      <c r="AP129" s="87" t="s">
        <v>174</v>
      </c>
      <c r="AQ129" s="111"/>
      <c r="AR129" s="111"/>
      <c r="AS129" s="111"/>
      <c r="AT129" s="111"/>
      <c r="AU129" s="110">
        <f ca="1">(AU66*c_inicial)+(AU66*c_on*12)+(AU66*ci_comp2)+(AU66*(ct_comp2+ca_comp2)*'Time on treatment'!$D$20)</f>
        <v>43408.921475226627</v>
      </c>
      <c r="AX129" s="87" t="s">
        <v>174</v>
      </c>
      <c r="AY129" s="111"/>
      <c r="AZ129" s="111"/>
      <c r="BA129" s="111"/>
      <c r="BB129" s="111"/>
      <c r="BC129" s="110">
        <f ca="1">(BC66*c_inicial)+(BC66*c_on*12)+(BC66*ci_comp3)+(BC66*(ct_comp3+ca_comp3)*'Time on treatment'!$D$21)</f>
        <v>239002.62552588631</v>
      </c>
      <c r="BF129" s="87" t="s">
        <v>174</v>
      </c>
      <c r="BG129" s="111"/>
      <c r="BH129" s="111"/>
      <c r="BI129" s="111"/>
      <c r="BJ129" s="111"/>
      <c r="BK129" s="110">
        <f ca="1">(BK66*c_inicial)+(BK66*c_on*12)+(BK66*ci_comp4)+(BK66*(ct_comp4+ca_comp4)*'Time on treatment'!$D$22)</f>
        <v>45550.060711877115</v>
      </c>
      <c r="BN129" s="87" t="s">
        <v>174</v>
      </c>
      <c r="BO129" s="111"/>
      <c r="BP129" s="111"/>
      <c r="BQ129" s="111"/>
      <c r="BR129" s="111"/>
      <c r="BS129" s="110">
        <f ca="1">(BS66*c_inicial)+(BS66*c_on*12)+(BS66*ci_comp5)+(BS66*(ct_comp5+ca_comp5)*'Time on treatment'!$D$23)</f>
        <v>8257.8411273974634</v>
      </c>
      <c r="BV129" s="87" t="s">
        <v>174</v>
      </c>
      <c r="BW129" s="111"/>
      <c r="BX129" s="111"/>
      <c r="BY129" s="111"/>
      <c r="BZ129" s="111"/>
      <c r="CA129" s="110">
        <f ca="1">(CA66*c_inicial)+(CA66*c_on*12)+(CA66*ci_comp6)+(CA66*(ct_comp6+ca_comp6)*'Time on treatment'!$D$24)</f>
        <v>169.35364888827465</v>
      </c>
      <c r="CD129" s="87" t="s">
        <v>174</v>
      </c>
      <c r="CE129" s="111"/>
      <c r="CF129" s="111"/>
      <c r="CG129" s="111"/>
      <c r="CH129" s="111"/>
      <c r="CI129" s="110">
        <f ca="1">(CI66*c_inicial)+(CI66*c_on*12)+(CI66*ci_comp7)+(CI66*(ct_comp7+ca_comp7)*'Time on treatment'!$D$25)</f>
        <v>12228.692569216977</v>
      </c>
      <c r="CL129" s="87" t="s">
        <v>174</v>
      </c>
      <c r="CM129" s="111"/>
      <c r="CN129" s="111"/>
      <c r="CO129" s="111"/>
      <c r="CP129" s="111"/>
      <c r="CQ129" s="110">
        <f ca="1">(CQ66*c_inicial)+(CQ66*c_on*12)+(CQ66*ci_comp8)+(CQ66*(ct_comp8+ca_comp8)*'Time on treatment'!$D$26)</f>
        <v>52398.787018700619</v>
      </c>
      <c r="CT129" s="87" t="s">
        <v>174</v>
      </c>
      <c r="CU129" s="111"/>
      <c r="CV129" s="111"/>
      <c r="CW129" s="111"/>
      <c r="CX129" s="111"/>
      <c r="CY129" s="110">
        <f ca="1">(CY66*c_inicial)+(CY66*c_on*12)+(CY66*ci_comp9)+(CY66*(ct_comp9+ca_comp9)*'Time on treatment'!$D$27)</f>
        <v>111654.1899210535</v>
      </c>
      <c r="DB129" s="87" t="s">
        <v>174</v>
      </c>
      <c r="DC129" s="111"/>
      <c r="DD129" s="111"/>
      <c r="DE129" s="111"/>
      <c r="DF129" s="111"/>
      <c r="DG129" s="110">
        <f ca="1">(DG66*c_inicial)+(DG66*c_on*12)+(DG66*ci_comp10)+(DG66*(ct_comp10+ca_comp10)*'Time on treatment'!$D$28)</f>
        <v>0</v>
      </c>
    </row>
    <row r="130" spans="2:111" ht="15" thickBot="1">
      <c r="B130" s="87" t="s">
        <v>179</v>
      </c>
      <c r="C130" s="111"/>
      <c r="D130" s="111"/>
      <c r="E130" s="111"/>
      <c r="F130" s="111"/>
      <c r="G130" s="112">
        <v>0</v>
      </c>
      <c r="J130" s="87" t="s">
        <v>179</v>
      </c>
      <c r="K130" s="111"/>
      <c r="L130" s="111"/>
      <c r="M130" s="111"/>
      <c r="N130" s="111"/>
      <c r="O130" s="112">
        <v>0</v>
      </c>
      <c r="R130" s="87" t="s">
        <v>179</v>
      </c>
      <c r="S130" s="111"/>
      <c r="T130" s="111"/>
      <c r="U130" s="111"/>
      <c r="V130" s="111"/>
      <c r="W130" s="112">
        <v>0</v>
      </c>
      <c r="Z130" s="87" t="s">
        <v>179</v>
      </c>
      <c r="AA130" s="111"/>
      <c r="AB130" s="111"/>
      <c r="AC130" s="111"/>
      <c r="AD130" s="111"/>
      <c r="AE130" s="112">
        <v>0</v>
      </c>
      <c r="AH130" s="87" t="s">
        <v>179</v>
      </c>
      <c r="AI130" s="111"/>
      <c r="AJ130" s="111"/>
      <c r="AK130" s="111"/>
      <c r="AL130" s="111"/>
      <c r="AM130" s="112">
        <v>0</v>
      </c>
      <c r="AP130" s="87" t="s">
        <v>179</v>
      </c>
      <c r="AQ130" s="111"/>
      <c r="AR130" s="111"/>
      <c r="AS130" s="111"/>
      <c r="AT130" s="111"/>
      <c r="AU130" s="112">
        <v>0</v>
      </c>
      <c r="AX130" s="87" t="s">
        <v>179</v>
      </c>
      <c r="AY130" s="111"/>
      <c r="AZ130" s="111"/>
      <c r="BA130" s="111"/>
      <c r="BB130" s="111"/>
      <c r="BC130" s="112">
        <v>0</v>
      </c>
      <c r="BF130" s="87" t="s">
        <v>179</v>
      </c>
      <c r="BG130" s="111"/>
      <c r="BH130" s="111"/>
      <c r="BI130" s="111"/>
      <c r="BJ130" s="111"/>
      <c r="BK130" s="112">
        <v>0</v>
      </c>
      <c r="BN130" s="87" t="s">
        <v>179</v>
      </c>
      <c r="BO130" s="111"/>
      <c r="BP130" s="111"/>
      <c r="BQ130" s="111"/>
      <c r="BR130" s="111"/>
      <c r="BS130" s="112">
        <v>0</v>
      </c>
      <c r="BV130" s="87" t="s">
        <v>179</v>
      </c>
      <c r="BW130" s="111"/>
      <c r="BX130" s="111"/>
      <c r="BY130" s="111"/>
      <c r="BZ130" s="111"/>
      <c r="CA130" s="112">
        <v>0</v>
      </c>
      <c r="CD130" s="87" t="s">
        <v>179</v>
      </c>
      <c r="CE130" s="111"/>
      <c r="CF130" s="111"/>
      <c r="CG130" s="111"/>
      <c r="CH130" s="111"/>
      <c r="CI130" s="112">
        <v>0</v>
      </c>
      <c r="CL130" s="87" t="s">
        <v>179</v>
      </c>
      <c r="CM130" s="111"/>
      <c r="CN130" s="111"/>
      <c r="CO130" s="111"/>
      <c r="CP130" s="111"/>
      <c r="CQ130" s="112">
        <v>0</v>
      </c>
      <c r="CT130" s="87" t="s">
        <v>179</v>
      </c>
      <c r="CU130" s="111"/>
      <c r="CV130" s="111"/>
      <c r="CW130" s="111"/>
      <c r="CX130" s="111"/>
      <c r="CY130" s="112">
        <v>0</v>
      </c>
      <c r="DB130" s="87" t="s">
        <v>179</v>
      </c>
      <c r="DC130" s="111"/>
      <c r="DD130" s="111"/>
      <c r="DE130" s="111"/>
      <c r="DF130" s="111"/>
      <c r="DG130" s="112">
        <v>0</v>
      </c>
    </row>
    <row r="131" spans="2:111" ht="15" thickBot="1">
      <c r="B131" s="85" t="str">
        <f>B117</f>
        <v>Rosuvastatin 5mg</v>
      </c>
      <c r="C131" s="113">
        <f ca="1">SUM(C121:C129)</f>
        <v>0</v>
      </c>
      <c r="D131" s="113">
        <f ca="1">SUM(D121:D129)</f>
        <v>0</v>
      </c>
      <c r="E131" s="113">
        <f ca="1">SUM(E121:E129)</f>
        <v>0</v>
      </c>
      <c r="F131" s="113">
        <f ca="1">SUM(F121:F129)</f>
        <v>0</v>
      </c>
      <c r="G131" s="114">
        <f ca="1">SUM(G121:G129)</f>
        <v>0</v>
      </c>
      <c r="J131" s="85" t="str">
        <f>J117</f>
        <v>Rosuvastatin 10mg</v>
      </c>
      <c r="K131" s="113">
        <f ca="1">SUM(K121:K129)</f>
        <v>0</v>
      </c>
      <c r="L131" s="113">
        <f ca="1">SUM(L121:L129)</f>
        <v>0</v>
      </c>
      <c r="M131" s="113">
        <f ca="1">SUM(M121:M129)</f>
        <v>0</v>
      </c>
      <c r="N131" s="113">
        <f ca="1">SUM(N121:N129)</f>
        <v>0</v>
      </c>
      <c r="O131" s="114">
        <f ca="1">SUM(O121:O129)</f>
        <v>0</v>
      </c>
      <c r="R131" s="85" t="str">
        <f>R117</f>
        <v>Rosuvastatin 20mg</v>
      </c>
      <c r="S131" s="113">
        <f ca="1">SUM(S121:S129)</f>
        <v>29769516.979841314</v>
      </c>
      <c r="T131" s="113">
        <f ca="1">SUM(T121:T129)</f>
        <v>30257856.16453179</v>
      </c>
      <c r="U131" s="113">
        <f ca="1">SUM(U121:U129)</f>
        <v>30959671.754055474</v>
      </c>
      <c r="V131" s="113">
        <f ca="1">SUM(V121:V129)</f>
        <v>31897649.482263241</v>
      </c>
      <c r="W131" s="114">
        <f ca="1">SUM(W121:W129)</f>
        <v>33076543.209089305</v>
      </c>
      <c r="Z131" s="85" t="str">
        <f>Z117</f>
        <v>Rosuvastatin 40mg</v>
      </c>
      <c r="AA131" s="113">
        <f ca="1">SUM(AA121:AA129)</f>
        <v>33024473.029880863</v>
      </c>
      <c r="AB131" s="113">
        <f ca="1">SUM(AB121:AB129)</f>
        <v>33566206.516694412</v>
      </c>
      <c r="AC131" s="113">
        <f ca="1">SUM(AC121:AC129)</f>
        <v>34344757.610548884</v>
      </c>
      <c r="AD131" s="113">
        <f ca="1">SUM(AD121:AD129)</f>
        <v>35385292.470714808</v>
      </c>
      <c r="AE131" s="114">
        <f ca="1">SUM(AE121:AE129)</f>
        <v>36693084.737315118</v>
      </c>
      <c r="AH131" s="85" t="str">
        <f>AH117</f>
        <v>Atorvastatin 10mg</v>
      </c>
      <c r="AI131" s="113">
        <f ca="1">SUM(AI121:AI129)</f>
        <v>1311279.6090853959</v>
      </c>
      <c r="AJ131" s="113">
        <f ca="1">SUM(AJ121:AJ129)</f>
        <v>1320839.7121731823</v>
      </c>
      <c r="AK131" s="113">
        <f ca="1">SUM(AK121:AK129)</f>
        <v>1328854.2928791798</v>
      </c>
      <c r="AL131" s="113">
        <f ca="1">SUM(AL121:AL129)</f>
        <v>1335740.257637515</v>
      </c>
      <c r="AM131" s="114">
        <f ca="1">SUM(AM121:AM129)</f>
        <v>1341509.9899830492</v>
      </c>
      <c r="AP131" s="85" t="str">
        <f>AP117</f>
        <v>Atorvastatin 20mg</v>
      </c>
      <c r="AQ131" s="113">
        <f ca="1">SUM(AQ121:AQ129)</f>
        <v>9865489.4497679938</v>
      </c>
      <c r="AR131" s="113">
        <f ca="1">SUM(AR121:AR129)</f>
        <v>9937415.4489963613</v>
      </c>
      <c r="AS131" s="113">
        <f ca="1">SUM(AS121:AS129)</f>
        <v>9997713.6194639709</v>
      </c>
      <c r="AT131" s="113">
        <f ca="1">SUM(AT121:AT129)</f>
        <v>10049520.581308069</v>
      </c>
      <c r="AU131" s="114">
        <f ca="1">SUM(AU121:AU129)</f>
        <v>10092929.502783295</v>
      </c>
      <c r="AX131" s="85" t="str">
        <f>AX117</f>
        <v>Atorvastatin 40mg</v>
      </c>
      <c r="AY131" s="113">
        <f ca="1">SUM(AY121:AY129)</f>
        <v>54317817.638895214</v>
      </c>
      <c r="AZ131" s="113">
        <f ca="1">SUM(AZ121:AZ129)</f>
        <v>54713830.764191672</v>
      </c>
      <c r="BA131" s="113">
        <f ca="1">SUM(BA121:BA129)</f>
        <v>55045822.911575265</v>
      </c>
      <c r="BB131" s="113">
        <f ca="1">SUM(BB121:BB129)</f>
        <v>55331063.813225515</v>
      </c>
      <c r="BC131" s="114">
        <f ca="1">SUM(BC121:BC129)</f>
        <v>55570066.4387514</v>
      </c>
      <c r="BF131" s="85" t="str">
        <f>BF117</f>
        <v>Atorvastatin 80mg</v>
      </c>
      <c r="BG131" s="113">
        <f ca="1">SUM(BG121:BG129)</f>
        <v>10352103.395284122</v>
      </c>
      <c r="BH131" s="113">
        <f ca="1">SUM(BH121:BH129)</f>
        <v>10427577.13478913</v>
      </c>
      <c r="BI131" s="113">
        <f ca="1">SUM(BI121:BI129)</f>
        <v>10490849.504437434</v>
      </c>
      <c r="BJ131" s="113">
        <f ca="1">SUM(BJ121:BJ129)</f>
        <v>10545211.837734364</v>
      </c>
      <c r="BK131" s="114">
        <f ca="1">SUM(BK121:BK129)</f>
        <v>10590761.898446241</v>
      </c>
      <c r="BN131" s="85" t="str">
        <f>BN117</f>
        <v>Pravastatin</v>
      </c>
      <c r="BO131" s="113">
        <f ca="1">SUM(BO121:BO129)</f>
        <v>1042638.2635894753</v>
      </c>
      <c r="BP131" s="113">
        <f ca="1">SUM(BP121:BP129)</f>
        <v>1051189.9831204498</v>
      </c>
      <c r="BQ131" s="113">
        <f ca="1">SUM(BQ121:BQ129)</f>
        <v>1059383.3731141638</v>
      </c>
      <c r="BR131" s="113">
        <f ca="1">SUM(BR121:BR129)</f>
        <v>1067596.2328532585</v>
      </c>
      <c r="BS131" s="114">
        <f ca="1">SUM(BS121:BS129)</f>
        <v>1075854.073980656</v>
      </c>
      <c r="BV131" s="85" t="str">
        <f>BV117</f>
        <v>Simvastatin 5mg</v>
      </c>
      <c r="BW131" s="113">
        <f ca="1">SUM(BW121:BW129)</f>
        <v>38488.78478449375</v>
      </c>
      <c r="BX131" s="113">
        <f ca="1">SUM(BX121:BX129)</f>
        <v>38769.393700939901</v>
      </c>
      <c r="BY131" s="113">
        <f ca="1">SUM(BY121:BY129)</f>
        <v>39004.638319855505</v>
      </c>
      <c r="BZ131" s="113">
        <f ca="1">SUM(BZ121:BZ129)</f>
        <v>39206.755712500715</v>
      </c>
      <c r="CA131" s="114">
        <f ca="1">SUM(CA121:CA129)</f>
        <v>39376.10936138899</v>
      </c>
      <c r="CD131" s="85" t="str">
        <f>CD117</f>
        <v>Simvastatin 10mg</v>
      </c>
      <c r="CE131" s="113">
        <f ca="1">SUM(CE121:CE129)</f>
        <v>2779199.1467679399</v>
      </c>
      <c r="CF131" s="113">
        <f ca="1">SUM(CF121:CF129)</f>
        <v>2799461.362515443</v>
      </c>
      <c r="CG131" s="113">
        <f ca="1">SUM(CG121:CG129)</f>
        <v>2816447.911917631</v>
      </c>
      <c r="CH131" s="113">
        <f ca="1">SUM(CH121:CH129)</f>
        <v>2831042.4097260637</v>
      </c>
      <c r="CI131" s="114">
        <f ca="1">SUM(CI121:CI129)</f>
        <v>2843271.1022952809</v>
      </c>
      <c r="CL131" s="85" t="str">
        <f>CL117</f>
        <v>Simvastatin 20mg</v>
      </c>
      <c r="CM131" s="113">
        <f ca="1">SUM(CM121:CM129)</f>
        <v>11908604.566659126</v>
      </c>
      <c r="CN131" s="113">
        <f ca="1">SUM(CN121:CN129)</f>
        <v>11995426.238025123</v>
      </c>
      <c r="CO131" s="113">
        <f ca="1">SUM(CO121:CO129)</f>
        <v>12068211.989999007</v>
      </c>
      <c r="CP131" s="113">
        <f ca="1">SUM(CP121:CP129)</f>
        <v>12130748.027926235</v>
      </c>
      <c r="CQ131" s="114">
        <f ca="1">SUM(CQ121:CQ129)</f>
        <v>12183146.814944936</v>
      </c>
      <c r="CT131" s="85" t="str">
        <f>CT117</f>
        <v>Simvastatin 40mg</v>
      </c>
      <c r="CU131" s="113">
        <f ca="1">SUM(CU121:CU129)</f>
        <v>25400559.249601152</v>
      </c>
      <c r="CV131" s="113">
        <f ca="1">SUM(CV121:CV129)</f>
        <v>25585717.728075638</v>
      </c>
      <c r="CW131" s="113">
        <f ca="1">SUM(CW121:CW129)</f>
        <v>25740912.022212084</v>
      </c>
      <c r="CX131" s="113">
        <f ca="1">SUM(CX121:CX129)</f>
        <v>25874216.559920665</v>
      </c>
      <c r="CY131" s="114">
        <f ca="1">SUM(CY121:CY129)</f>
        <v>25985870.74984172</v>
      </c>
      <c r="DB131" s="85">
        <f>DB117</f>
        <v>0</v>
      </c>
      <c r="DC131" s="113">
        <f ca="1">SUM(DC121:DC129)</f>
        <v>0</v>
      </c>
      <c r="DD131" s="113">
        <f ca="1">SUM(DD121:DD129)</f>
        <v>0</v>
      </c>
      <c r="DE131" s="113">
        <f ca="1">SUM(DE121:DE129)</f>
        <v>0</v>
      </c>
      <c r="DF131" s="113">
        <f ca="1">SUM(DF121:DF129)</f>
        <v>0</v>
      </c>
      <c r="DG131" s="114">
        <f ca="1">SUM(DG121:DG129)</f>
        <v>0</v>
      </c>
    </row>
    <row r="132" spans="2:111" ht="15" thickBot="1">
      <c r="B132" s="83"/>
      <c r="C132" s="83"/>
      <c r="D132" s="83"/>
      <c r="E132" s="83"/>
      <c r="F132" s="83"/>
      <c r="G132" s="83"/>
      <c r="J132" s="83"/>
      <c r="K132" s="83"/>
      <c r="L132" s="83"/>
      <c r="M132" s="83"/>
      <c r="N132" s="83"/>
      <c r="O132" s="83"/>
      <c r="R132" s="83"/>
      <c r="S132" s="83"/>
      <c r="T132" s="83"/>
      <c r="U132" s="83"/>
      <c r="V132" s="83"/>
      <c r="W132" s="83"/>
      <c r="Z132" s="83"/>
      <c r="AA132" s="83"/>
      <c r="AB132" s="83"/>
      <c r="AC132" s="83"/>
      <c r="AD132" s="83"/>
      <c r="AE132" s="83"/>
      <c r="AH132" s="83"/>
      <c r="AI132" s="83"/>
      <c r="AJ132" s="83"/>
      <c r="AK132" s="83"/>
      <c r="AL132" s="83"/>
      <c r="AM132" s="83"/>
      <c r="AP132" s="83"/>
      <c r="AQ132" s="83"/>
      <c r="AR132" s="83"/>
      <c r="AS132" s="83"/>
      <c r="AT132" s="83"/>
      <c r="AU132" s="83"/>
      <c r="AX132" s="83"/>
      <c r="AY132" s="83"/>
      <c r="AZ132" s="83"/>
      <c r="BA132" s="83"/>
      <c r="BB132" s="83"/>
      <c r="BC132" s="83"/>
      <c r="BF132" s="83"/>
      <c r="BG132" s="83"/>
      <c r="BH132" s="83"/>
      <c r="BI132" s="83"/>
      <c r="BJ132" s="83"/>
      <c r="BK132" s="83"/>
      <c r="BN132" s="83"/>
      <c r="BO132" s="83"/>
      <c r="BP132" s="83"/>
      <c r="BQ132" s="83"/>
      <c r="BR132" s="83"/>
      <c r="BS132" s="83"/>
      <c r="BV132" s="83"/>
      <c r="BW132" s="83"/>
      <c r="BX132" s="83"/>
      <c r="BY132" s="83"/>
      <c r="BZ132" s="83"/>
      <c r="CA132" s="83"/>
      <c r="CD132" s="83"/>
      <c r="CE132" s="83"/>
      <c r="CF132" s="83"/>
      <c r="CG132" s="83"/>
      <c r="CH132" s="83"/>
      <c r="CI132" s="83"/>
      <c r="CL132" s="83"/>
      <c r="CM132" s="83"/>
      <c r="CN132" s="83"/>
      <c r="CO132" s="83"/>
      <c r="CP132" s="83"/>
      <c r="CQ132" s="83"/>
      <c r="CT132" s="83"/>
      <c r="CU132" s="83"/>
      <c r="CV132" s="83"/>
      <c r="CW132" s="83"/>
      <c r="CX132" s="83"/>
      <c r="CY132" s="83"/>
      <c r="DB132" s="83"/>
      <c r="DC132" s="83"/>
      <c r="DD132" s="83"/>
      <c r="DE132" s="83"/>
      <c r="DF132" s="83"/>
      <c r="DG132" s="83"/>
    </row>
    <row r="133" spans="2:111" ht="15" thickBot="1">
      <c r="B133" s="507" t="str">
        <f>B71</f>
        <v>moderate intensity only</v>
      </c>
      <c r="C133" s="505"/>
      <c r="D133" s="505"/>
      <c r="E133" s="505"/>
      <c r="F133" s="505"/>
      <c r="G133" s="506"/>
      <c r="J133" s="507" t="str">
        <f>J71</f>
        <v>moderate intensity only</v>
      </c>
      <c r="K133" s="505"/>
      <c r="L133" s="505"/>
      <c r="M133" s="505"/>
      <c r="N133" s="505"/>
      <c r="O133" s="506"/>
      <c r="R133" s="507" t="str">
        <f>R71</f>
        <v>moderate intensity only</v>
      </c>
      <c r="S133" s="505"/>
      <c r="T133" s="505"/>
      <c r="U133" s="505"/>
      <c r="V133" s="505"/>
      <c r="W133" s="506"/>
      <c r="Z133" s="507" t="str">
        <f>Z71</f>
        <v>moderate intensity only</v>
      </c>
      <c r="AA133" s="505"/>
      <c r="AB133" s="505"/>
      <c r="AC133" s="505"/>
      <c r="AD133" s="505"/>
      <c r="AE133" s="506"/>
      <c r="AH133" s="507" t="str">
        <f>AH71</f>
        <v>moderate intensity only</v>
      </c>
      <c r="AI133" s="505"/>
      <c r="AJ133" s="505"/>
      <c r="AK133" s="505"/>
      <c r="AL133" s="505"/>
      <c r="AM133" s="506"/>
      <c r="AP133" s="507" t="str">
        <f>AP71</f>
        <v>moderate intensity only</v>
      </c>
      <c r="AQ133" s="505"/>
      <c r="AR133" s="505"/>
      <c r="AS133" s="505"/>
      <c r="AT133" s="505"/>
      <c r="AU133" s="506"/>
      <c r="AX133" s="507" t="str">
        <f>AX71</f>
        <v>moderate intensity only</v>
      </c>
      <c r="AY133" s="505"/>
      <c r="AZ133" s="505"/>
      <c r="BA133" s="505"/>
      <c r="BB133" s="505"/>
      <c r="BC133" s="506"/>
      <c r="BF133" s="507" t="str">
        <f>BF71</f>
        <v>moderate intensity only</v>
      </c>
      <c r="BG133" s="505"/>
      <c r="BH133" s="505"/>
      <c r="BI133" s="505"/>
      <c r="BJ133" s="505"/>
      <c r="BK133" s="506"/>
      <c r="BN133" s="507" t="str">
        <f>BN71</f>
        <v>moderate intensity only</v>
      </c>
      <c r="BO133" s="505"/>
      <c r="BP133" s="505"/>
      <c r="BQ133" s="505"/>
      <c r="BR133" s="505"/>
      <c r="BS133" s="506"/>
      <c r="BV133" s="507" t="str">
        <f>BV71</f>
        <v>moderate intensity only</v>
      </c>
      <c r="BW133" s="505"/>
      <c r="BX133" s="505"/>
      <c r="BY133" s="505"/>
      <c r="BZ133" s="505"/>
      <c r="CA133" s="506"/>
      <c r="CD133" s="507" t="str">
        <f>CD71</f>
        <v>moderate intensity only</v>
      </c>
      <c r="CE133" s="505"/>
      <c r="CF133" s="505"/>
      <c r="CG133" s="505"/>
      <c r="CH133" s="505"/>
      <c r="CI133" s="506"/>
      <c r="CL133" s="507" t="str">
        <f>CL71</f>
        <v>moderate intensity only</v>
      </c>
      <c r="CM133" s="505"/>
      <c r="CN133" s="505"/>
      <c r="CO133" s="505"/>
      <c r="CP133" s="505"/>
      <c r="CQ133" s="506"/>
      <c r="CT133" s="507" t="str">
        <f>CT71</f>
        <v>moderate intensity only</v>
      </c>
      <c r="CU133" s="505"/>
      <c r="CV133" s="505"/>
      <c r="CW133" s="505"/>
      <c r="CX133" s="505"/>
      <c r="CY133" s="506"/>
      <c r="DB133" s="507" t="str">
        <f>DB71</f>
        <v>moderate intensity only</v>
      </c>
      <c r="DC133" s="505"/>
      <c r="DD133" s="505"/>
      <c r="DE133" s="505"/>
      <c r="DF133" s="505"/>
      <c r="DG133" s="506"/>
    </row>
    <row r="134" spans="2:111">
      <c r="B134" s="84"/>
      <c r="C134" s="101">
        <f>C72</f>
        <v>2026</v>
      </c>
      <c r="D134" s="101">
        <f t="shared" ref="D134:F134" si="314">D72</f>
        <v>2027</v>
      </c>
      <c r="E134" s="101">
        <f t="shared" si="314"/>
        <v>2028</v>
      </c>
      <c r="F134" s="101">
        <f t="shared" si="314"/>
        <v>2029</v>
      </c>
      <c r="G134" s="102">
        <f>G72</f>
        <v>2030</v>
      </c>
      <c r="J134" s="84"/>
      <c r="K134" s="101">
        <f>K72</f>
        <v>2026</v>
      </c>
      <c r="L134" s="101">
        <f t="shared" ref="L134:N134" si="315">L72</f>
        <v>2027</v>
      </c>
      <c r="M134" s="101">
        <f t="shared" si="315"/>
        <v>2028</v>
      </c>
      <c r="N134" s="101">
        <f t="shared" si="315"/>
        <v>2029</v>
      </c>
      <c r="O134" s="102">
        <f>O72</f>
        <v>2030</v>
      </c>
      <c r="R134" s="84"/>
      <c r="S134" s="101">
        <f>S72</f>
        <v>2026</v>
      </c>
      <c r="T134" s="101">
        <f t="shared" ref="T134:V134" si="316">T72</f>
        <v>2027</v>
      </c>
      <c r="U134" s="101">
        <f t="shared" si="316"/>
        <v>2028</v>
      </c>
      <c r="V134" s="101">
        <f t="shared" si="316"/>
        <v>2029</v>
      </c>
      <c r="W134" s="102">
        <f>W72</f>
        <v>2030</v>
      </c>
      <c r="Z134" s="84"/>
      <c r="AA134" s="101">
        <f>AA72</f>
        <v>2026</v>
      </c>
      <c r="AB134" s="101">
        <f t="shared" ref="AB134:AD134" si="317">AB72</f>
        <v>2027</v>
      </c>
      <c r="AC134" s="101">
        <f t="shared" si="317"/>
        <v>2028</v>
      </c>
      <c r="AD134" s="101">
        <f t="shared" si="317"/>
        <v>2029</v>
      </c>
      <c r="AE134" s="102">
        <f>AE72</f>
        <v>2030</v>
      </c>
      <c r="AH134" s="84"/>
      <c r="AI134" s="101">
        <f>AI72</f>
        <v>2026</v>
      </c>
      <c r="AJ134" s="101">
        <f t="shared" ref="AJ134:AL134" si="318">AJ72</f>
        <v>2027</v>
      </c>
      <c r="AK134" s="101">
        <f t="shared" si="318"/>
        <v>2028</v>
      </c>
      <c r="AL134" s="101">
        <f t="shared" si="318"/>
        <v>2029</v>
      </c>
      <c r="AM134" s="102">
        <f>AM72</f>
        <v>2030</v>
      </c>
      <c r="AP134" s="84"/>
      <c r="AQ134" s="101">
        <f>AQ72</f>
        <v>2026</v>
      </c>
      <c r="AR134" s="101">
        <f t="shared" ref="AR134:AT134" si="319">AR72</f>
        <v>2027</v>
      </c>
      <c r="AS134" s="101">
        <f t="shared" si="319"/>
        <v>2028</v>
      </c>
      <c r="AT134" s="101">
        <f t="shared" si="319"/>
        <v>2029</v>
      </c>
      <c r="AU134" s="102">
        <f>AU72</f>
        <v>2030</v>
      </c>
      <c r="AX134" s="84"/>
      <c r="AY134" s="101">
        <f>AY72</f>
        <v>2026</v>
      </c>
      <c r="AZ134" s="101">
        <f t="shared" ref="AZ134:BB134" si="320">AZ72</f>
        <v>2027</v>
      </c>
      <c r="BA134" s="101">
        <f t="shared" si="320"/>
        <v>2028</v>
      </c>
      <c r="BB134" s="101">
        <f t="shared" si="320"/>
        <v>2029</v>
      </c>
      <c r="BC134" s="102">
        <f>BC72</f>
        <v>2030</v>
      </c>
      <c r="BF134" s="84"/>
      <c r="BG134" s="101">
        <f>BG72</f>
        <v>2026</v>
      </c>
      <c r="BH134" s="101">
        <f t="shared" ref="BH134:BJ134" si="321">BH72</f>
        <v>2027</v>
      </c>
      <c r="BI134" s="101">
        <f t="shared" si="321"/>
        <v>2028</v>
      </c>
      <c r="BJ134" s="101">
        <f t="shared" si="321"/>
        <v>2029</v>
      </c>
      <c r="BK134" s="102">
        <f>BK72</f>
        <v>2030</v>
      </c>
      <c r="BN134" s="84"/>
      <c r="BO134" s="101">
        <f>BO72</f>
        <v>2026</v>
      </c>
      <c r="BP134" s="101">
        <f t="shared" ref="BP134:BR134" si="322">BP72</f>
        <v>2027</v>
      </c>
      <c r="BQ134" s="101">
        <f t="shared" si="322"/>
        <v>2028</v>
      </c>
      <c r="BR134" s="101">
        <f t="shared" si="322"/>
        <v>2029</v>
      </c>
      <c r="BS134" s="102">
        <f>BS72</f>
        <v>2030</v>
      </c>
      <c r="BV134" s="84"/>
      <c r="BW134" s="101">
        <f>BW72</f>
        <v>2026</v>
      </c>
      <c r="BX134" s="101">
        <f t="shared" ref="BX134:BZ134" si="323">BX72</f>
        <v>2027</v>
      </c>
      <c r="BY134" s="101">
        <f t="shared" si="323"/>
        <v>2028</v>
      </c>
      <c r="BZ134" s="101">
        <f t="shared" si="323"/>
        <v>2029</v>
      </c>
      <c r="CA134" s="102">
        <f>CA72</f>
        <v>2030</v>
      </c>
      <c r="CD134" s="84"/>
      <c r="CE134" s="101">
        <f>CE72</f>
        <v>2026</v>
      </c>
      <c r="CF134" s="101">
        <f t="shared" ref="CF134:CH134" si="324">CF72</f>
        <v>2027</v>
      </c>
      <c r="CG134" s="101">
        <f t="shared" si="324"/>
        <v>2028</v>
      </c>
      <c r="CH134" s="101">
        <f t="shared" si="324"/>
        <v>2029</v>
      </c>
      <c r="CI134" s="102">
        <f>CI72</f>
        <v>2030</v>
      </c>
      <c r="CL134" s="84"/>
      <c r="CM134" s="101">
        <f>CM72</f>
        <v>2026</v>
      </c>
      <c r="CN134" s="101">
        <f t="shared" ref="CN134:CP134" si="325">CN72</f>
        <v>2027</v>
      </c>
      <c r="CO134" s="101">
        <f t="shared" si="325"/>
        <v>2028</v>
      </c>
      <c r="CP134" s="101">
        <f t="shared" si="325"/>
        <v>2029</v>
      </c>
      <c r="CQ134" s="102">
        <f>CQ72</f>
        <v>2030</v>
      </c>
      <c r="CT134" s="84"/>
      <c r="CU134" s="101">
        <f>CU72</f>
        <v>2026</v>
      </c>
      <c r="CV134" s="101">
        <f t="shared" ref="CV134:CX134" si="326">CV72</f>
        <v>2027</v>
      </c>
      <c r="CW134" s="101">
        <f t="shared" si="326"/>
        <v>2028</v>
      </c>
      <c r="CX134" s="101">
        <f t="shared" si="326"/>
        <v>2029</v>
      </c>
      <c r="CY134" s="102">
        <f>CY72</f>
        <v>2030</v>
      </c>
      <c r="DB134" s="84"/>
      <c r="DC134" s="101">
        <f>DC72</f>
        <v>2026</v>
      </c>
      <c r="DD134" s="101">
        <f t="shared" ref="DD134:DF134" si="327">DD72</f>
        <v>2027</v>
      </c>
      <c r="DE134" s="101">
        <f t="shared" si="327"/>
        <v>2028</v>
      </c>
      <c r="DF134" s="101">
        <f t="shared" si="327"/>
        <v>2029</v>
      </c>
      <c r="DG134" s="102">
        <f>DG72</f>
        <v>2030</v>
      </c>
    </row>
    <row r="135" spans="2:111">
      <c r="B135" s="87" t="s">
        <v>170</v>
      </c>
      <c r="C135" s="109">
        <f ca="1">(C73*c_inicial)+(C73*c_on*12)+(C73*ci_int1)+(C73*(ct_int1+ca_int1)*'Time on treatment'!$D$12)</f>
        <v>13156420.811297385</v>
      </c>
      <c r="D135" s="109">
        <f ca="1">(D73*c_on*12)+(D73*(ct_int1+ca_int1)*'Time on treatment'!$E$12)</f>
        <v>13156420.811297385</v>
      </c>
      <c r="E135" s="109">
        <f ca="1">(E73*c_on*12)+(E73*(ct_int1+ca_int1)*'Time on treatment'!$F$12)</f>
        <v>13156420.811297385</v>
      </c>
      <c r="F135" s="109">
        <f ca="1">(F73*c_on*12)+(F73*(ct_int1+ca_int1)*'Time on treatment'!$G$12)</f>
        <v>13156420.811297385</v>
      </c>
      <c r="G135" s="110">
        <f ca="1">(G73*c_on*12)+(G73*(ct_int1+ca_int1)*'Time on treatment'!$H$12)</f>
        <v>13156420.811297385</v>
      </c>
      <c r="J135" s="87" t="s">
        <v>170</v>
      </c>
      <c r="K135" s="109">
        <f ca="1">(K73*c_inicial)+(K73*c_on*12)+(K73*ci_int2)+(K73*(ct_int2+ca_int2)*'Time on treatment'!$D$13)</f>
        <v>26183204.453482121</v>
      </c>
      <c r="L135" s="109">
        <f ca="1">(L73*c_on*12)+(L73*(ct_int2+ca_int2)*'Time on treatment'!$E$13)</f>
        <v>26183204.453482121</v>
      </c>
      <c r="M135" s="109">
        <f ca="1">(M73*c_on*12)+(M73*(ct_int2+ca_int2)*'Time on treatment'!$F$13)</f>
        <v>26183204.453482121</v>
      </c>
      <c r="N135" s="109">
        <f ca="1">(N73*c_on*12)+(N73*(ct_int2+ca_int2)*'Time on treatment'!$G$13)</f>
        <v>26183204.453482121</v>
      </c>
      <c r="O135" s="110">
        <f ca="1">(O73*c_on*12)+(O73*(ct_int2+ca_int2)*'Time on treatment'!$H$13)</f>
        <v>26183204.453482121</v>
      </c>
      <c r="R135" s="87" t="s">
        <v>170</v>
      </c>
      <c r="S135" s="109">
        <f ca="1">(S73*c_inicial)+(S73*c_on*12)+(S73*ci_int3)+(S73*(ct_int3+ca_int3)*'Time on treatment'!$D$14)</f>
        <v>0</v>
      </c>
      <c r="T135" s="109">
        <f ca="1">(T73*c_on*12)+(T73*(ct_int3+ca_int3)*'Time on treatment'!$E$14)</f>
        <v>0</v>
      </c>
      <c r="U135" s="109">
        <f ca="1">(U73*c_on*12)+(U73*(ct_int3+ca_int3)*'Time on treatment'!$F$14)</f>
        <v>0</v>
      </c>
      <c r="V135" s="109">
        <f ca="1">(V73*c_on*12)+(V73*(ct_int3+ca_int3)*'Time on treatment'!$G$14)</f>
        <v>0</v>
      </c>
      <c r="W135" s="110">
        <f ca="1">(W73*c_on*12)+(W73*(ct_int3+ca_int3)*'Time on treatment'!$H$14)</f>
        <v>0</v>
      </c>
      <c r="Z135" s="87" t="s">
        <v>170</v>
      </c>
      <c r="AA135" s="109">
        <f ca="1">(AA73*c_inicial)+(AA73*c_on*12)+(AA73*ci_int4)+(AA73*(ct_int4+ca_int4)*'Time on treatment'!$D$15)</f>
        <v>0</v>
      </c>
      <c r="AB135" s="109">
        <f ca="1">(AB73*c_on*12)+(AB73*(ct_int4+ca_int4)*'Time on treatment'!$E$15)</f>
        <v>0</v>
      </c>
      <c r="AC135" s="109">
        <f ca="1">(AC73*c_on*12)+(AC73*(ct_int4+ca_int4)*'Time on treatment'!$F$15)</f>
        <v>0</v>
      </c>
      <c r="AD135" s="109">
        <f ca="1">(AD73*c_on*12)+(AD73*(ct_int4+ca_int4)*'Time on treatment'!$G$15)</f>
        <v>0</v>
      </c>
      <c r="AE135" s="110">
        <f ca="1">(AE73*c_on*12)+(AE73*(ct_int4+ca_int4)*'Time on treatment'!$H$15)</f>
        <v>0</v>
      </c>
      <c r="AH135" s="87" t="s">
        <v>170</v>
      </c>
      <c r="AI135" s="109">
        <f ca="1">(AI73*c_inicial)+(AI73*c_on*12)+(AI73*ci_comp1)+(AI73*(ct_comp1+ca_comp1)*'Time on treatment'!$D$19)</f>
        <v>1311279.6090853959</v>
      </c>
      <c r="AJ135" s="109">
        <f ca="1">(AJ73*c_on*12)+(AJ73*(ct_comp1+ca_comp1)*'Time on treatment'!$E$19)</f>
        <v>1311279.6090853959</v>
      </c>
      <c r="AK135" s="109">
        <f ca="1">(AK73*c_on*12)+(AK73*(ct_comp1+ca_comp1)*'Time on treatment'!$F$19)</f>
        <v>1311279.6090853959</v>
      </c>
      <c r="AL135" s="109">
        <f ca="1">(AL73*c_on*12)+(AL73*(ct_comp1+ca_comp1)*'Time on treatment'!$G$19)</f>
        <v>1311279.6090853959</v>
      </c>
      <c r="AM135" s="110">
        <f ca="1">(AM73*c_on*12)+(AM73*(ct_comp1+ca_comp1)*'Time on treatment'!$H$19)</f>
        <v>1311279.6090853959</v>
      </c>
      <c r="AP135" s="87" t="s">
        <v>170</v>
      </c>
      <c r="AQ135" s="109">
        <f ca="1">(AQ73*c_inicial)+(AQ73*c_on*12)+(AQ73*ci_comp2)+(AQ73*(ct_comp2+ca_comp2)*'Time on treatment'!$D$20)</f>
        <v>9865489.4497679938</v>
      </c>
      <c r="AR135" s="109">
        <f ca="1">(AR73*c_on*12)+(AR73*(ct_comp2+ca_comp2)*'Time on treatment'!$E$20)</f>
        <v>9865489.4497679938</v>
      </c>
      <c r="AS135" s="109">
        <f ca="1">(AS73*c_on*12)+(AS73*(ct_comp2+ca_comp2)*'Time on treatment'!$F$20)</f>
        <v>9865489.4497679938</v>
      </c>
      <c r="AT135" s="109">
        <f ca="1">(AT73*c_on*12)+(AT73*(ct_comp2+ca_comp2)*'Time on treatment'!$G$20)</f>
        <v>9865489.4497679938</v>
      </c>
      <c r="AU135" s="110">
        <f ca="1">(AU73*c_on*12)+(AU73*(ct_comp2+ca_comp2)*'Time on treatment'!$H$20)</f>
        <v>9865489.4497679938</v>
      </c>
      <c r="AX135" s="87" t="s">
        <v>170</v>
      </c>
      <c r="AY135" s="109">
        <f ca="1">(AY73*c_inicial)+(AY73*c_on*12)+(AY73*ci_comp3)+(AY73*(ct_comp3+ca_comp3)*'Time on treatment'!$D$21)</f>
        <v>54317817.638895214</v>
      </c>
      <c r="AZ135" s="109">
        <f ca="1">(AZ73*c_on*12)+(AZ73*(ct_comp3+ca_comp3)*'Time on treatment'!$E$21)</f>
        <v>54317817.638895214</v>
      </c>
      <c r="BA135" s="109">
        <f ca="1">(BA73*c_on*12)+(BA73*(ct_comp3+ca_comp3)*'Time on treatment'!$F$21)</f>
        <v>54317817.638895214</v>
      </c>
      <c r="BB135" s="109">
        <f ca="1">(BB73*c_on*12)+(BB73*(ct_comp3+ca_comp3)*'Time on treatment'!$G$21)</f>
        <v>54317817.638895214</v>
      </c>
      <c r="BC135" s="110">
        <f ca="1">(BC73*c_on*12)+(BC73*(ct_comp3+ca_comp3)*'Time on treatment'!$H$21)</f>
        <v>54317817.638895214</v>
      </c>
      <c r="BF135" s="87" t="s">
        <v>170</v>
      </c>
      <c r="BG135" s="109">
        <f ca="1">(BG73*c_inicial)+(BG73*c_on*12)+(BG73*ci_comp4)+(BG73*(ct_comp4+ca_comp4)*'Time on treatment'!$D$22)</f>
        <v>10352103.395284122</v>
      </c>
      <c r="BH135" s="109">
        <f ca="1">(BH73*c_on*12)+(BH73*(ct_comp4+ca_comp4)*'Time on treatment'!$E$22)</f>
        <v>10352103.395284122</v>
      </c>
      <c r="BI135" s="109">
        <f ca="1">(BI73*c_on*12)+(BI73*(ct_comp4+ca_comp4)*'Time on treatment'!$F$22)</f>
        <v>10352103.395284122</v>
      </c>
      <c r="BJ135" s="109">
        <f ca="1">(BJ73*c_on*12)+(BJ73*(ct_comp4+ca_comp4)*'Time on treatment'!$G$22)</f>
        <v>10352103.395284122</v>
      </c>
      <c r="BK135" s="110">
        <f ca="1">(BK73*c_on*12)+(BK73*(ct_comp4+ca_comp4)*'Time on treatment'!$H$22)</f>
        <v>10352103.395284122</v>
      </c>
      <c r="BN135" s="87" t="s">
        <v>170</v>
      </c>
      <c r="BO135" s="109">
        <f ca="1">(BO73*c_inicial)+(BO73*c_on*12)+(BO73*ci_comp5)+(BO73*(ct_comp5+ca_comp5)*'Time on treatment'!$D$23)</f>
        <v>1042638.2635894753</v>
      </c>
      <c r="BP135" s="109">
        <f ca="1">(BP73*c_on*12)+(BP73*(ct_comp5+ca_comp5)*'Time on treatment'!$E$23)</f>
        <v>1042638.2635894753</v>
      </c>
      <c r="BQ135" s="109">
        <f ca="1">(BQ73*c_on*12)+(BQ73*(ct_comp5+ca_comp5)*'Time on treatment'!$F$23)</f>
        <v>1042638.2635894753</v>
      </c>
      <c r="BR135" s="109">
        <f ca="1">(BR73*c_on*12)+(BR73*(ct_comp5+ca_comp5)*'Time on treatment'!$G$23)</f>
        <v>1042638.2635894753</v>
      </c>
      <c r="BS135" s="110">
        <f ca="1">(BS73*c_on*12)+(BS73*(ct_comp5+ca_comp5)*'Time on treatment'!$H$23)</f>
        <v>1042638.2635894753</v>
      </c>
      <c r="BV135" s="87" t="s">
        <v>170</v>
      </c>
      <c r="BW135" s="109">
        <f ca="1">(BW73*c_inicial)+(BW73*c_on*12)+(BW73*ci_comp6)+(BW73*(ct_comp6+ca_comp6)*'Time on treatment'!$D$24)</f>
        <v>38488.78478449375</v>
      </c>
      <c r="BX135" s="109">
        <f ca="1">(BX73*c_on*12)+(BX73*(ct_comp6+ca_comp6)*'Time on treatment'!$E$24)</f>
        <v>38488.78478449375</v>
      </c>
      <c r="BY135" s="109">
        <f ca="1">(BY73*c_on*12)+(BY73*(ct_comp6+ca_comp6)*'Time on treatment'!$F$24)</f>
        <v>38488.78478449375</v>
      </c>
      <c r="BZ135" s="109">
        <f ca="1">(BZ73*c_on*12)+(BZ73*(ct_comp6+ca_comp6)*'Time on treatment'!$G$24)</f>
        <v>38488.78478449375</v>
      </c>
      <c r="CA135" s="110">
        <f ca="1">(CA73*c_on*12)+(CA73*(ct_comp6+ca_comp6)*'Time on treatment'!$H$24)</f>
        <v>38488.78478449375</v>
      </c>
      <c r="CD135" s="87" t="s">
        <v>170</v>
      </c>
      <c r="CE135" s="109">
        <f ca="1">(CE73*c_inicial)+(CE73*c_on*12)+(CE73*ci_comp7)+(CE73*(ct_comp7+ca_comp7)*'Time on treatment'!$D$25)</f>
        <v>2779199.1467679399</v>
      </c>
      <c r="CF135" s="109">
        <f ca="1">(CF73*c_on*12)+(CF73*(ct_comp7+ca_comp7)*'Time on treatment'!$E$25)</f>
        <v>2779199.1467679399</v>
      </c>
      <c r="CG135" s="109">
        <f ca="1">(CG73*c_on*12)+(CG73*(ct_comp7+ca_comp7)*'Time on treatment'!$F$25)</f>
        <v>2779199.1467679399</v>
      </c>
      <c r="CH135" s="109">
        <f ca="1">(CH73*c_on*12)+(CH73*(ct_comp7+ca_comp7)*'Time on treatment'!$G$25)</f>
        <v>2779199.1467679399</v>
      </c>
      <c r="CI135" s="110">
        <f ca="1">(CI73*c_on*12)+(CI73*(ct_comp7+ca_comp7)*'Time on treatment'!$H$25)</f>
        <v>2779199.1467679399</v>
      </c>
      <c r="CL135" s="87" t="s">
        <v>170</v>
      </c>
      <c r="CM135" s="109">
        <f ca="1">(CM73*c_inicial)+(CM73*c_on*12)+(CM73*ci_comp8)+(CM73*(ct_comp8+ca_comp8)*'Time on treatment'!$D$26)</f>
        <v>11908604.566659126</v>
      </c>
      <c r="CN135" s="109">
        <f ca="1">(CN73*c_on*12)+(CN73*(ct_comp8+ca_comp8)*'Time on treatment'!$E$26)</f>
        <v>11908604.566659126</v>
      </c>
      <c r="CO135" s="109">
        <f ca="1">(CO73*c_on*12)+(CO73*(ct_comp8+ca_comp8)*'Time on treatment'!$F$26)</f>
        <v>11908604.566659126</v>
      </c>
      <c r="CP135" s="109">
        <f ca="1">(CP73*c_on*12)+(CP73*(ct_comp8+ca_comp8)*'Time on treatment'!$G$26)</f>
        <v>11908604.566659126</v>
      </c>
      <c r="CQ135" s="110">
        <f ca="1">(CQ73*c_on*12)+(CQ73*(ct_comp8+ca_comp8)*'Time on treatment'!$H$26)</f>
        <v>11908604.566659126</v>
      </c>
      <c r="CT135" s="87" t="s">
        <v>170</v>
      </c>
      <c r="CU135" s="109">
        <f ca="1">(CU73*c_inicial)+(CU73*c_on*12)+(CU73*ci_comp9)+(CU73*(ct_comp9+ca_comp9)*'Time on treatment'!$D$27)</f>
        <v>25400559.249601152</v>
      </c>
      <c r="CV135" s="109">
        <f ca="1">(CV73*c_on*12)+(CV73*(ct_comp9+ca_comp9)*'Time on treatment'!$E$27)</f>
        <v>25400559.249601152</v>
      </c>
      <c r="CW135" s="109">
        <f ca="1">(CW73*c_on*12)+(CW73*(ct_comp9+ca_comp9)*'Time on treatment'!$F$27)</f>
        <v>25400559.249601152</v>
      </c>
      <c r="CX135" s="109">
        <f ca="1">(CX73*c_on*12)+(CX73*(ct_comp9+ca_comp9)*'Time on treatment'!$G$27)</f>
        <v>25400559.249601152</v>
      </c>
      <c r="CY135" s="110">
        <f ca="1">(CY73*c_on*12)+(CY73*(ct_comp9+ca_comp9)*'Time on treatment'!$H$27)</f>
        <v>25400559.249601152</v>
      </c>
      <c r="DB135" s="87" t="s">
        <v>170</v>
      </c>
      <c r="DC135" s="109">
        <f ca="1">(DC73*c_inicial)+(DC73*c_on*12)+(DC73*ci_comp10)+(DC73*(ct_comp10+ca_comp10)*'Time on treatment'!$D$28)</f>
        <v>0</v>
      </c>
      <c r="DD135" s="109">
        <f ca="1">(DD73*c_on*12)+(DD73*(ct_comp10+ca_comp10)*'Time on treatment'!$E$28)</f>
        <v>0</v>
      </c>
      <c r="DE135" s="109">
        <f ca="1">(DE73*c_on*12)+(DE73*(ct_comp10+ca_comp10)*'Time on treatment'!$F$28)</f>
        <v>0</v>
      </c>
      <c r="DF135" s="109">
        <f ca="1">(DF73*c_on*12)+(DF73*(ct_comp10+ca_comp10)*'Time on treatment'!$G$28)</f>
        <v>0</v>
      </c>
      <c r="DG135" s="110">
        <f ca="1">(DG73*c_on*12)+(DG73*(ct_comp10+ca_comp10)*'Time on treatment'!$H$28)</f>
        <v>0</v>
      </c>
    </row>
    <row r="136" spans="2:111">
      <c r="B136" s="87" t="s">
        <v>175</v>
      </c>
      <c r="C136" s="109">
        <f>C74*c_off</f>
        <v>0</v>
      </c>
      <c r="D136" s="109">
        <f>D74*c_off</f>
        <v>0</v>
      </c>
      <c r="E136" s="109">
        <f>E74*c_off</f>
        <v>0</v>
      </c>
      <c r="F136" s="109">
        <f>F74*c_off</f>
        <v>0</v>
      </c>
      <c r="G136" s="110">
        <f>G74*c_off</f>
        <v>0</v>
      </c>
      <c r="J136" s="87" t="s">
        <v>175</v>
      </c>
      <c r="K136" s="109">
        <f>K74*c_off</f>
        <v>0</v>
      </c>
      <c r="L136" s="109">
        <f>L74*c_off</f>
        <v>0</v>
      </c>
      <c r="M136" s="109">
        <f>M74*c_off</f>
        <v>0</v>
      </c>
      <c r="N136" s="109">
        <f>N74*c_off</f>
        <v>0</v>
      </c>
      <c r="O136" s="110">
        <f>O74*c_off</f>
        <v>0</v>
      </c>
      <c r="R136" s="87" t="s">
        <v>175</v>
      </c>
      <c r="S136" s="109">
        <f>S74*c_off</f>
        <v>0</v>
      </c>
      <c r="T136" s="109">
        <f>T74*c_off</f>
        <v>0</v>
      </c>
      <c r="U136" s="109">
        <f>U74*c_off</f>
        <v>0</v>
      </c>
      <c r="V136" s="109">
        <f>V74*c_off</f>
        <v>0</v>
      </c>
      <c r="W136" s="110">
        <f>W74*c_off</f>
        <v>0</v>
      </c>
      <c r="Z136" s="87" t="s">
        <v>175</v>
      </c>
      <c r="AA136" s="109">
        <f>AA74*c_off</f>
        <v>0</v>
      </c>
      <c r="AB136" s="109">
        <f>AB74*c_off</f>
        <v>0</v>
      </c>
      <c r="AC136" s="109">
        <f>AC74*c_off</f>
        <v>0</v>
      </c>
      <c r="AD136" s="109">
        <f>AD74*c_off</f>
        <v>0</v>
      </c>
      <c r="AE136" s="110">
        <f>AE74*c_off</f>
        <v>0</v>
      </c>
      <c r="AH136" s="87" t="s">
        <v>175</v>
      </c>
      <c r="AI136" s="109">
        <f>AI74*c_off</f>
        <v>0</v>
      </c>
      <c r="AJ136" s="109">
        <f>AJ74*c_off</f>
        <v>0</v>
      </c>
      <c r="AK136" s="109">
        <f>AK74*c_off</f>
        <v>0</v>
      </c>
      <c r="AL136" s="109">
        <f>AL74*c_off</f>
        <v>0</v>
      </c>
      <c r="AM136" s="110">
        <f>AM74*c_off</f>
        <v>0</v>
      </c>
      <c r="AP136" s="87" t="s">
        <v>175</v>
      </c>
      <c r="AQ136" s="109">
        <f>AQ74*c_off</f>
        <v>0</v>
      </c>
      <c r="AR136" s="109">
        <f>AR74*c_off</f>
        <v>0</v>
      </c>
      <c r="AS136" s="109">
        <f>AS74*c_off</f>
        <v>0</v>
      </c>
      <c r="AT136" s="109">
        <f>AT74*c_off</f>
        <v>0</v>
      </c>
      <c r="AU136" s="110">
        <f>AU74*c_off</f>
        <v>0</v>
      </c>
      <c r="AX136" s="87" t="s">
        <v>175</v>
      </c>
      <c r="AY136" s="109">
        <f>AY74*c_off</f>
        <v>0</v>
      </c>
      <c r="AZ136" s="109">
        <f>AZ74*c_off</f>
        <v>0</v>
      </c>
      <c r="BA136" s="109">
        <f>BA74*c_off</f>
        <v>0</v>
      </c>
      <c r="BB136" s="109">
        <f>BB74*c_off</f>
        <v>0</v>
      </c>
      <c r="BC136" s="110">
        <f>BC74*c_off</f>
        <v>0</v>
      </c>
      <c r="BF136" s="87" t="s">
        <v>175</v>
      </c>
      <c r="BG136" s="109">
        <f>BG74*c_off</f>
        <v>0</v>
      </c>
      <c r="BH136" s="109">
        <f>BH74*c_off</f>
        <v>0</v>
      </c>
      <c r="BI136" s="109">
        <f>BI74*c_off</f>
        <v>0</v>
      </c>
      <c r="BJ136" s="109">
        <f>BJ74*c_off</f>
        <v>0</v>
      </c>
      <c r="BK136" s="110">
        <f>BK74*c_off</f>
        <v>0</v>
      </c>
      <c r="BN136" s="87" t="s">
        <v>175</v>
      </c>
      <c r="BO136" s="109">
        <f>BO74*c_off</f>
        <v>0</v>
      </c>
      <c r="BP136" s="109">
        <f>BP74*c_off</f>
        <v>0</v>
      </c>
      <c r="BQ136" s="109">
        <f>BQ74*c_off</f>
        <v>0</v>
      </c>
      <c r="BR136" s="109">
        <f>BR74*c_off</f>
        <v>0</v>
      </c>
      <c r="BS136" s="110">
        <f>BS74*c_off</f>
        <v>0</v>
      </c>
      <c r="BV136" s="87" t="s">
        <v>175</v>
      </c>
      <c r="BW136" s="109">
        <f>BW74*c_off</f>
        <v>0</v>
      </c>
      <c r="BX136" s="109">
        <f>BX74*c_off</f>
        <v>0</v>
      </c>
      <c r="BY136" s="109">
        <f>BY74*c_off</f>
        <v>0</v>
      </c>
      <c r="BZ136" s="109">
        <f>BZ74*c_off</f>
        <v>0</v>
      </c>
      <c r="CA136" s="110">
        <f>CA74*c_off</f>
        <v>0</v>
      </c>
      <c r="CD136" s="87" t="s">
        <v>175</v>
      </c>
      <c r="CE136" s="109">
        <f>CE74*c_off</f>
        <v>0</v>
      </c>
      <c r="CF136" s="109">
        <f>CF74*c_off</f>
        <v>0</v>
      </c>
      <c r="CG136" s="109">
        <f>CG74*c_off</f>
        <v>0</v>
      </c>
      <c r="CH136" s="109">
        <f>CH74*c_off</f>
        <v>0</v>
      </c>
      <c r="CI136" s="110">
        <f>CI74*c_off</f>
        <v>0</v>
      </c>
      <c r="CL136" s="87" t="s">
        <v>175</v>
      </c>
      <c r="CM136" s="109">
        <f>CM74*c_off</f>
        <v>0</v>
      </c>
      <c r="CN136" s="109">
        <f>CN74*c_off</f>
        <v>0</v>
      </c>
      <c r="CO136" s="109">
        <f>CO74*c_off</f>
        <v>0</v>
      </c>
      <c r="CP136" s="109">
        <f>CP74*c_off</f>
        <v>0</v>
      </c>
      <c r="CQ136" s="110">
        <f>CQ74*c_off</f>
        <v>0</v>
      </c>
      <c r="CT136" s="87" t="s">
        <v>175</v>
      </c>
      <c r="CU136" s="109">
        <f>CU74*c_off</f>
        <v>0</v>
      </c>
      <c r="CV136" s="109">
        <f>CV74*c_off</f>
        <v>0</v>
      </c>
      <c r="CW136" s="109">
        <f>CW74*c_off</f>
        <v>0</v>
      </c>
      <c r="CX136" s="109">
        <f>CX74*c_off</f>
        <v>0</v>
      </c>
      <c r="CY136" s="110">
        <f>CY74*c_off</f>
        <v>0</v>
      </c>
      <c r="DB136" s="87" t="s">
        <v>175</v>
      </c>
      <c r="DC136" s="109">
        <f>DC74*c_off</f>
        <v>0</v>
      </c>
      <c r="DD136" s="109">
        <f>DD74*c_off</f>
        <v>0</v>
      </c>
      <c r="DE136" s="109">
        <f>DE74*c_off</f>
        <v>0</v>
      </c>
      <c r="DF136" s="109">
        <f>DF74*c_off</f>
        <v>0</v>
      </c>
      <c r="DG136" s="110">
        <f>DG74*c_off</f>
        <v>0</v>
      </c>
    </row>
    <row r="137" spans="2:111">
      <c r="B137" s="87" t="s">
        <v>171</v>
      </c>
      <c r="C137" s="111"/>
      <c r="D137" s="109">
        <f ca="1">(D75*c_inicial)+(D75*c_on*12)+(D75*ci_int1)+(D75*(ct_int1+ca_int1)*'Time on treatment'!$D$12)</f>
        <v>215817.93943060489</v>
      </c>
      <c r="E137" s="109">
        <f ca="1">(E75*c_on*12)+(E75*(ct_int1+ca_int1)*'Time on treatment'!$E$12)</f>
        <v>215817.93943060489</v>
      </c>
      <c r="F137" s="109">
        <f ca="1">(F75*c_on*12)+(F75*(ct_int1+ca_int1)*'Time on treatment'!$F$12)</f>
        <v>215817.93943060489</v>
      </c>
      <c r="G137" s="110">
        <f ca="1">(G75*c_on*12)+(G75*(ct_int1+ca_int1)*'Time on treatment'!$G$12)</f>
        <v>215817.93943060489</v>
      </c>
      <c r="J137" s="87" t="s">
        <v>171</v>
      </c>
      <c r="K137" s="111"/>
      <c r="L137" s="109">
        <f ca="1">(L75*c_inicial)+(L75*c_on*12)+(L75*ci_int2)+(L75*(ct_int2+ca_int2)*'Time on treatment'!$D$13)</f>
        <v>429509.3106164874</v>
      </c>
      <c r="M137" s="109">
        <f ca="1">(M75*c_on*12)+(M75*(ct_int2+ca_int2)*'Time on treatment'!$E$13)</f>
        <v>429509.3106164874</v>
      </c>
      <c r="N137" s="109">
        <f ca="1">(N75*c_on*12)+(N75*(ct_int2+ca_int2)*'Time on treatment'!$F$13)</f>
        <v>429509.3106164874</v>
      </c>
      <c r="O137" s="110">
        <f ca="1">(O75*c_on*12)+(O75*(ct_int2+ca_int2)*'Time on treatment'!$G$13)</f>
        <v>429509.3106164874</v>
      </c>
      <c r="R137" s="87" t="s">
        <v>171</v>
      </c>
      <c r="S137" s="111"/>
      <c r="T137" s="109">
        <f ca="1">(T75*c_inicial)+(T75*c_on*12)+(T75*ci_int3)+(T75*(ct_int3+ca_int3)*'Time on treatment'!$D$14)</f>
        <v>0</v>
      </c>
      <c r="U137" s="109">
        <f ca="1">(U75*c_on*12)+(U75*(ct_int3+ca_int3)*'Time on treatment'!$E$14)</f>
        <v>0</v>
      </c>
      <c r="V137" s="109">
        <f ca="1">(V75*c_on*12)+(V75*(ct_int3+ca_int3)*'Time on treatment'!$F$14)</f>
        <v>0</v>
      </c>
      <c r="W137" s="110">
        <f ca="1">(W75*c_on*12)+(W75*(ct_int3+ca_int3)*'Time on treatment'!$G$14)</f>
        <v>0</v>
      </c>
      <c r="Z137" s="87" t="s">
        <v>171</v>
      </c>
      <c r="AA137" s="111"/>
      <c r="AB137" s="109">
        <f ca="1">(AB75*c_inicial)+(AB75*c_on*12)+(AB75*ci_int4)+(AB75*(ct_int4+ca_int4)*'Time on treatment'!$D$15)</f>
        <v>0</v>
      </c>
      <c r="AC137" s="109">
        <f ca="1">(AC75*c_on*12)+(AC75*(ct_int4+ca_int4)*'Time on treatment'!$E$15)</f>
        <v>0</v>
      </c>
      <c r="AD137" s="109">
        <f ca="1">(AD75*c_on*12)+(AD75*(ct_int4+ca_int4)*'Time on treatment'!$F$15)</f>
        <v>0</v>
      </c>
      <c r="AE137" s="110">
        <f ca="1">(AE75*c_on*12)+(AE75*(ct_int4+ca_int4)*'Time on treatment'!$G$15)</f>
        <v>0</v>
      </c>
      <c r="AH137" s="87" t="s">
        <v>171</v>
      </c>
      <c r="AI137" s="111"/>
      <c r="AJ137" s="109">
        <f ca="1">(AJ75*c_inicial)+(AJ75*c_on*12)+(AJ75*ci_comp1)+(AJ75*(ct_comp1+ca_comp1)*'Time on treatment'!$D$19)</f>
        <v>9560.1030877864359</v>
      </c>
      <c r="AK137" s="109">
        <f ca="1">(AK75*c_on*12)+(AK75*(ct_comp1+ca_comp1)*'Time on treatment'!$E$19)</f>
        <v>9560.1030877864359</v>
      </c>
      <c r="AL137" s="109">
        <f ca="1">(AL75*c_on*12)+(AL75*(ct_comp1+ca_comp1)*'Time on treatment'!$F$19)</f>
        <v>9560.1030877864359</v>
      </c>
      <c r="AM137" s="110">
        <f ca="1">(AM75*c_on*12)+(AM75*(ct_comp1+ca_comp1)*'Time on treatment'!$G$19)</f>
        <v>9560.1030877864359</v>
      </c>
      <c r="AP137" s="87" t="s">
        <v>171</v>
      </c>
      <c r="AQ137" s="111"/>
      <c r="AR137" s="109">
        <f ca="1">(AR75*c_inicial)+(AR75*c_on*12)+(AR75*ci_comp2)+(AR75*(ct_comp2+ca_comp2)*'Time on treatment'!$D$20)</f>
        <v>71925.999228368484</v>
      </c>
      <c r="AS137" s="109">
        <f ca="1">(AS75*c_on*12)+(AS75*(ct_comp2+ca_comp2)*'Time on treatment'!$E$20)</f>
        <v>71925.999228368484</v>
      </c>
      <c r="AT137" s="109">
        <f ca="1">(AT75*c_on*12)+(AT75*(ct_comp2+ca_comp2)*'Time on treatment'!$F$20)</f>
        <v>71925.999228368484</v>
      </c>
      <c r="AU137" s="110">
        <f ca="1">(AU75*c_on*12)+(AU75*(ct_comp2+ca_comp2)*'Time on treatment'!$G$20)</f>
        <v>71925.999228368484</v>
      </c>
      <c r="AX137" s="87" t="s">
        <v>171</v>
      </c>
      <c r="AY137" s="111"/>
      <c r="AZ137" s="109">
        <f ca="1">(AZ75*c_inicial)+(AZ75*c_on*12)+(AZ75*ci_comp3)+(AZ75*(ct_comp3+ca_comp3)*'Time on treatment'!$D$21)</f>
        <v>396013.12529645604</v>
      </c>
      <c r="BA137" s="109">
        <f ca="1">(BA75*c_on*12)+(BA75*(ct_comp3+ca_comp3)*'Time on treatment'!$E$21)</f>
        <v>396013.12529645604</v>
      </c>
      <c r="BB137" s="109">
        <f ca="1">(BB75*c_on*12)+(BB75*(ct_comp3+ca_comp3)*'Time on treatment'!$F$21)</f>
        <v>396013.12529645604</v>
      </c>
      <c r="BC137" s="110">
        <f ca="1">(BC75*c_on*12)+(BC75*(ct_comp3+ca_comp3)*'Time on treatment'!$G$21)</f>
        <v>396013.12529645604</v>
      </c>
      <c r="BF137" s="87" t="s">
        <v>171</v>
      </c>
      <c r="BG137" s="111"/>
      <c r="BH137" s="109">
        <f ca="1">(BH75*c_inicial)+(BH75*c_on*12)+(BH75*ci_comp4)+(BH75*(ct_comp4+ca_comp4)*'Time on treatment'!$D$22)</f>
        <v>75473.739505008227</v>
      </c>
      <c r="BI137" s="109">
        <f ca="1">(BI75*c_on*12)+(BI75*(ct_comp4+ca_comp4)*'Time on treatment'!$E$22)</f>
        <v>75473.739505008227</v>
      </c>
      <c r="BJ137" s="109">
        <f ca="1">(BJ75*c_on*12)+(BJ75*(ct_comp4+ca_comp4)*'Time on treatment'!$F$22)</f>
        <v>75473.739505008227</v>
      </c>
      <c r="BK137" s="110">
        <f ca="1">(BK75*c_on*12)+(BK75*(ct_comp4+ca_comp4)*'Time on treatment'!$G$22)</f>
        <v>75473.739505008227</v>
      </c>
      <c r="BN137" s="87" t="s">
        <v>171</v>
      </c>
      <c r="BO137" s="111"/>
      <c r="BP137" s="109">
        <f ca="1">(BP75*c_inicial)+(BP75*c_on*12)+(BP75*ci_comp5)+(BP75*(ct_comp5+ca_comp5)*'Time on treatment'!$D$23)</f>
        <v>8551.7195309745748</v>
      </c>
      <c r="BQ137" s="109">
        <f ca="1">(BQ75*c_on*12)+(BQ75*(ct_comp5+ca_comp5)*'Time on treatment'!$E$23)</f>
        <v>8551.7195309745748</v>
      </c>
      <c r="BR137" s="109">
        <f ca="1">(BR75*c_on*12)+(BR75*(ct_comp5+ca_comp5)*'Time on treatment'!$F$23)</f>
        <v>8551.7195309745748</v>
      </c>
      <c r="BS137" s="110">
        <f ca="1">(BS75*c_on*12)+(BS75*(ct_comp5+ca_comp5)*'Time on treatment'!$G$23)</f>
        <v>8551.7195309745748</v>
      </c>
      <c r="BV137" s="87" t="s">
        <v>171</v>
      </c>
      <c r="BW137" s="111"/>
      <c r="BX137" s="109">
        <f ca="1">(BX75*c_inicial)+(BX75*c_on*12)+(BX75*ci_comp6)+(BX75*(ct_comp6+ca_comp6)*'Time on treatment'!$D$24)</f>
        <v>280.6089164461518</v>
      </c>
      <c r="BY137" s="109">
        <f ca="1">(BY75*c_on*12)+(BY75*(ct_comp6+ca_comp6)*'Time on treatment'!$E$24)</f>
        <v>280.6089164461518</v>
      </c>
      <c r="BZ137" s="109">
        <f ca="1">(BZ75*c_on*12)+(BZ75*(ct_comp6+ca_comp6)*'Time on treatment'!$F$24)</f>
        <v>280.6089164461518</v>
      </c>
      <c r="CA137" s="110">
        <f ca="1">(CA75*c_on*12)+(CA75*(ct_comp6+ca_comp6)*'Time on treatment'!$G$24)</f>
        <v>280.6089164461518</v>
      </c>
      <c r="CD137" s="87" t="s">
        <v>171</v>
      </c>
      <c r="CE137" s="111"/>
      <c r="CF137" s="109">
        <f ca="1">(CF75*c_inicial)+(CF75*c_on*12)+(CF75*ci_comp7)+(CF75*(ct_comp7+ca_comp7)*'Time on treatment'!$D$25)</f>
        <v>20262.215747502949</v>
      </c>
      <c r="CG137" s="109">
        <f ca="1">(CG75*c_on*12)+(CG75*(ct_comp7+ca_comp7)*'Time on treatment'!$E$25)</f>
        <v>20262.215747502949</v>
      </c>
      <c r="CH137" s="109">
        <f ca="1">(CH75*c_on*12)+(CH75*(ct_comp7+ca_comp7)*'Time on treatment'!$F$25)</f>
        <v>20262.215747502949</v>
      </c>
      <c r="CI137" s="110">
        <f ca="1">(CI75*c_on*12)+(CI75*(ct_comp7+ca_comp7)*'Time on treatment'!$G$25)</f>
        <v>20262.215747502949</v>
      </c>
      <c r="CL137" s="87" t="s">
        <v>171</v>
      </c>
      <c r="CM137" s="111"/>
      <c r="CN137" s="109">
        <f ca="1">(CN75*c_inicial)+(CN75*c_on*12)+(CN75*ci_comp8)+(CN75*(ct_comp8+ca_comp8)*'Time on treatment'!$D$26)</f>
        <v>86821.67136599723</v>
      </c>
      <c r="CO137" s="109">
        <f ca="1">(CO75*c_on*12)+(CO75*(ct_comp8+ca_comp8)*'Time on treatment'!$E$26)</f>
        <v>86821.67136599723</v>
      </c>
      <c r="CP137" s="109">
        <f ca="1">(CP75*c_on*12)+(CP75*(ct_comp8+ca_comp8)*'Time on treatment'!$F$26)</f>
        <v>86821.67136599723</v>
      </c>
      <c r="CQ137" s="110">
        <f ca="1">(CQ75*c_on*12)+(CQ75*(ct_comp8+ca_comp8)*'Time on treatment'!$G$26)</f>
        <v>86821.67136599723</v>
      </c>
      <c r="CT137" s="87" t="s">
        <v>171</v>
      </c>
      <c r="CU137" s="111"/>
      <c r="CV137" s="109">
        <f ca="1">(CV75*c_inicial)+(CV75*c_on*12)+(CV75*ci_comp9)+(CV75*(ct_comp9+ca_comp9)*'Time on treatment'!$D$27)</f>
        <v>185158.47847448502</v>
      </c>
      <c r="CW137" s="109">
        <f ca="1">(CW75*c_on*12)+(CW75*(ct_comp9+ca_comp9)*'Time on treatment'!$E$27)</f>
        <v>185158.47847448502</v>
      </c>
      <c r="CX137" s="109">
        <f ca="1">(CX75*c_on*12)+(CX75*(ct_comp9+ca_comp9)*'Time on treatment'!$F$27)</f>
        <v>185158.47847448502</v>
      </c>
      <c r="CY137" s="110">
        <f ca="1">(CY75*c_on*12)+(CY75*(ct_comp9+ca_comp9)*'Time on treatment'!$G$27)</f>
        <v>185158.47847448502</v>
      </c>
      <c r="DB137" s="87" t="s">
        <v>171</v>
      </c>
      <c r="DC137" s="111"/>
      <c r="DD137" s="109">
        <f ca="1">(DD75*c_inicial)+(DD75*c_on*12)+(DD75*ci_comp10)+(DD75*(ct_comp10+ca_comp10)*'Time on treatment'!$D$28)</f>
        <v>0</v>
      </c>
      <c r="DE137" s="109">
        <f ca="1">(DE75*c_on*12)+(DE75*(ct_comp10+ca_comp10)*'Time on treatment'!$E$28)</f>
        <v>0</v>
      </c>
      <c r="DF137" s="109">
        <f ca="1">(DF75*c_on*12)+(DF75*(ct_comp10+ca_comp10)*'Time on treatment'!$F$28)</f>
        <v>0</v>
      </c>
      <c r="DG137" s="110">
        <f ca="1">(DG75*c_on*12)+(DG75*(ct_comp10+ca_comp10)*'Time on treatment'!$G$28)</f>
        <v>0</v>
      </c>
    </row>
    <row r="138" spans="2:111">
      <c r="B138" s="87" t="s">
        <v>176</v>
      </c>
      <c r="C138" s="111"/>
      <c r="D138" s="109">
        <f>D76*c_off</f>
        <v>0</v>
      </c>
      <c r="E138" s="109">
        <f>E76*c_off</f>
        <v>0</v>
      </c>
      <c r="F138" s="109">
        <f>F76*c_off</f>
        <v>0</v>
      </c>
      <c r="G138" s="110">
        <f>G76*c_off</f>
        <v>0</v>
      </c>
      <c r="J138" s="87" t="s">
        <v>176</v>
      </c>
      <c r="K138" s="111"/>
      <c r="L138" s="109">
        <f>L76*c_off</f>
        <v>0</v>
      </c>
      <c r="M138" s="109">
        <f>M76*c_off</f>
        <v>0</v>
      </c>
      <c r="N138" s="109">
        <f>N76*c_off</f>
        <v>0</v>
      </c>
      <c r="O138" s="110">
        <f>O76*c_off</f>
        <v>0</v>
      </c>
      <c r="R138" s="87" t="s">
        <v>176</v>
      </c>
      <c r="S138" s="111"/>
      <c r="T138" s="109">
        <f>T76*c_off</f>
        <v>0</v>
      </c>
      <c r="U138" s="109">
        <f>U76*c_off</f>
        <v>0</v>
      </c>
      <c r="V138" s="109">
        <f>V76*c_off</f>
        <v>0</v>
      </c>
      <c r="W138" s="110">
        <f>W76*c_off</f>
        <v>0</v>
      </c>
      <c r="Z138" s="87" t="s">
        <v>176</v>
      </c>
      <c r="AA138" s="111"/>
      <c r="AB138" s="109">
        <f>AB76*c_off</f>
        <v>0</v>
      </c>
      <c r="AC138" s="109">
        <f>AC76*c_off</f>
        <v>0</v>
      </c>
      <c r="AD138" s="109">
        <f>AD76*c_off</f>
        <v>0</v>
      </c>
      <c r="AE138" s="110">
        <f>AE76*c_off</f>
        <v>0</v>
      </c>
      <c r="AH138" s="87" t="s">
        <v>176</v>
      </c>
      <c r="AI138" s="111"/>
      <c r="AJ138" s="109">
        <f>AJ76*c_off</f>
        <v>0</v>
      </c>
      <c r="AK138" s="109">
        <f>AK76*c_off</f>
        <v>0</v>
      </c>
      <c r="AL138" s="109">
        <f>AL76*c_off</f>
        <v>0</v>
      </c>
      <c r="AM138" s="110">
        <f>AM76*c_off</f>
        <v>0</v>
      </c>
      <c r="AP138" s="87" t="s">
        <v>176</v>
      </c>
      <c r="AQ138" s="111"/>
      <c r="AR138" s="109">
        <f>AR76*c_off</f>
        <v>0</v>
      </c>
      <c r="AS138" s="109">
        <f>AS76*c_off</f>
        <v>0</v>
      </c>
      <c r="AT138" s="109">
        <f>AT76*c_off</f>
        <v>0</v>
      </c>
      <c r="AU138" s="110">
        <f>AU76*c_off</f>
        <v>0</v>
      </c>
      <c r="AX138" s="87" t="s">
        <v>176</v>
      </c>
      <c r="AY138" s="111"/>
      <c r="AZ138" s="109">
        <f>AZ76*c_off</f>
        <v>0</v>
      </c>
      <c r="BA138" s="109">
        <f>BA76*c_off</f>
        <v>0</v>
      </c>
      <c r="BB138" s="109">
        <f>BB76*c_off</f>
        <v>0</v>
      </c>
      <c r="BC138" s="110">
        <f>BC76*c_off</f>
        <v>0</v>
      </c>
      <c r="BF138" s="87" t="s">
        <v>176</v>
      </c>
      <c r="BG138" s="111"/>
      <c r="BH138" s="109">
        <f>BH76*c_off</f>
        <v>0</v>
      </c>
      <c r="BI138" s="109">
        <f>BI76*c_off</f>
        <v>0</v>
      </c>
      <c r="BJ138" s="109">
        <f>BJ76*c_off</f>
        <v>0</v>
      </c>
      <c r="BK138" s="110">
        <f>BK76*c_off</f>
        <v>0</v>
      </c>
      <c r="BN138" s="87" t="s">
        <v>176</v>
      </c>
      <c r="BO138" s="111"/>
      <c r="BP138" s="109">
        <f>BP76*c_off</f>
        <v>0</v>
      </c>
      <c r="BQ138" s="109">
        <f>BQ76*c_off</f>
        <v>0</v>
      </c>
      <c r="BR138" s="109">
        <f>BR76*c_off</f>
        <v>0</v>
      </c>
      <c r="BS138" s="110">
        <f>BS76*c_off</f>
        <v>0</v>
      </c>
      <c r="BV138" s="87" t="s">
        <v>176</v>
      </c>
      <c r="BW138" s="111"/>
      <c r="BX138" s="109">
        <f>BX76*c_off</f>
        <v>0</v>
      </c>
      <c r="BY138" s="109">
        <f>BY76*c_off</f>
        <v>0</v>
      </c>
      <c r="BZ138" s="109">
        <f>BZ76*c_off</f>
        <v>0</v>
      </c>
      <c r="CA138" s="110">
        <f>CA76*c_off</f>
        <v>0</v>
      </c>
      <c r="CD138" s="87" t="s">
        <v>176</v>
      </c>
      <c r="CE138" s="111"/>
      <c r="CF138" s="109">
        <f>CF76*c_off</f>
        <v>0</v>
      </c>
      <c r="CG138" s="109">
        <f>CG76*c_off</f>
        <v>0</v>
      </c>
      <c r="CH138" s="109">
        <f>CH76*c_off</f>
        <v>0</v>
      </c>
      <c r="CI138" s="110">
        <f>CI76*c_off</f>
        <v>0</v>
      </c>
      <c r="CL138" s="87" t="s">
        <v>176</v>
      </c>
      <c r="CM138" s="111"/>
      <c r="CN138" s="109">
        <f>CN76*c_off</f>
        <v>0</v>
      </c>
      <c r="CO138" s="109">
        <f>CO76*c_off</f>
        <v>0</v>
      </c>
      <c r="CP138" s="109">
        <f>CP76*c_off</f>
        <v>0</v>
      </c>
      <c r="CQ138" s="110">
        <f>CQ76*c_off</f>
        <v>0</v>
      </c>
      <c r="CT138" s="87" t="s">
        <v>176</v>
      </c>
      <c r="CU138" s="111"/>
      <c r="CV138" s="109">
        <f>CV76*c_off</f>
        <v>0</v>
      </c>
      <c r="CW138" s="109">
        <f>CW76*c_off</f>
        <v>0</v>
      </c>
      <c r="CX138" s="109">
        <f>CX76*c_off</f>
        <v>0</v>
      </c>
      <c r="CY138" s="110">
        <f>CY76*c_off</f>
        <v>0</v>
      </c>
      <c r="DB138" s="87" t="s">
        <v>176</v>
      </c>
      <c r="DC138" s="111"/>
      <c r="DD138" s="109">
        <f>DD76*c_off</f>
        <v>0</v>
      </c>
      <c r="DE138" s="109">
        <f>DE76*c_off</f>
        <v>0</v>
      </c>
      <c r="DF138" s="109">
        <f>DF76*c_off</f>
        <v>0</v>
      </c>
      <c r="DG138" s="110">
        <f>DG76*c_off</f>
        <v>0</v>
      </c>
    </row>
    <row r="139" spans="2:111">
      <c r="B139" s="87" t="s">
        <v>172</v>
      </c>
      <c r="C139" s="111"/>
      <c r="D139" s="111"/>
      <c r="E139" s="109">
        <f ca="1">(E77*c_inicial)+(E77*c_on*12)+(E77*ci_int1)+(E77*(ct_int1+ca_int1)*'Time on treatment'!$D$12)</f>
        <v>310162.27888261637</v>
      </c>
      <c r="F139" s="109">
        <f ca="1">(F77*c_on*12)+(F77*(ct_int1+ca_int1)*'Time on treatment'!$E$12)</f>
        <v>310162.27888261637</v>
      </c>
      <c r="G139" s="110">
        <f ca="1">(G77*c_on*12)+(G77*(ct_int1+ca_int1)*'Time on treatment'!$F$12)</f>
        <v>310162.27888261637</v>
      </c>
      <c r="J139" s="87" t="s">
        <v>172</v>
      </c>
      <c r="K139" s="111"/>
      <c r="L139" s="111"/>
      <c r="M139" s="109">
        <f ca="1">(M77*c_inicial)+(M77*c_on*12)+(M77*ci_int2)+(M77*(ct_int2+ca_int2)*'Time on treatment'!$D$13)</f>
        <v>617268.36487078341</v>
      </c>
      <c r="N139" s="109">
        <f ca="1">(N77*c_on*12)+(N77*(ct_int2+ca_int2)*'Time on treatment'!$E$13)</f>
        <v>617268.36487078341</v>
      </c>
      <c r="O139" s="110">
        <f ca="1">(O77*c_on*12)+(O77*(ct_int2+ca_int2)*'Time on treatment'!$F$13)</f>
        <v>617268.36487078341</v>
      </c>
      <c r="R139" s="87" t="s">
        <v>172</v>
      </c>
      <c r="S139" s="111"/>
      <c r="T139" s="111"/>
      <c r="U139" s="109">
        <f ca="1">(U77*c_inicial)+(U77*c_on*12)+(U77*ci_int3)+(U77*(ct_int3+ca_int3)*'Time on treatment'!$D$14)</f>
        <v>0</v>
      </c>
      <c r="V139" s="109">
        <f ca="1">(V77*c_on*12)+(V77*(ct_int3+ca_int3)*'Time on treatment'!$E$14)</f>
        <v>0</v>
      </c>
      <c r="W139" s="110">
        <f ca="1">(W77*c_on*12)+(W77*(ct_int3+ca_int3)*'Time on treatment'!$F$14)</f>
        <v>0</v>
      </c>
      <c r="Z139" s="87" t="s">
        <v>172</v>
      </c>
      <c r="AA139" s="111"/>
      <c r="AB139" s="111"/>
      <c r="AC139" s="109">
        <f ca="1">(AC77*c_inicial)+(AC77*c_on*12)+(AC77*ci_int4)+(AC77*(ct_int4+ca_int4)*'Time on treatment'!$D$15)</f>
        <v>0</v>
      </c>
      <c r="AD139" s="109">
        <f ca="1">(AD77*c_on*12)+(AD77*(ct_int4+ca_int4)*'Time on treatment'!$E$15)</f>
        <v>0</v>
      </c>
      <c r="AE139" s="110">
        <f ca="1">(AE77*c_on*12)+(AE77*(ct_int4+ca_int4)*'Time on treatment'!$F$15)</f>
        <v>0</v>
      </c>
      <c r="AH139" s="87" t="s">
        <v>172</v>
      </c>
      <c r="AI139" s="111"/>
      <c r="AJ139" s="111"/>
      <c r="AK139" s="109">
        <f ca="1">(AK77*c_inicial)+(AK77*c_on*12)+(AK77*ci_comp1)+(AK77*(ct_comp1+ca_comp1)*'Time on treatment'!$D$19)</f>
        <v>8014.5807059975359</v>
      </c>
      <c r="AL139" s="109">
        <f ca="1">(AL77*c_on*12)+(AL77*(ct_comp1+ca_comp1)*'Time on treatment'!$E$19)</f>
        <v>8014.5807059975359</v>
      </c>
      <c r="AM139" s="110">
        <f ca="1">(AM77*c_on*12)+(AM77*(ct_comp1+ca_comp1)*'Time on treatment'!$F$19)</f>
        <v>8014.5807059975359</v>
      </c>
      <c r="AP139" s="87" t="s">
        <v>172</v>
      </c>
      <c r="AQ139" s="111"/>
      <c r="AR139" s="111"/>
      <c r="AS139" s="109">
        <f ca="1">(AS77*c_inicial)+(AS77*c_on*12)+(AS77*ci_comp2)+(AS77*(ct_comp2+ca_comp2)*'Time on treatment'!$D$20)</f>
        <v>60298.170467610464</v>
      </c>
      <c r="AT139" s="109">
        <f ca="1">(AT77*c_on*12)+(AT77*(ct_comp2+ca_comp2)*'Time on treatment'!$E$20)</f>
        <v>60298.170467610464</v>
      </c>
      <c r="AU139" s="110">
        <f ca="1">(AU77*c_on*12)+(AU77*(ct_comp2+ca_comp2)*'Time on treatment'!$F$20)</f>
        <v>60298.170467610464</v>
      </c>
      <c r="AX139" s="87" t="s">
        <v>172</v>
      </c>
      <c r="AY139" s="111"/>
      <c r="AZ139" s="111"/>
      <c r="BA139" s="109">
        <f ca="1">(BA77*c_inicial)+(BA77*c_on*12)+(BA77*ci_comp3)+(BA77*(ct_comp3+ca_comp3)*'Time on treatment'!$D$21)</f>
        <v>331992.14738359553</v>
      </c>
      <c r="BB139" s="109">
        <f ca="1">(BB77*c_on*12)+(BB77*(ct_comp3+ca_comp3)*'Time on treatment'!$E$21)</f>
        <v>331992.14738359553</v>
      </c>
      <c r="BC139" s="110">
        <f ca="1">(BC77*c_on*12)+(BC77*(ct_comp3+ca_comp3)*'Time on treatment'!$F$21)</f>
        <v>331992.14738359553</v>
      </c>
      <c r="BF139" s="87" t="s">
        <v>172</v>
      </c>
      <c r="BG139" s="111"/>
      <c r="BH139" s="111"/>
      <c r="BI139" s="109">
        <f ca="1">(BI77*c_inicial)+(BI77*c_on*12)+(BI77*ci_comp4)+(BI77*(ct_comp4+ca_comp4)*'Time on treatment'!$D$22)</f>
        <v>63272.369648304739</v>
      </c>
      <c r="BJ139" s="109">
        <f ca="1">(BJ77*c_on*12)+(BJ77*(ct_comp4+ca_comp4)*'Time on treatment'!$E$22)</f>
        <v>63272.369648304739</v>
      </c>
      <c r="BK139" s="110">
        <f ca="1">(BK77*c_on*12)+(BK77*(ct_comp4+ca_comp4)*'Time on treatment'!$F$22)</f>
        <v>63272.369648304739</v>
      </c>
      <c r="BN139" s="87" t="s">
        <v>172</v>
      </c>
      <c r="BO139" s="111"/>
      <c r="BP139" s="111"/>
      <c r="BQ139" s="109">
        <f ca="1">(BQ77*c_inicial)+(BQ77*c_on*12)+(BQ77*ci_comp5)+(BQ77*(ct_comp5+ca_comp5)*'Time on treatment'!$D$23)</f>
        <v>8193.3899937140486</v>
      </c>
      <c r="BR139" s="109">
        <f ca="1">(BR77*c_on*12)+(BR77*(ct_comp5+ca_comp5)*'Time on treatment'!$E$23)</f>
        <v>8193.3899937140486</v>
      </c>
      <c r="BS139" s="110">
        <f ca="1">(BS77*c_on*12)+(BS77*(ct_comp5+ca_comp5)*'Time on treatment'!$F$23)</f>
        <v>8193.3899937140486</v>
      </c>
      <c r="BV139" s="87" t="s">
        <v>172</v>
      </c>
      <c r="BW139" s="111"/>
      <c r="BX139" s="111"/>
      <c r="BY139" s="109">
        <f ca="1">(BY77*c_inicial)+(BY77*c_on*12)+(BY77*ci_comp6)+(BY77*(ct_comp6+ca_comp6)*'Time on treatment'!$D$24)</f>
        <v>235.2446189156033</v>
      </c>
      <c r="BZ139" s="109">
        <f ca="1">(BZ77*c_on*12)+(BZ77*(ct_comp6+ca_comp6)*'Time on treatment'!$E$24)</f>
        <v>235.2446189156033</v>
      </c>
      <c r="CA139" s="110">
        <f ca="1">(CA77*c_on*12)+(CA77*(ct_comp6+ca_comp6)*'Time on treatment'!$F$24)</f>
        <v>235.2446189156033</v>
      </c>
      <c r="CD139" s="87" t="s">
        <v>172</v>
      </c>
      <c r="CE139" s="111"/>
      <c r="CF139" s="111"/>
      <c r="CG139" s="109">
        <f ca="1">(CG77*c_inicial)+(CG77*c_on*12)+(CG77*ci_comp7)+(CG77*(ct_comp7+ca_comp7)*'Time on treatment'!$D$25)</f>
        <v>16986.549402188233</v>
      </c>
      <c r="CH139" s="109">
        <f ca="1">(CH77*c_on*12)+(CH77*(ct_comp7+ca_comp7)*'Time on treatment'!$E$25)</f>
        <v>16986.549402188233</v>
      </c>
      <c r="CI139" s="110">
        <f ca="1">(CI77*c_on*12)+(CI77*(ct_comp7+ca_comp7)*'Time on treatment'!$F$25)</f>
        <v>16986.549402188233</v>
      </c>
      <c r="CL139" s="87" t="s">
        <v>172</v>
      </c>
      <c r="CM139" s="111"/>
      <c r="CN139" s="111"/>
      <c r="CO139" s="109">
        <f ca="1">(CO77*c_inicial)+(CO77*c_on*12)+(CO77*ci_comp8)+(CO77*(ct_comp8+ca_comp8)*'Time on treatment'!$D$26)</f>
        <v>72785.75197388338</v>
      </c>
      <c r="CP139" s="109">
        <f ca="1">(CP77*c_on*12)+(CP77*(ct_comp8+ca_comp8)*'Time on treatment'!$E$26)</f>
        <v>72785.75197388338</v>
      </c>
      <c r="CQ139" s="110">
        <f ca="1">(CQ77*c_on*12)+(CQ77*(ct_comp8+ca_comp8)*'Time on treatment'!$F$26)</f>
        <v>72785.75197388338</v>
      </c>
      <c r="CT139" s="87" t="s">
        <v>172</v>
      </c>
      <c r="CU139" s="111"/>
      <c r="CV139" s="111"/>
      <c r="CW139" s="109">
        <f ca="1">(CW77*c_inicial)+(CW77*c_on*12)+(CW77*ci_comp9)+(CW77*(ct_comp9+ca_comp9)*'Time on treatment'!$D$27)</f>
        <v>155194.29413644708</v>
      </c>
      <c r="CX139" s="109">
        <f ca="1">(CX77*c_on*12)+(CX77*(ct_comp9+ca_comp9)*'Time on treatment'!$E$27)</f>
        <v>155194.29413644708</v>
      </c>
      <c r="CY139" s="110">
        <f ca="1">(CY77*c_on*12)+(CY77*(ct_comp9+ca_comp9)*'Time on treatment'!$F$27)</f>
        <v>155194.29413644708</v>
      </c>
      <c r="DB139" s="87" t="s">
        <v>172</v>
      </c>
      <c r="DC139" s="111"/>
      <c r="DD139" s="111"/>
      <c r="DE139" s="109">
        <f ca="1">(DE77*c_inicial)+(DE77*c_on*12)+(DE77*ci_comp10)+(DE77*(ct_comp10+ca_comp10)*'Time on treatment'!$D$28)</f>
        <v>0</v>
      </c>
      <c r="DF139" s="109">
        <f ca="1">(DF77*c_on*12)+(DF77*(ct_comp10+ca_comp10)*'Time on treatment'!$E$28)</f>
        <v>0</v>
      </c>
      <c r="DG139" s="110">
        <f ca="1">(DG77*c_on*12)+(DG77*(ct_comp10+ca_comp10)*'Time on treatment'!$F$28)</f>
        <v>0</v>
      </c>
    </row>
    <row r="140" spans="2:111">
      <c r="B140" s="87" t="s">
        <v>177</v>
      </c>
      <c r="C140" s="111"/>
      <c r="D140" s="111"/>
      <c r="E140" s="109">
        <f>E78*c_off</f>
        <v>0</v>
      </c>
      <c r="F140" s="109">
        <f>F78*c_off</f>
        <v>0</v>
      </c>
      <c r="G140" s="110">
        <f>G78*c_off</f>
        <v>0</v>
      </c>
      <c r="J140" s="87" t="s">
        <v>177</v>
      </c>
      <c r="K140" s="111"/>
      <c r="L140" s="111"/>
      <c r="M140" s="109">
        <f>M78*c_off</f>
        <v>0</v>
      </c>
      <c r="N140" s="109">
        <f>N78*c_off</f>
        <v>0</v>
      </c>
      <c r="O140" s="110">
        <f>O78*c_off</f>
        <v>0</v>
      </c>
      <c r="R140" s="87" t="s">
        <v>177</v>
      </c>
      <c r="S140" s="111"/>
      <c r="T140" s="111"/>
      <c r="U140" s="109">
        <f>U78*c_off</f>
        <v>0</v>
      </c>
      <c r="V140" s="109">
        <f>V78*c_off</f>
        <v>0</v>
      </c>
      <c r="W140" s="110">
        <f>W78*c_off</f>
        <v>0</v>
      </c>
      <c r="Z140" s="87" t="s">
        <v>177</v>
      </c>
      <c r="AA140" s="111"/>
      <c r="AB140" s="111"/>
      <c r="AC140" s="109">
        <f>AC78*c_off</f>
        <v>0</v>
      </c>
      <c r="AD140" s="109">
        <f>AD78*c_off</f>
        <v>0</v>
      </c>
      <c r="AE140" s="110">
        <f>AE78*c_off</f>
        <v>0</v>
      </c>
      <c r="AH140" s="87" t="s">
        <v>177</v>
      </c>
      <c r="AI140" s="111"/>
      <c r="AJ140" s="111"/>
      <c r="AK140" s="109">
        <f>AK78*c_off</f>
        <v>0</v>
      </c>
      <c r="AL140" s="109">
        <f>AL78*c_off</f>
        <v>0</v>
      </c>
      <c r="AM140" s="110">
        <f>AM78*c_off</f>
        <v>0</v>
      </c>
      <c r="AP140" s="87" t="s">
        <v>177</v>
      </c>
      <c r="AQ140" s="111"/>
      <c r="AR140" s="111"/>
      <c r="AS140" s="109">
        <f>AS78*c_off</f>
        <v>0</v>
      </c>
      <c r="AT140" s="109">
        <f>AT78*c_off</f>
        <v>0</v>
      </c>
      <c r="AU140" s="110">
        <f>AU78*c_off</f>
        <v>0</v>
      </c>
      <c r="AX140" s="87" t="s">
        <v>177</v>
      </c>
      <c r="AY140" s="111"/>
      <c r="AZ140" s="111"/>
      <c r="BA140" s="109">
        <f>BA78*c_off</f>
        <v>0</v>
      </c>
      <c r="BB140" s="109">
        <f>BB78*c_off</f>
        <v>0</v>
      </c>
      <c r="BC140" s="110">
        <f>BC78*c_off</f>
        <v>0</v>
      </c>
      <c r="BF140" s="87" t="s">
        <v>177</v>
      </c>
      <c r="BG140" s="111"/>
      <c r="BH140" s="111"/>
      <c r="BI140" s="109">
        <f>BI78*c_off</f>
        <v>0</v>
      </c>
      <c r="BJ140" s="109">
        <f>BJ78*c_off</f>
        <v>0</v>
      </c>
      <c r="BK140" s="110">
        <f>BK78*c_off</f>
        <v>0</v>
      </c>
      <c r="BN140" s="87" t="s">
        <v>177</v>
      </c>
      <c r="BO140" s="111"/>
      <c r="BP140" s="111"/>
      <c r="BQ140" s="109">
        <f>BQ78*c_off</f>
        <v>0</v>
      </c>
      <c r="BR140" s="109">
        <f>BR78*c_off</f>
        <v>0</v>
      </c>
      <c r="BS140" s="110">
        <f>BS78*c_off</f>
        <v>0</v>
      </c>
      <c r="BV140" s="87" t="s">
        <v>177</v>
      </c>
      <c r="BW140" s="111"/>
      <c r="BX140" s="111"/>
      <c r="BY140" s="109">
        <f>BY78*c_off</f>
        <v>0</v>
      </c>
      <c r="BZ140" s="109">
        <f>BZ78*c_off</f>
        <v>0</v>
      </c>
      <c r="CA140" s="110">
        <f>CA78*c_off</f>
        <v>0</v>
      </c>
      <c r="CD140" s="87" t="s">
        <v>177</v>
      </c>
      <c r="CE140" s="111"/>
      <c r="CF140" s="111"/>
      <c r="CG140" s="109">
        <f>CG78*c_off</f>
        <v>0</v>
      </c>
      <c r="CH140" s="109">
        <f>CH78*c_off</f>
        <v>0</v>
      </c>
      <c r="CI140" s="110">
        <f>CI78*c_off</f>
        <v>0</v>
      </c>
      <c r="CL140" s="87" t="s">
        <v>177</v>
      </c>
      <c r="CM140" s="111"/>
      <c r="CN140" s="111"/>
      <c r="CO140" s="109">
        <f>CO78*c_off</f>
        <v>0</v>
      </c>
      <c r="CP140" s="109">
        <f>CP78*c_off</f>
        <v>0</v>
      </c>
      <c r="CQ140" s="110">
        <f>CQ78*c_off</f>
        <v>0</v>
      </c>
      <c r="CT140" s="87" t="s">
        <v>177</v>
      </c>
      <c r="CU140" s="111"/>
      <c r="CV140" s="111"/>
      <c r="CW140" s="109">
        <f>CW78*c_off</f>
        <v>0</v>
      </c>
      <c r="CX140" s="109">
        <f>CX78*c_off</f>
        <v>0</v>
      </c>
      <c r="CY140" s="110">
        <f>CY78*c_off</f>
        <v>0</v>
      </c>
      <c r="DB140" s="87" t="s">
        <v>177</v>
      </c>
      <c r="DC140" s="111"/>
      <c r="DD140" s="111"/>
      <c r="DE140" s="109">
        <f>DE78*c_off</f>
        <v>0</v>
      </c>
      <c r="DF140" s="109">
        <f>DF78*c_off</f>
        <v>0</v>
      </c>
      <c r="DG140" s="110">
        <f>DG78*c_off</f>
        <v>0</v>
      </c>
    </row>
    <row r="141" spans="2:111">
      <c r="B141" s="87" t="s">
        <v>173</v>
      </c>
      <c r="C141" s="111"/>
      <c r="D141" s="111"/>
      <c r="E141" s="111"/>
      <c r="F141" s="109">
        <f ca="1">(F79*c_inicial)+(F79*c_on*12)+(F79*ci_int1)+(F79*(ct_int1+ca_int1)*'Time on treatment'!$D$12)</f>
        <v>414532.4128800123</v>
      </c>
      <c r="G141" s="110">
        <f ca="1">(G79*c_on*12)+(G79*(ct_int1+ca_int1)*'Time on treatment'!$E$12)</f>
        <v>414532.4128800123</v>
      </c>
      <c r="J141" s="87" t="s">
        <v>173</v>
      </c>
      <c r="K141" s="111"/>
      <c r="L141" s="111"/>
      <c r="M141" s="111"/>
      <c r="N141" s="109">
        <f ca="1">(N79*c_inicial)+(N79*c_on*12)+(N79*ci_int2)+(N79*(ct_int2+ca_int2)*'Time on treatment'!$D$13)</f>
        <v>824980.21876227215</v>
      </c>
      <c r="O141" s="110">
        <f ca="1">(O79*c_on*12)+(O79*(ct_int2+ca_int2)*'Time on treatment'!$E$13)</f>
        <v>824980.21876227215</v>
      </c>
      <c r="R141" s="87" t="s">
        <v>173</v>
      </c>
      <c r="S141" s="111"/>
      <c r="T141" s="111"/>
      <c r="U141" s="111"/>
      <c r="V141" s="109">
        <f ca="1">(V79*c_inicial)+(V79*c_on*12)+(V79*ci_int3)+(V79*(ct_int3+ca_int3)*'Time on treatment'!$D$14)</f>
        <v>0</v>
      </c>
      <c r="W141" s="110">
        <f ca="1">(W79*c_on*12)+(W79*(ct_int3+ca_int3)*'Time on treatment'!$E$14)</f>
        <v>0</v>
      </c>
      <c r="Z141" s="87" t="s">
        <v>173</v>
      </c>
      <c r="AA141" s="111"/>
      <c r="AB141" s="111"/>
      <c r="AC141" s="111"/>
      <c r="AD141" s="109">
        <f ca="1">(AD79*c_inicial)+(AD79*c_on*12)+(AD79*ci_int4)+(AD79*(ct_int4+ca_int4)*'Time on treatment'!$D$15)</f>
        <v>0</v>
      </c>
      <c r="AE141" s="110">
        <f ca="1">(AE79*c_on*12)+(AE79*(ct_int4+ca_int4)*'Time on treatment'!$E$15)</f>
        <v>0</v>
      </c>
      <c r="AH141" s="87" t="s">
        <v>173</v>
      </c>
      <c r="AI141" s="111"/>
      <c r="AJ141" s="111"/>
      <c r="AK141" s="111"/>
      <c r="AL141" s="109">
        <f ca="1">(AL79*c_inicial)+(AL79*c_on*12)+(AL79*ci_comp1)+(AL79*(ct_comp1+ca_comp1)*'Time on treatment'!$D$19)</f>
        <v>6885.9647583351853</v>
      </c>
      <c r="AM141" s="110">
        <f ca="1">(AM79*c_on*12)+(AM79*(ct_comp1+ca_comp1)*'Time on treatment'!$E$19)</f>
        <v>6885.9647583351853</v>
      </c>
      <c r="AP141" s="87" t="s">
        <v>173</v>
      </c>
      <c r="AQ141" s="111"/>
      <c r="AR141" s="111"/>
      <c r="AS141" s="111"/>
      <c r="AT141" s="109">
        <f ca="1">(AT79*c_inicial)+(AT79*c_on*12)+(AT79*ci_comp2)+(AT79*(ct_comp2+ca_comp2)*'Time on treatment'!$D$20)</f>
        <v>51806.961844097335</v>
      </c>
      <c r="AU141" s="110">
        <f ca="1">(AU79*c_on*12)+(AU79*(ct_comp2+ca_comp2)*'Time on treatment'!$E$20)</f>
        <v>51806.961844097335</v>
      </c>
      <c r="AX141" s="87" t="s">
        <v>173</v>
      </c>
      <c r="AY141" s="111"/>
      <c r="AZ141" s="111"/>
      <c r="BA141" s="111"/>
      <c r="BB141" s="109">
        <f ca="1">(BB79*c_inicial)+(BB79*c_on*12)+(BB79*ci_comp3)+(BB79*(ct_comp3+ca_comp3)*'Time on treatment'!$D$21)</f>
        <v>285240.9016502531</v>
      </c>
      <c r="BC141" s="110">
        <f ca="1">(BC79*c_on*12)+(BC79*(ct_comp3+ca_comp3)*'Time on treatment'!$E$21)</f>
        <v>285240.9016502531</v>
      </c>
      <c r="BF141" s="87" t="s">
        <v>173</v>
      </c>
      <c r="BG141" s="111"/>
      <c r="BH141" s="111"/>
      <c r="BI141" s="111"/>
      <c r="BJ141" s="109">
        <f ca="1">(BJ79*c_inicial)+(BJ79*c_on*12)+(BJ79*ci_comp4)+(BJ79*(ct_comp4+ca_comp4)*'Time on treatment'!$D$22)</f>
        <v>54362.333296930068</v>
      </c>
      <c r="BK141" s="110">
        <f ca="1">(BK79*c_on*12)+(BK79*(ct_comp4+ca_comp4)*'Time on treatment'!$E$22)</f>
        <v>54362.333296930068</v>
      </c>
      <c r="BN141" s="87" t="s">
        <v>173</v>
      </c>
      <c r="BO141" s="111"/>
      <c r="BP141" s="111"/>
      <c r="BQ141" s="111"/>
      <c r="BR141" s="109">
        <f ca="1">(BR79*c_inicial)+(BR79*c_on*12)+(BR79*ci_comp5)+(BR79*(ct_comp5+ca_comp5)*'Time on treatment'!$D$23)</f>
        <v>8212.8597390947707</v>
      </c>
      <c r="BS141" s="110">
        <f ca="1">(BS79*c_on*12)+(BS79*(ct_comp5+ca_comp5)*'Time on treatment'!$E$23)</f>
        <v>8212.8597390947707</v>
      </c>
      <c r="BV141" s="87" t="s">
        <v>173</v>
      </c>
      <c r="BW141" s="111"/>
      <c r="BX141" s="111"/>
      <c r="BY141" s="111"/>
      <c r="BZ141" s="109">
        <f ca="1">(BZ79*c_inicial)+(BZ79*c_on*12)+(BZ79*ci_comp6)+(BZ79*(ct_comp6+ca_comp6)*'Time on treatment'!$D$24)</f>
        <v>202.11739264521083</v>
      </c>
      <c r="CA141" s="110">
        <f ca="1">(CA79*c_on*12)+(CA79*(ct_comp6+ca_comp6)*'Time on treatment'!$E$24)</f>
        <v>202.11739264521083</v>
      </c>
      <c r="CD141" s="87" t="s">
        <v>173</v>
      </c>
      <c r="CE141" s="111"/>
      <c r="CF141" s="111"/>
      <c r="CG141" s="111"/>
      <c r="CH141" s="109">
        <f ca="1">(CH79*c_inicial)+(CH79*c_on*12)+(CH79*ci_comp7)+(CH79*(ct_comp7+ca_comp7)*'Time on treatment'!$D$25)</f>
        <v>14594.497808432665</v>
      </c>
      <c r="CI141" s="110">
        <f ca="1">(CI79*c_on*12)+(CI79*(ct_comp7+ca_comp7)*'Time on treatment'!$E$25)</f>
        <v>14594.497808432665</v>
      </c>
      <c r="CL141" s="87" t="s">
        <v>173</v>
      </c>
      <c r="CM141" s="111"/>
      <c r="CN141" s="111"/>
      <c r="CO141" s="111"/>
      <c r="CP141" s="109">
        <f ca="1">(CP79*c_inicial)+(CP79*c_on*12)+(CP79*ci_comp8)+(CP79*(ct_comp8+ca_comp8)*'Time on treatment'!$D$26)</f>
        <v>62536.037927227349</v>
      </c>
      <c r="CQ141" s="110">
        <f ca="1">(CQ79*c_on*12)+(CQ79*(ct_comp8+ca_comp8)*'Time on treatment'!$E$26)</f>
        <v>62536.037927227349</v>
      </c>
      <c r="CT141" s="87" t="s">
        <v>173</v>
      </c>
      <c r="CU141" s="111"/>
      <c r="CV141" s="111"/>
      <c r="CW141" s="111"/>
      <c r="CX141" s="109">
        <f ca="1">(CX79*c_inicial)+(CX79*c_on*12)+(CX79*ci_comp9)+(CX79*(ct_comp9+ca_comp9)*'Time on treatment'!$D$27)</f>
        <v>133304.53770858003</v>
      </c>
      <c r="CY141" s="110">
        <f ca="1">(CY79*c_on*12)+(CY79*(ct_comp9+ca_comp9)*'Time on treatment'!$E$27)</f>
        <v>133304.53770858003</v>
      </c>
      <c r="DB141" s="87" t="s">
        <v>173</v>
      </c>
      <c r="DC141" s="111"/>
      <c r="DD141" s="111"/>
      <c r="DE141" s="111"/>
      <c r="DF141" s="109">
        <f ca="1">(DF79*c_inicial)+(DF79*c_on*12)+(DF79*ci_comp10)+(DF79*(ct_comp10+ca_comp10)*'Time on treatment'!$D$28)</f>
        <v>0</v>
      </c>
      <c r="DG141" s="110">
        <f ca="1">(DG79*c_on*12)+(DG79*(ct_comp10+ca_comp10)*'Time on treatment'!$E$28)</f>
        <v>0</v>
      </c>
    </row>
    <row r="142" spans="2:111">
      <c r="B142" s="87" t="s">
        <v>178</v>
      </c>
      <c r="C142" s="111"/>
      <c r="D142" s="111"/>
      <c r="E142" s="111"/>
      <c r="F142" s="109">
        <f>F80*c_off</f>
        <v>0</v>
      </c>
      <c r="G142" s="110">
        <f>G80*c_off</f>
        <v>0</v>
      </c>
      <c r="J142" s="87" t="s">
        <v>178</v>
      </c>
      <c r="K142" s="111"/>
      <c r="L142" s="111"/>
      <c r="M142" s="111"/>
      <c r="N142" s="109">
        <f>N80*c_off</f>
        <v>0</v>
      </c>
      <c r="O142" s="110">
        <f>O80*c_off</f>
        <v>0</v>
      </c>
      <c r="R142" s="87" t="s">
        <v>178</v>
      </c>
      <c r="S142" s="111"/>
      <c r="T142" s="111"/>
      <c r="U142" s="111"/>
      <c r="V142" s="109">
        <f>V80*c_off</f>
        <v>0</v>
      </c>
      <c r="W142" s="110">
        <f>W80*c_off</f>
        <v>0</v>
      </c>
      <c r="Z142" s="87" t="s">
        <v>178</v>
      </c>
      <c r="AA142" s="111"/>
      <c r="AB142" s="111"/>
      <c r="AC142" s="111"/>
      <c r="AD142" s="109">
        <f>AD80*c_off</f>
        <v>0</v>
      </c>
      <c r="AE142" s="110">
        <f>AE80*c_off</f>
        <v>0</v>
      </c>
      <c r="AH142" s="87" t="s">
        <v>178</v>
      </c>
      <c r="AI142" s="111"/>
      <c r="AJ142" s="111"/>
      <c r="AK142" s="111"/>
      <c r="AL142" s="109">
        <f>AL80*c_off</f>
        <v>0</v>
      </c>
      <c r="AM142" s="110">
        <f>AM80*c_off</f>
        <v>0</v>
      </c>
      <c r="AP142" s="87" t="s">
        <v>178</v>
      </c>
      <c r="AQ142" s="111"/>
      <c r="AR142" s="111"/>
      <c r="AS142" s="111"/>
      <c r="AT142" s="109">
        <f>AT80*c_off</f>
        <v>0</v>
      </c>
      <c r="AU142" s="110">
        <f>AU80*c_off</f>
        <v>0</v>
      </c>
      <c r="AX142" s="87" t="s">
        <v>178</v>
      </c>
      <c r="AY142" s="111"/>
      <c r="AZ142" s="111"/>
      <c r="BA142" s="111"/>
      <c r="BB142" s="109">
        <f>BB80*c_off</f>
        <v>0</v>
      </c>
      <c r="BC142" s="110">
        <f>BC80*c_off</f>
        <v>0</v>
      </c>
      <c r="BF142" s="87" t="s">
        <v>178</v>
      </c>
      <c r="BG142" s="111"/>
      <c r="BH142" s="111"/>
      <c r="BI142" s="111"/>
      <c r="BJ142" s="109">
        <f>BJ80*c_off</f>
        <v>0</v>
      </c>
      <c r="BK142" s="110">
        <f>BK80*c_off</f>
        <v>0</v>
      </c>
      <c r="BN142" s="87" t="s">
        <v>178</v>
      </c>
      <c r="BO142" s="111"/>
      <c r="BP142" s="111"/>
      <c r="BQ142" s="111"/>
      <c r="BR142" s="109">
        <f>BR80*c_off</f>
        <v>0</v>
      </c>
      <c r="BS142" s="110">
        <f>BS80*c_off</f>
        <v>0</v>
      </c>
      <c r="BV142" s="87" t="s">
        <v>178</v>
      </c>
      <c r="BW142" s="111"/>
      <c r="BX142" s="111"/>
      <c r="BY142" s="111"/>
      <c r="BZ142" s="109">
        <f>BZ80*c_off</f>
        <v>0</v>
      </c>
      <c r="CA142" s="110">
        <f>CA80*c_off</f>
        <v>0</v>
      </c>
      <c r="CD142" s="87" t="s">
        <v>178</v>
      </c>
      <c r="CE142" s="111"/>
      <c r="CF142" s="111"/>
      <c r="CG142" s="111"/>
      <c r="CH142" s="109">
        <f>CH80*c_off</f>
        <v>0</v>
      </c>
      <c r="CI142" s="110">
        <f>CI80*c_off</f>
        <v>0</v>
      </c>
      <c r="CL142" s="87" t="s">
        <v>178</v>
      </c>
      <c r="CM142" s="111"/>
      <c r="CN142" s="111"/>
      <c r="CO142" s="111"/>
      <c r="CP142" s="109">
        <f>CP80*c_off</f>
        <v>0</v>
      </c>
      <c r="CQ142" s="110">
        <f>CQ80*c_off</f>
        <v>0</v>
      </c>
      <c r="CT142" s="87" t="s">
        <v>178</v>
      </c>
      <c r="CU142" s="111"/>
      <c r="CV142" s="111"/>
      <c r="CW142" s="111"/>
      <c r="CX142" s="109">
        <f>CX80*c_off</f>
        <v>0</v>
      </c>
      <c r="CY142" s="110">
        <f>CY80*c_off</f>
        <v>0</v>
      </c>
      <c r="DB142" s="87" t="s">
        <v>178</v>
      </c>
      <c r="DC142" s="111"/>
      <c r="DD142" s="111"/>
      <c r="DE142" s="111"/>
      <c r="DF142" s="109">
        <f>DF80*c_off</f>
        <v>0</v>
      </c>
      <c r="DG142" s="110">
        <f>DG80*c_off</f>
        <v>0</v>
      </c>
    </row>
    <row r="143" spans="2:111">
      <c r="B143" s="87" t="s">
        <v>174</v>
      </c>
      <c r="C143" s="111"/>
      <c r="D143" s="111"/>
      <c r="E143" s="111"/>
      <c r="F143" s="111"/>
      <c r="G143" s="110">
        <f ca="1">(G81*c_inicial)+(G81*c_on*12)+(G81*ci_int1)+(G81*(ct_int1+ca_int1)*'Time on treatment'!$D$12)</f>
        <v>521003.48058804998</v>
      </c>
      <c r="J143" s="87" t="s">
        <v>174</v>
      </c>
      <c r="K143" s="111"/>
      <c r="L143" s="111"/>
      <c r="M143" s="111"/>
      <c r="N143" s="111"/>
      <c r="O143" s="110">
        <f ca="1">(O81*c_inicial)+(O81*c_on*12)+(O81*ci_int2)+(O81*(ct_int2+ca_int2)*'Time on treatment'!$D$13)</f>
        <v>1036873.2384645796</v>
      </c>
      <c r="R143" s="87" t="s">
        <v>174</v>
      </c>
      <c r="S143" s="111"/>
      <c r="T143" s="111"/>
      <c r="U143" s="111"/>
      <c r="V143" s="111"/>
      <c r="W143" s="110">
        <f ca="1">(W81*c_inicial)+(W81*c_on*12)+(W81*ci_int3)+(W81*(ct_int3+ca_int3)*'Time on treatment'!$D$14)</f>
        <v>0</v>
      </c>
      <c r="Z143" s="87" t="s">
        <v>174</v>
      </c>
      <c r="AA143" s="111"/>
      <c r="AB143" s="111"/>
      <c r="AC143" s="111"/>
      <c r="AD143" s="111"/>
      <c r="AE143" s="110">
        <f ca="1">(AE81*c_inicial)+(AE81*c_on*12)+(AE81*ci_int4)+(AE81*(ct_int4+ca_int4)*'Time on treatment'!$D$15)</f>
        <v>0</v>
      </c>
      <c r="AH143" s="87" t="s">
        <v>174</v>
      </c>
      <c r="AI143" s="111"/>
      <c r="AJ143" s="111"/>
      <c r="AK143" s="111"/>
      <c r="AL143" s="111"/>
      <c r="AM143" s="110">
        <f ca="1">(AM81*c_inicial)+(AM81*c_on*12)+(AM81*ci_comp1)+(AM81*(ct_comp1+ca_comp1)*'Time on treatment'!$D$19)</f>
        <v>5769.732345534303</v>
      </c>
      <c r="AP143" s="87" t="s">
        <v>174</v>
      </c>
      <c r="AQ143" s="111"/>
      <c r="AR143" s="111"/>
      <c r="AS143" s="111"/>
      <c r="AT143" s="111"/>
      <c r="AU143" s="110">
        <f ca="1">(AU81*c_inicial)+(AU81*c_on*12)+(AU81*ci_comp2)+(AU81*(ct_comp2+ca_comp2)*'Time on treatment'!$D$20)</f>
        <v>43408.921475226627</v>
      </c>
      <c r="AX143" s="87" t="s">
        <v>174</v>
      </c>
      <c r="AY143" s="111"/>
      <c r="AZ143" s="111"/>
      <c r="BA143" s="111"/>
      <c r="BB143" s="111"/>
      <c r="BC143" s="110">
        <f ca="1">(BC81*c_inicial)+(BC81*c_on*12)+(BC81*ci_comp3)+(BC81*(ct_comp3+ca_comp3)*'Time on treatment'!$D$21)</f>
        <v>239002.62552588631</v>
      </c>
      <c r="BF143" s="87" t="s">
        <v>174</v>
      </c>
      <c r="BG143" s="111"/>
      <c r="BH143" s="111"/>
      <c r="BI143" s="111"/>
      <c r="BJ143" s="111"/>
      <c r="BK143" s="110">
        <f ca="1">(BK81*c_inicial)+(BK81*c_on*12)+(BK81*ci_comp4)+(BK81*(ct_comp4+ca_comp4)*'Time on treatment'!$D$22)</f>
        <v>45550.060711877115</v>
      </c>
      <c r="BN143" s="87" t="s">
        <v>174</v>
      </c>
      <c r="BO143" s="111"/>
      <c r="BP143" s="111"/>
      <c r="BQ143" s="111"/>
      <c r="BR143" s="111"/>
      <c r="BS143" s="110">
        <f ca="1">(BS81*c_inicial)+(BS81*c_on*12)+(BS81*ci_comp5)+(BS81*(ct_comp5+ca_comp5)*'Time on treatment'!$D$23)</f>
        <v>8257.8411273974634</v>
      </c>
      <c r="BV143" s="87" t="s">
        <v>174</v>
      </c>
      <c r="BW143" s="111"/>
      <c r="BX143" s="111"/>
      <c r="BY143" s="111"/>
      <c r="BZ143" s="111"/>
      <c r="CA143" s="110">
        <f ca="1">(CA81*c_inicial)+(CA81*c_on*12)+(CA81*ci_comp6)+(CA81*(ct_comp6+ca_comp6)*'Time on treatment'!$D$24)</f>
        <v>169.35364888827465</v>
      </c>
      <c r="CD143" s="87" t="s">
        <v>174</v>
      </c>
      <c r="CE143" s="111"/>
      <c r="CF143" s="111"/>
      <c r="CG143" s="111"/>
      <c r="CH143" s="111"/>
      <c r="CI143" s="110">
        <f ca="1">(CI81*c_inicial)+(CI81*c_on*12)+(CI81*ci_comp7)+(CI81*(ct_comp7+ca_comp7)*'Time on treatment'!$D$25)</f>
        <v>12228.692569216977</v>
      </c>
      <c r="CL143" s="87" t="s">
        <v>174</v>
      </c>
      <c r="CM143" s="111"/>
      <c r="CN143" s="111"/>
      <c r="CO143" s="111"/>
      <c r="CP143" s="111"/>
      <c r="CQ143" s="110">
        <f ca="1">(CQ81*c_inicial)+(CQ81*c_on*12)+(CQ81*ci_comp8)+(CQ81*(ct_comp8+ca_comp8)*'Time on treatment'!$D$26)</f>
        <v>52398.787018700619</v>
      </c>
      <c r="CT143" s="87" t="s">
        <v>174</v>
      </c>
      <c r="CU143" s="111"/>
      <c r="CV143" s="111"/>
      <c r="CW143" s="111"/>
      <c r="CX143" s="111"/>
      <c r="CY143" s="110">
        <f ca="1">(CY81*c_inicial)+(CY81*c_on*12)+(CY81*ci_comp9)+(CY81*(ct_comp9+ca_comp9)*'Time on treatment'!$D$27)</f>
        <v>111654.1899210535</v>
      </c>
      <c r="DB143" s="87" t="s">
        <v>174</v>
      </c>
      <c r="DC143" s="111"/>
      <c r="DD143" s="111"/>
      <c r="DE143" s="111"/>
      <c r="DF143" s="111"/>
      <c r="DG143" s="110">
        <f ca="1">(DG81*c_inicial)+(DG81*c_on*12)+(DG81*ci_comp10)+(DG81*(ct_comp10+ca_comp10)*'Time on treatment'!$D$28)</f>
        <v>0</v>
      </c>
    </row>
    <row r="144" spans="2:111" ht="15" thickBot="1">
      <c r="B144" s="87" t="s">
        <v>179</v>
      </c>
      <c r="C144" s="111"/>
      <c r="D144" s="111"/>
      <c r="E144" s="111"/>
      <c r="F144" s="111"/>
      <c r="G144" s="112">
        <v>0</v>
      </c>
      <c r="J144" s="87" t="s">
        <v>179</v>
      </c>
      <c r="K144" s="111"/>
      <c r="L144" s="111"/>
      <c r="M144" s="111"/>
      <c r="N144" s="111"/>
      <c r="O144" s="112">
        <v>0</v>
      </c>
      <c r="R144" s="87" t="s">
        <v>179</v>
      </c>
      <c r="S144" s="111"/>
      <c r="T144" s="111"/>
      <c r="U144" s="111"/>
      <c r="V144" s="111"/>
      <c r="W144" s="112">
        <v>0</v>
      </c>
      <c r="Z144" s="87" t="s">
        <v>179</v>
      </c>
      <c r="AA144" s="111"/>
      <c r="AB144" s="111"/>
      <c r="AC144" s="111"/>
      <c r="AD144" s="111"/>
      <c r="AE144" s="112">
        <v>0</v>
      </c>
      <c r="AH144" s="87" t="s">
        <v>179</v>
      </c>
      <c r="AI144" s="111"/>
      <c r="AJ144" s="111"/>
      <c r="AK144" s="111"/>
      <c r="AL144" s="111"/>
      <c r="AM144" s="112">
        <v>0</v>
      </c>
      <c r="AP144" s="87" t="s">
        <v>179</v>
      </c>
      <c r="AQ144" s="111"/>
      <c r="AR144" s="111"/>
      <c r="AS144" s="111"/>
      <c r="AT144" s="111"/>
      <c r="AU144" s="112">
        <v>0</v>
      </c>
      <c r="AX144" s="87" t="s">
        <v>179</v>
      </c>
      <c r="AY144" s="111"/>
      <c r="AZ144" s="111"/>
      <c r="BA144" s="111"/>
      <c r="BB144" s="111"/>
      <c r="BC144" s="112">
        <v>0</v>
      </c>
      <c r="BF144" s="87" t="s">
        <v>179</v>
      </c>
      <c r="BG144" s="111"/>
      <c r="BH144" s="111"/>
      <c r="BI144" s="111"/>
      <c r="BJ144" s="111"/>
      <c r="BK144" s="112">
        <v>0</v>
      </c>
      <c r="BN144" s="87" t="s">
        <v>179</v>
      </c>
      <c r="BO144" s="111"/>
      <c r="BP144" s="111"/>
      <c r="BQ144" s="111"/>
      <c r="BR144" s="111"/>
      <c r="BS144" s="112">
        <v>0</v>
      </c>
      <c r="BV144" s="87" t="s">
        <v>179</v>
      </c>
      <c r="BW144" s="111"/>
      <c r="BX144" s="111"/>
      <c r="BY144" s="111"/>
      <c r="BZ144" s="111"/>
      <c r="CA144" s="112">
        <v>0</v>
      </c>
      <c r="CD144" s="87" t="s">
        <v>179</v>
      </c>
      <c r="CE144" s="111"/>
      <c r="CF144" s="111"/>
      <c r="CG144" s="111"/>
      <c r="CH144" s="111"/>
      <c r="CI144" s="112">
        <v>0</v>
      </c>
      <c r="CL144" s="87" t="s">
        <v>179</v>
      </c>
      <c r="CM144" s="111"/>
      <c r="CN144" s="111"/>
      <c r="CO144" s="111"/>
      <c r="CP144" s="111"/>
      <c r="CQ144" s="112">
        <v>0</v>
      </c>
      <c r="CT144" s="87" t="s">
        <v>179</v>
      </c>
      <c r="CU144" s="111"/>
      <c r="CV144" s="111"/>
      <c r="CW144" s="111"/>
      <c r="CX144" s="111"/>
      <c r="CY144" s="112">
        <v>0</v>
      </c>
      <c r="DB144" s="87" t="s">
        <v>179</v>
      </c>
      <c r="DC144" s="111"/>
      <c r="DD144" s="111"/>
      <c r="DE144" s="111"/>
      <c r="DF144" s="111"/>
      <c r="DG144" s="112">
        <v>0</v>
      </c>
    </row>
    <row r="145" spans="2:113" ht="15" thickBot="1">
      <c r="B145" s="85" t="str">
        <f>B131</f>
        <v>Rosuvastatin 5mg</v>
      </c>
      <c r="C145" s="113">
        <f ca="1">SUM(C135:C143)</f>
        <v>13156420.811297385</v>
      </c>
      <c r="D145" s="113">
        <f ca="1">SUM(D135:D143)</f>
        <v>13372238.750727991</v>
      </c>
      <c r="E145" s="113">
        <f ca="1">SUM(E135:E143)</f>
        <v>13682401.029610608</v>
      </c>
      <c r="F145" s="113">
        <f ca="1">SUM(F135:F143)</f>
        <v>14096933.442490621</v>
      </c>
      <c r="G145" s="114">
        <f ca="1">SUM(G135:G143)</f>
        <v>14617936.923078671</v>
      </c>
      <c r="J145" s="85" t="str">
        <f>J131</f>
        <v>Rosuvastatin 10mg</v>
      </c>
      <c r="K145" s="113">
        <f ca="1">SUM(K135:K143)</f>
        <v>26183204.453482121</v>
      </c>
      <c r="L145" s="113">
        <f ca="1">SUM(L135:L143)</f>
        <v>26612713.764098607</v>
      </c>
      <c r="M145" s="113">
        <f ca="1">SUM(M135:M143)</f>
        <v>27229982.12896939</v>
      </c>
      <c r="N145" s="113">
        <f ca="1">SUM(N135:N143)</f>
        <v>28054962.347731661</v>
      </c>
      <c r="O145" s="114">
        <f ca="1">SUM(O135:O143)</f>
        <v>29091835.58619624</v>
      </c>
      <c r="R145" s="85" t="str">
        <f>R131</f>
        <v>Rosuvastatin 20mg</v>
      </c>
      <c r="S145" s="113">
        <f ca="1">SUM(S135:S143)</f>
        <v>0</v>
      </c>
      <c r="T145" s="113">
        <f ca="1">SUM(T135:T143)</f>
        <v>0</v>
      </c>
      <c r="U145" s="113">
        <f ca="1">SUM(U135:U143)</f>
        <v>0</v>
      </c>
      <c r="V145" s="113">
        <f ca="1">SUM(V135:V143)</f>
        <v>0</v>
      </c>
      <c r="W145" s="114">
        <f ca="1">SUM(W135:W143)</f>
        <v>0</v>
      </c>
      <c r="Z145" s="85" t="str">
        <f>Z131</f>
        <v>Rosuvastatin 40mg</v>
      </c>
      <c r="AA145" s="113">
        <f ca="1">SUM(AA135:AA143)</f>
        <v>0</v>
      </c>
      <c r="AB145" s="113">
        <f ca="1">SUM(AB135:AB143)</f>
        <v>0</v>
      </c>
      <c r="AC145" s="113">
        <f ca="1">SUM(AC135:AC143)</f>
        <v>0</v>
      </c>
      <c r="AD145" s="113">
        <f ca="1">SUM(AD135:AD143)</f>
        <v>0</v>
      </c>
      <c r="AE145" s="114">
        <f ca="1">SUM(AE135:AE143)</f>
        <v>0</v>
      </c>
      <c r="AH145" s="85" t="str">
        <f>AH131</f>
        <v>Atorvastatin 10mg</v>
      </c>
      <c r="AI145" s="113">
        <f ca="1">SUM(AI135:AI143)</f>
        <v>1311279.6090853959</v>
      </c>
      <c r="AJ145" s="113">
        <f ca="1">SUM(AJ135:AJ143)</f>
        <v>1320839.7121731823</v>
      </c>
      <c r="AK145" s="113">
        <f ca="1">SUM(AK135:AK143)</f>
        <v>1328854.2928791798</v>
      </c>
      <c r="AL145" s="113">
        <f ca="1">SUM(AL135:AL143)</f>
        <v>1335740.257637515</v>
      </c>
      <c r="AM145" s="114">
        <f ca="1">SUM(AM135:AM143)</f>
        <v>1341509.9899830492</v>
      </c>
      <c r="AP145" s="85" t="str">
        <f>AP131</f>
        <v>Atorvastatin 20mg</v>
      </c>
      <c r="AQ145" s="113">
        <f ca="1">SUM(AQ135:AQ143)</f>
        <v>9865489.4497679938</v>
      </c>
      <c r="AR145" s="113">
        <f ca="1">SUM(AR135:AR143)</f>
        <v>9937415.4489963613</v>
      </c>
      <c r="AS145" s="113">
        <f ca="1">SUM(AS135:AS143)</f>
        <v>9997713.6194639709</v>
      </c>
      <c r="AT145" s="113">
        <f ca="1">SUM(AT135:AT143)</f>
        <v>10049520.581308069</v>
      </c>
      <c r="AU145" s="114">
        <f ca="1">SUM(AU135:AU143)</f>
        <v>10092929.502783295</v>
      </c>
      <c r="AX145" s="85" t="str">
        <f>AX131</f>
        <v>Atorvastatin 40mg</v>
      </c>
      <c r="AY145" s="113">
        <f ca="1">SUM(AY135:AY143)</f>
        <v>54317817.638895214</v>
      </c>
      <c r="AZ145" s="113">
        <f ca="1">SUM(AZ135:AZ143)</f>
        <v>54713830.764191672</v>
      </c>
      <c r="BA145" s="113">
        <f ca="1">SUM(BA135:BA143)</f>
        <v>55045822.911575265</v>
      </c>
      <c r="BB145" s="113">
        <f ca="1">SUM(BB135:BB143)</f>
        <v>55331063.813225515</v>
      </c>
      <c r="BC145" s="114">
        <f ca="1">SUM(BC135:BC143)</f>
        <v>55570066.4387514</v>
      </c>
      <c r="BF145" s="85" t="str">
        <f>BF131</f>
        <v>Atorvastatin 80mg</v>
      </c>
      <c r="BG145" s="113">
        <f ca="1">SUM(BG135:BG143)</f>
        <v>10352103.395284122</v>
      </c>
      <c r="BH145" s="113">
        <f ca="1">SUM(BH135:BH143)</f>
        <v>10427577.13478913</v>
      </c>
      <c r="BI145" s="113">
        <f ca="1">SUM(BI135:BI143)</f>
        <v>10490849.504437434</v>
      </c>
      <c r="BJ145" s="113">
        <f ca="1">SUM(BJ135:BJ143)</f>
        <v>10545211.837734364</v>
      </c>
      <c r="BK145" s="114">
        <f ca="1">SUM(BK135:BK143)</f>
        <v>10590761.898446241</v>
      </c>
      <c r="BN145" s="85" t="str">
        <f>BN131</f>
        <v>Pravastatin</v>
      </c>
      <c r="BO145" s="113">
        <f ca="1">SUM(BO135:BO143)</f>
        <v>1042638.2635894753</v>
      </c>
      <c r="BP145" s="113">
        <f ca="1">SUM(BP135:BP143)</f>
        <v>1051189.9831204498</v>
      </c>
      <c r="BQ145" s="113">
        <f ca="1">SUM(BQ135:BQ143)</f>
        <v>1059383.3731141638</v>
      </c>
      <c r="BR145" s="113">
        <f ca="1">SUM(BR135:BR143)</f>
        <v>1067596.2328532585</v>
      </c>
      <c r="BS145" s="114">
        <f ca="1">SUM(BS135:BS143)</f>
        <v>1075854.073980656</v>
      </c>
      <c r="BV145" s="85" t="str">
        <f>BV131</f>
        <v>Simvastatin 5mg</v>
      </c>
      <c r="BW145" s="113">
        <f ca="1">SUM(BW135:BW143)</f>
        <v>38488.78478449375</v>
      </c>
      <c r="BX145" s="113">
        <f ca="1">SUM(BX135:BX143)</f>
        <v>38769.393700939901</v>
      </c>
      <c r="BY145" s="113">
        <f ca="1">SUM(BY135:BY143)</f>
        <v>39004.638319855505</v>
      </c>
      <c r="BZ145" s="113">
        <f ca="1">SUM(BZ135:BZ143)</f>
        <v>39206.755712500715</v>
      </c>
      <c r="CA145" s="114">
        <f ca="1">SUM(CA135:CA143)</f>
        <v>39376.10936138899</v>
      </c>
      <c r="CD145" s="85" t="str">
        <f>CD131</f>
        <v>Simvastatin 10mg</v>
      </c>
      <c r="CE145" s="113">
        <f ca="1">SUM(CE135:CE143)</f>
        <v>2779199.1467679399</v>
      </c>
      <c r="CF145" s="113">
        <f ca="1">SUM(CF135:CF143)</f>
        <v>2799461.362515443</v>
      </c>
      <c r="CG145" s="113">
        <f ca="1">SUM(CG135:CG143)</f>
        <v>2816447.911917631</v>
      </c>
      <c r="CH145" s="113">
        <f ca="1">SUM(CH135:CH143)</f>
        <v>2831042.4097260637</v>
      </c>
      <c r="CI145" s="114">
        <f ca="1">SUM(CI135:CI143)</f>
        <v>2843271.1022952809</v>
      </c>
      <c r="CL145" s="85" t="str">
        <f>CL131</f>
        <v>Simvastatin 20mg</v>
      </c>
      <c r="CM145" s="113">
        <f ca="1">SUM(CM135:CM143)</f>
        <v>11908604.566659126</v>
      </c>
      <c r="CN145" s="113">
        <f ca="1">SUM(CN135:CN143)</f>
        <v>11995426.238025123</v>
      </c>
      <c r="CO145" s="113">
        <f ca="1">SUM(CO135:CO143)</f>
        <v>12068211.989999007</v>
      </c>
      <c r="CP145" s="113">
        <f ca="1">SUM(CP135:CP143)</f>
        <v>12130748.027926235</v>
      </c>
      <c r="CQ145" s="114">
        <f ca="1">SUM(CQ135:CQ143)</f>
        <v>12183146.814944936</v>
      </c>
      <c r="CT145" s="85" t="str">
        <f>CT131</f>
        <v>Simvastatin 40mg</v>
      </c>
      <c r="CU145" s="113">
        <f ca="1">SUM(CU135:CU143)</f>
        <v>25400559.249601152</v>
      </c>
      <c r="CV145" s="113">
        <f ca="1">SUM(CV135:CV143)</f>
        <v>25585717.728075638</v>
      </c>
      <c r="CW145" s="113">
        <f ca="1">SUM(CW135:CW143)</f>
        <v>25740912.022212084</v>
      </c>
      <c r="CX145" s="113">
        <f ca="1">SUM(CX135:CX143)</f>
        <v>25874216.559920665</v>
      </c>
      <c r="CY145" s="114">
        <f ca="1">SUM(CY135:CY143)</f>
        <v>25985870.74984172</v>
      </c>
      <c r="DB145" s="85">
        <f>DB131</f>
        <v>0</v>
      </c>
      <c r="DC145" s="113">
        <f ca="1">SUM(DC135:DC143)</f>
        <v>0</v>
      </c>
      <c r="DD145" s="113">
        <f ca="1">SUM(DD135:DD143)</f>
        <v>0</v>
      </c>
      <c r="DE145" s="113">
        <f ca="1">SUM(DE135:DE143)</f>
        <v>0</v>
      </c>
      <c r="DF145" s="113">
        <f ca="1">SUM(DF135:DF143)</f>
        <v>0</v>
      </c>
      <c r="DG145" s="114">
        <f ca="1">SUM(DG135:DG143)</f>
        <v>0</v>
      </c>
    </row>
    <row r="148" spans="2:113" s="81" customFormat="1">
      <c r="B148" s="120"/>
      <c r="C148" s="120"/>
      <c r="D148" s="120"/>
      <c r="E148" s="120"/>
      <c r="F148" s="120"/>
      <c r="G148" s="120"/>
      <c r="H148" s="82"/>
      <c r="I148" s="82"/>
      <c r="J148" s="120"/>
      <c r="K148" s="120"/>
      <c r="L148" s="120"/>
      <c r="M148" s="120"/>
      <c r="N148" s="120"/>
      <c r="O148" s="120"/>
      <c r="P148" s="82"/>
      <c r="Q148" s="82"/>
      <c r="R148" s="120"/>
      <c r="S148" s="120"/>
      <c r="T148" s="120"/>
      <c r="U148" s="120"/>
      <c r="V148" s="120"/>
      <c r="W148" s="120"/>
      <c r="X148" s="82"/>
      <c r="Y148" s="82"/>
      <c r="Z148" s="120"/>
      <c r="AA148" s="120"/>
      <c r="AB148" s="120"/>
      <c r="AC148" s="120"/>
      <c r="AD148" s="120"/>
      <c r="AE148" s="120"/>
      <c r="AF148" s="82"/>
      <c r="AG148" s="82"/>
      <c r="AH148" s="120"/>
      <c r="AI148" s="120"/>
      <c r="AJ148" s="120"/>
      <c r="AK148" s="120"/>
      <c r="AL148" s="120"/>
      <c r="AM148" s="120"/>
      <c r="AN148" s="82"/>
      <c r="AO148" s="82"/>
      <c r="AP148" s="120"/>
      <c r="AQ148" s="120"/>
      <c r="AR148" s="120"/>
      <c r="AS148" s="120"/>
      <c r="AT148" s="120"/>
      <c r="AU148" s="120"/>
      <c r="AV148" s="82"/>
      <c r="AW148" s="82"/>
      <c r="AX148" s="120"/>
      <c r="AY148" s="120"/>
      <c r="AZ148" s="120"/>
      <c r="BA148" s="120"/>
      <c r="BB148" s="120"/>
      <c r="BC148" s="120"/>
      <c r="BD148" s="82"/>
      <c r="BE148" s="82"/>
      <c r="BF148" s="120"/>
      <c r="BG148" s="120"/>
      <c r="BH148" s="120"/>
      <c r="BI148" s="120"/>
      <c r="BJ148" s="120"/>
      <c r="BK148" s="120"/>
      <c r="BL148" s="82"/>
      <c r="BM148" s="82"/>
      <c r="BN148" s="120"/>
      <c r="BO148" s="120"/>
      <c r="BP148" s="120"/>
      <c r="BQ148" s="120"/>
      <c r="BR148" s="120"/>
      <c r="BS148" s="120"/>
      <c r="BT148" s="82"/>
      <c r="BU148" s="82"/>
      <c r="BV148" s="120"/>
      <c r="BW148" s="120"/>
      <c r="BX148" s="120"/>
      <c r="BY148" s="120"/>
      <c r="BZ148" s="120"/>
      <c r="CA148" s="120"/>
      <c r="CB148" s="82"/>
      <c r="CC148" s="82"/>
      <c r="CD148" s="120"/>
      <c r="CE148" s="120"/>
      <c r="CF148" s="120"/>
      <c r="CG148" s="120"/>
      <c r="CH148" s="120"/>
      <c r="CI148" s="120"/>
      <c r="CJ148" s="82"/>
      <c r="CK148" s="82"/>
      <c r="CL148" s="120"/>
      <c r="CM148" s="120"/>
      <c r="CN148" s="120"/>
      <c r="CO148" s="120"/>
      <c r="CP148" s="120"/>
      <c r="CQ148" s="120"/>
      <c r="CR148" s="82"/>
      <c r="CS148" s="82"/>
      <c r="CT148" s="120"/>
      <c r="CU148" s="120"/>
      <c r="CV148" s="120"/>
      <c r="CW148" s="120"/>
      <c r="CX148" s="120"/>
      <c r="CY148" s="120"/>
      <c r="CZ148" s="82"/>
      <c r="DA148" s="82"/>
      <c r="DB148" s="120"/>
      <c r="DC148" s="120"/>
      <c r="DD148" s="120"/>
      <c r="DE148" s="120"/>
      <c r="DF148" s="120"/>
      <c r="DG148" s="120"/>
      <c r="DH148" s="82"/>
      <c r="DI148" s="82"/>
    </row>
    <row r="149" spans="2:113" s="76" customFormat="1" ht="21">
      <c r="B149" s="502" t="str">
        <f>intervencao1</f>
        <v>Rosuvastatin 5mg</v>
      </c>
      <c r="C149" s="502"/>
      <c r="D149" s="502"/>
      <c r="E149" s="502"/>
      <c r="F149" s="502"/>
      <c r="G149" s="502"/>
      <c r="H149" s="502"/>
      <c r="I149" s="77"/>
      <c r="J149" s="502" t="str">
        <f>intervencao2</f>
        <v>Rosuvastatin 10mg</v>
      </c>
      <c r="K149" s="502"/>
      <c r="L149" s="502"/>
      <c r="M149" s="502"/>
      <c r="N149" s="502"/>
      <c r="O149" s="502"/>
      <c r="P149" s="502"/>
      <c r="Q149" s="77"/>
      <c r="R149" s="502" t="str">
        <f>intervencao3</f>
        <v>Rosuvastatin 20mg</v>
      </c>
      <c r="S149" s="502"/>
      <c r="T149" s="502"/>
      <c r="U149" s="502"/>
      <c r="V149" s="502"/>
      <c r="W149" s="502"/>
      <c r="X149" s="502"/>
      <c r="Y149" s="77"/>
      <c r="Z149" s="502" t="str">
        <f>intervencao4</f>
        <v>Rosuvastatin 40mg</v>
      </c>
      <c r="AA149" s="502"/>
      <c r="AB149" s="502"/>
      <c r="AC149" s="502"/>
      <c r="AD149" s="502"/>
      <c r="AE149" s="502"/>
      <c r="AF149" s="502"/>
      <c r="AG149" s="77"/>
      <c r="AH149" s="502" t="str">
        <f>comparador1</f>
        <v>Atorvastatin 10mg</v>
      </c>
      <c r="AI149" s="502"/>
      <c r="AJ149" s="502"/>
      <c r="AK149" s="502"/>
      <c r="AL149" s="502"/>
      <c r="AM149" s="502"/>
      <c r="AN149" s="502"/>
      <c r="AO149" s="77"/>
      <c r="AP149" s="502" t="str">
        <f>comparador2</f>
        <v>Atorvastatin 20mg</v>
      </c>
      <c r="AQ149" s="502"/>
      <c r="AR149" s="502"/>
      <c r="AS149" s="502"/>
      <c r="AT149" s="502"/>
      <c r="AU149" s="502"/>
      <c r="AV149" s="502"/>
      <c r="AW149" s="77"/>
      <c r="AX149" s="502" t="str">
        <f>comparador3</f>
        <v>Atorvastatin 40mg</v>
      </c>
      <c r="AY149" s="502"/>
      <c r="AZ149" s="502"/>
      <c r="BA149" s="502"/>
      <c r="BB149" s="502"/>
      <c r="BC149" s="502"/>
      <c r="BD149" s="502"/>
      <c r="BE149" s="77"/>
      <c r="BF149" s="502" t="str">
        <f>comparador4</f>
        <v>Atorvastatin 80mg</v>
      </c>
      <c r="BG149" s="502"/>
      <c r="BH149" s="502"/>
      <c r="BI149" s="502"/>
      <c r="BJ149" s="502"/>
      <c r="BK149" s="502"/>
      <c r="BL149" s="502"/>
      <c r="BM149" s="77"/>
      <c r="BN149" s="502" t="str">
        <f>comparador5</f>
        <v>Pravastatin</v>
      </c>
      <c r="BO149" s="502"/>
      <c r="BP149" s="502"/>
      <c r="BQ149" s="502"/>
      <c r="BR149" s="502"/>
      <c r="BS149" s="502"/>
      <c r="BT149" s="502"/>
      <c r="BU149" s="77"/>
      <c r="BV149" s="502" t="str">
        <f>comparador6</f>
        <v>Simvastatin 5mg</v>
      </c>
      <c r="BW149" s="502"/>
      <c r="BX149" s="502"/>
      <c r="BY149" s="502"/>
      <c r="BZ149" s="502"/>
      <c r="CA149" s="502"/>
      <c r="CB149" s="502"/>
      <c r="CC149" s="77"/>
      <c r="CD149" s="502" t="str">
        <f>comparador7</f>
        <v>Simvastatin 10mg</v>
      </c>
      <c r="CE149" s="502"/>
      <c r="CF149" s="502"/>
      <c r="CG149" s="502"/>
      <c r="CH149" s="502"/>
      <c r="CI149" s="502"/>
      <c r="CJ149" s="502"/>
      <c r="CK149" s="77"/>
      <c r="CL149" s="502" t="str">
        <f>comparador8</f>
        <v>Simvastatin 20mg</v>
      </c>
      <c r="CM149" s="502"/>
      <c r="CN149" s="502"/>
      <c r="CO149" s="502"/>
      <c r="CP149" s="502"/>
      <c r="CQ149" s="502"/>
      <c r="CR149" s="502"/>
      <c r="CS149" s="77"/>
      <c r="CT149" s="502" t="str">
        <f>comparador9</f>
        <v>Simvastatin 40mg</v>
      </c>
      <c r="CU149" s="502"/>
      <c r="CV149" s="502"/>
      <c r="CW149" s="502"/>
      <c r="CX149" s="502"/>
      <c r="CY149" s="502"/>
      <c r="CZ149" s="502"/>
      <c r="DA149" s="77"/>
      <c r="DB149" s="502">
        <f>comparador10</f>
        <v>0</v>
      </c>
      <c r="DC149" s="502"/>
      <c r="DD149" s="502"/>
      <c r="DE149" s="502"/>
      <c r="DF149" s="502"/>
      <c r="DG149" s="502"/>
      <c r="DH149" s="502"/>
      <c r="DI149" s="77"/>
    </row>
    <row r="150" spans="2:113" ht="18">
      <c r="B150" s="503" t="s">
        <v>182</v>
      </c>
      <c r="C150" s="503"/>
      <c r="D150" s="503"/>
      <c r="E150" s="503"/>
      <c r="F150" s="503"/>
      <c r="G150" s="503"/>
      <c r="H150" s="71"/>
      <c r="I150" s="71"/>
      <c r="J150" s="503" t="s">
        <v>182</v>
      </c>
      <c r="K150" s="503"/>
      <c r="L150" s="503"/>
      <c r="M150" s="503"/>
      <c r="N150" s="503"/>
      <c r="O150" s="503"/>
      <c r="P150" s="71"/>
      <c r="Q150" s="71"/>
      <c r="R150" s="503" t="s">
        <v>182</v>
      </c>
      <c r="S150" s="503"/>
      <c r="T150" s="503"/>
      <c r="U150" s="503"/>
      <c r="V150" s="503"/>
      <c r="W150" s="503"/>
      <c r="X150" s="71"/>
      <c r="Y150" s="71"/>
      <c r="Z150" s="503" t="s">
        <v>182</v>
      </c>
      <c r="AA150" s="503"/>
      <c r="AB150" s="503"/>
      <c r="AC150" s="503"/>
      <c r="AD150" s="503"/>
      <c r="AE150" s="503"/>
      <c r="AF150" s="71"/>
      <c r="AG150" s="71"/>
      <c r="AH150" s="503" t="s">
        <v>182</v>
      </c>
      <c r="AI150" s="503"/>
      <c r="AJ150" s="503"/>
      <c r="AK150" s="503"/>
      <c r="AL150" s="503"/>
      <c r="AM150" s="503"/>
      <c r="AN150" s="71"/>
      <c r="AO150" s="71"/>
      <c r="AP150" s="503" t="s">
        <v>182</v>
      </c>
      <c r="AQ150" s="503"/>
      <c r="AR150" s="503"/>
      <c r="AS150" s="503"/>
      <c r="AT150" s="503"/>
      <c r="AU150" s="503"/>
      <c r="AV150" s="71"/>
      <c r="AW150" s="71"/>
      <c r="AX150" s="503" t="s">
        <v>182</v>
      </c>
      <c r="AY150" s="503"/>
      <c r="AZ150" s="503"/>
      <c r="BA150" s="503"/>
      <c r="BB150" s="503"/>
      <c r="BC150" s="503"/>
      <c r="BD150" s="71"/>
      <c r="BE150" s="71"/>
      <c r="BF150" s="503" t="s">
        <v>182</v>
      </c>
      <c r="BG150" s="503"/>
      <c r="BH150" s="503"/>
      <c r="BI150" s="503"/>
      <c r="BJ150" s="503"/>
      <c r="BK150" s="503"/>
      <c r="BL150" s="71"/>
      <c r="BM150" s="71"/>
      <c r="BN150" s="503" t="s">
        <v>182</v>
      </c>
      <c r="BO150" s="503"/>
      <c r="BP150" s="503"/>
      <c r="BQ150" s="503"/>
      <c r="BR150" s="503"/>
      <c r="BS150" s="503"/>
      <c r="BT150" s="71"/>
      <c r="BU150" s="71"/>
      <c r="BV150" s="503" t="s">
        <v>182</v>
      </c>
      <c r="BW150" s="503"/>
      <c r="BX150" s="503"/>
      <c r="BY150" s="503"/>
      <c r="BZ150" s="503"/>
      <c r="CA150" s="503"/>
      <c r="CB150" s="71"/>
      <c r="CC150" s="71"/>
      <c r="CD150" s="503" t="s">
        <v>182</v>
      </c>
      <c r="CE150" s="503"/>
      <c r="CF150" s="503"/>
      <c r="CG150" s="503"/>
      <c r="CH150" s="503"/>
      <c r="CI150" s="503"/>
      <c r="CJ150" s="71"/>
      <c r="CK150" s="71"/>
      <c r="CL150" s="503" t="s">
        <v>182</v>
      </c>
      <c r="CM150" s="503"/>
      <c r="CN150" s="503"/>
      <c r="CO150" s="503"/>
      <c r="CP150" s="503"/>
      <c r="CQ150" s="503"/>
      <c r="CR150" s="71"/>
      <c r="CS150" s="71"/>
      <c r="CT150" s="503" t="s">
        <v>182</v>
      </c>
      <c r="CU150" s="503"/>
      <c r="CV150" s="503"/>
      <c r="CW150" s="503"/>
      <c r="CX150" s="503"/>
      <c r="CY150" s="503"/>
      <c r="CZ150" s="71"/>
      <c r="DA150" s="71"/>
      <c r="DB150" s="503" t="s">
        <v>182</v>
      </c>
      <c r="DC150" s="503"/>
      <c r="DD150" s="503"/>
      <c r="DE150" s="503"/>
      <c r="DF150" s="503"/>
      <c r="DG150" s="503"/>
      <c r="DH150" s="71"/>
    </row>
    <row r="151" spans="2:113" ht="15" thickBot="1">
      <c r="B151" s="83"/>
      <c r="C151" s="83"/>
      <c r="D151" s="83"/>
      <c r="E151" s="83"/>
      <c r="F151" s="83"/>
      <c r="G151" s="83"/>
      <c r="J151" s="83"/>
      <c r="K151" s="83"/>
      <c r="L151" s="83"/>
      <c r="M151" s="83"/>
      <c r="N151" s="83"/>
      <c r="O151" s="83"/>
      <c r="R151" s="83"/>
      <c r="S151" s="83"/>
      <c r="T151" s="83"/>
      <c r="U151" s="83"/>
      <c r="V151" s="83"/>
      <c r="W151" s="83"/>
      <c r="Z151" s="83"/>
      <c r="AA151" s="83"/>
      <c r="AB151" s="83"/>
      <c r="AC151" s="83"/>
      <c r="AD151" s="83"/>
      <c r="AE151" s="83"/>
      <c r="AH151" s="83"/>
      <c r="AI151" s="83"/>
      <c r="AJ151" s="83"/>
      <c r="AK151" s="83"/>
      <c r="AL151" s="83"/>
      <c r="AM151" s="83"/>
      <c r="AP151" s="83"/>
      <c r="AQ151" s="83"/>
      <c r="AR151" s="83"/>
      <c r="AS151" s="83"/>
      <c r="AT151" s="83"/>
      <c r="AU151" s="83"/>
      <c r="AX151" s="83"/>
      <c r="AY151" s="83"/>
      <c r="AZ151" s="83"/>
      <c r="BA151" s="83"/>
      <c r="BB151" s="83"/>
      <c r="BC151" s="83"/>
      <c r="BF151" s="83"/>
      <c r="BG151" s="83"/>
      <c r="BH151" s="83"/>
      <c r="BI151" s="83"/>
      <c r="BJ151" s="83"/>
      <c r="BK151" s="83"/>
      <c r="BN151" s="83"/>
      <c r="BO151" s="83"/>
      <c r="BP151" s="83"/>
      <c r="BQ151" s="83"/>
      <c r="BR151" s="83"/>
      <c r="BS151" s="83"/>
      <c r="BV151" s="83"/>
      <c r="BW151" s="83"/>
      <c r="BX151" s="83"/>
      <c r="BY151" s="83"/>
      <c r="BZ151" s="83"/>
      <c r="CA151" s="83"/>
      <c r="CD151" s="83"/>
      <c r="CE151" s="83"/>
      <c r="CF151" s="83"/>
      <c r="CG151" s="83"/>
      <c r="CH151" s="83"/>
      <c r="CI151" s="83"/>
      <c r="CL151" s="83"/>
      <c r="CM151" s="83"/>
      <c r="CN151" s="83"/>
      <c r="CO151" s="83"/>
      <c r="CP151" s="83"/>
      <c r="CQ151" s="83"/>
      <c r="CT151" s="83"/>
      <c r="CU151" s="83"/>
      <c r="CV151" s="83"/>
      <c r="CW151" s="83"/>
      <c r="CX151" s="83"/>
      <c r="CY151" s="83"/>
      <c r="DB151" s="83"/>
      <c r="DC151" s="83"/>
      <c r="DD151" s="83"/>
      <c r="DE151" s="83"/>
      <c r="DF151" s="83"/>
      <c r="DG151" s="83"/>
    </row>
    <row r="152" spans="2:113" ht="15" thickBot="1">
      <c r="B152" s="504" t="str">
        <f>B91</f>
        <v>without rosuvastatin</v>
      </c>
      <c r="C152" s="505"/>
      <c r="D152" s="505"/>
      <c r="E152" s="505"/>
      <c r="F152" s="505"/>
      <c r="G152" s="506"/>
      <c r="J152" s="504" t="str">
        <f>J91</f>
        <v>without rosuvastatin</v>
      </c>
      <c r="K152" s="505"/>
      <c r="L152" s="505"/>
      <c r="M152" s="505"/>
      <c r="N152" s="505"/>
      <c r="O152" s="506"/>
      <c r="R152" s="504" t="str">
        <f>R91</f>
        <v>without rosuvastatin</v>
      </c>
      <c r="S152" s="505"/>
      <c r="T152" s="505"/>
      <c r="U152" s="505"/>
      <c r="V152" s="505"/>
      <c r="W152" s="506"/>
      <c r="Z152" s="504" t="str">
        <f>Z91</f>
        <v>without rosuvastatin</v>
      </c>
      <c r="AA152" s="505"/>
      <c r="AB152" s="505"/>
      <c r="AC152" s="505"/>
      <c r="AD152" s="505"/>
      <c r="AE152" s="506"/>
      <c r="AH152" s="504" t="str">
        <f>AH91</f>
        <v>without rosuvastatin</v>
      </c>
      <c r="AI152" s="505"/>
      <c r="AJ152" s="505"/>
      <c r="AK152" s="505"/>
      <c r="AL152" s="505"/>
      <c r="AM152" s="506"/>
      <c r="AP152" s="504" t="str">
        <f>AP91</f>
        <v>without rosuvastatin</v>
      </c>
      <c r="AQ152" s="505"/>
      <c r="AR152" s="505"/>
      <c r="AS152" s="505"/>
      <c r="AT152" s="505"/>
      <c r="AU152" s="506"/>
      <c r="AX152" s="504" t="str">
        <f>AX91</f>
        <v>without rosuvastatin</v>
      </c>
      <c r="AY152" s="505"/>
      <c r="AZ152" s="505"/>
      <c r="BA152" s="505"/>
      <c r="BB152" s="505"/>
      <c r="BC152" s="506"/>
      <c r="BF152" s="504" t="str">
        <f>BF91</f>
        <v>without rosuvastatin</v>
      </c>
      <c r="BG152" s="505"/>
      <c r="BH152" s="505"/>
      <c r="BI152" s="505"/>
      <c r="BJ152" s="505"/>
      <c r="BK152" s="506"/>
      <c r="BN152" s="504" t="str">
        <f>BN91</f>
        <v>without rosuvastatin</v>
      </c>
      <c r="BO152" s="505"/>
      <c r="BP152" s="505"/>
      <c r="BQ152" s="505"/>
      <c r="BR152" s="505"/>
      <c r="BS152" s="506"/>
      <c r="BV152" s="504" t="str">
        <f>BV91</f>
        <v>without rosuvastatin</v>
      </c>
      <c r="BW152" s="505"/>
      <c r="BX152" s="505"/>
      <c r="BY152" s="505"/>
      <c r="BZ152" s="505"/>
      <c r="CA152" s="506"/>
      <c r="CD152" s="504" t="str">
        <f>CD91</f>
        <v>without rosuvastatin</v>
      </c>
      <c r="CE152" s="505"/>
      <c r="CF152" s="505"/>
      <c r="CG152" s="505"/>
      <c r="CH152" s="505"/>
      <c r="CI152" s="506"/>
      <c r="CL152" s="504" t="str">
        <f>CL91</f>
        <v>without rosuvastatin</v>
      </c>
      <c r="CM152" s="505"/>
      <c r="CN152" s="505"/>
      <c r="CO152" s="505"/>
      <c r="CP152" s="505"/>
      <c r="CQ152" s="506"/>
      <c r="CT152" s="504" t="str">
        <f>CT91</f>
        <v>without rosuvastatin</v>
      </c>
      <c r="CU152" s="505"/>
      <c r="CV152" s="505"/>
      <c r="CW152" s="505"/>
      <c r="CX152" s="505"/>
      <c r="CY152" s="506"/>
      <c r="DB152" s="504" t="str">
        <f>DB91</f>
        <v>without rosuvastatin</v>
      </c>
      <c r="DC152" s="505"/>
      <c r="DD152" s="505"/>
      <c r="DE152" s="505"/>
      <c r="DF152" s="505"/>
      <c r="DG152" s="506"/>
    </row>
    <row r="153" spans="2:113">
      <c r="B153" s="84"/>
      <c r="C153" s="101">
        <f>C92</f>
        <v>2026</v>
      </c>
      <c r="D153" s="101">
        <f t="shared" ref="D153:F153" si="328">D92</f>
        <v>2027</v>
      </c>
      <c r="E153" s="101">
        <f t="shared" si="328"/>
        <v>2028</v>
      </c>
      <c r="F153" s="101">
        <f t="shared" si="328"/>
        <v>2029</v>
      </c>
      <c r="G153" s="102">
        <f>G92</f>
        <v>2030</v>
      </c>
      <c r="J153" s="84"/>
      <c r="K153" s="101">
        <f>K92</f>
        <v>2026</v>
      </c>
      <c r="L153" s="101">
        <f t="shared" ref="L153:N153" si="329">L92</f>
        <v>2027</v>
      </c>
      <c r="M153" s="101">
        <f t="shared" si="329"/>
        <v>2028</v>
      </c>
      <c r="N153" s="101">
        <f t="shared" si="329"/>
        <v>2029</v>
      </c>
      <c r="O153" s="102">
        <f>O92</f>
        <v>2030</v>
      </c>
      <c r="R153" s="84"/>
      <c r="S153" s="101">
        <f>S92</f>
        <v>2026</v>
      </c>
      <c r="T153" s="101">
        <f t="shared" ref="T153:V153" si="330">T92</f>
        <v>2027</v>
      </c>
      <c r="U153" s="101">
        <f t="shared" si="330"/>
        <v>2028</v>
      </c>
      <c r="V153" s="101">
        <f t="shared" si="330"/>
        <v>2029</v>
      </c>
      <c r="W153" s="102">
        <f>W92</f>
        <v>2030</v>
      </c>
      <c r="Z153" s="84"/>
      <c r="AA153" s="101">
        <f>AA92</f>
        <v>2026</v>
      </c>
      <c r="AB153" s="101">
        <f t="shared" ref="AB153:AD153" si="331">AB92</f>
        <v>2027</v>
      </c>
      <c r="AC153" s="101">
        <f t="shared" si="331"/>
        <v>2028</v>
      </c>
      <c r="AD153" s="101">
        <f t="shared" si="331"/>
        <v>2029</v>
      </c>
      <c r="AE153" s="102">
        <f>AE92</f>
        <v>2030</v>
      </c>
      <c r="AH153" s="84"/>
      <c r="AI153" s="101">
        <f>AI92</f>
        <v>2026</v>
      </c>
      <c r="AJ153" s="101">
        <f t="shared" ref="AJ153:AL153" si="332">AJ92</f>
        <v>2027</v>
      </c>
      <c r="AK153" s="101">
        <f t="shared" si="332"/>
        <v>2028</v>
      </c>
      <c r="AL153" s="101">
        <f t="shared" si="332"/>
        <v>2029</v>
      </c>
      <c r="AM153" s="102">
        <f>AM92</f>
        <v>2030</v>
      </c>
      <c r="AP153" s="84"/>
      <c r="AQ153" s="101">
        <f>AQ92</f>
        <v>2026</v>
      </c>
      <c r="AR153" s="101">
        <f t="shared" ref="AR153:AT153" si="333">AR92</f>
        <v>2027</v>
      </c>
      <c r="AS153" s="101">
        <f t="shared" si="333"/>
        <v>2028</v>
      </c>
      <c r="AT153" s="101">
        <f t="shared" si="333"/>
        <v>2029</v>
      </c>
      <c r="AU153" s="102">
        <f>AU92</f>
        <v>2030</v>
      </c>
      <c r="AX153" s="84"/>
      <c r="AY153" s="101">
        <f>AY92</f>
        <v>2026</v>
      </c>
      <c r="AZ153" s="101">
        <f t="shared" ref="AZ153:BB153" si="334">AZ92</f>
        <v>2027</v>
      </c>
      <c r="BA153" s="101">
        <f t="shared" si="334"/>
        <v>2028</v>
      </c>
      <c r="BB153" s="101">
        <f t="shared" si="334"/>
        <v>2029</v>
      </c>
      <c r="BC153" s="102">
        <f>BC92</f>
        <v>2030</v>
      </c>
      <c r="BF153" s="84"/>
      <c r="BG153" s="101">
        <f>BG92</f>
        <v>2026</v>
      </c>
      <c r="BH153" s="101">
        <f t="shared" ref="BH153:BJ153" si="335">BH92</f>
        <v>2027</v>
      </c>
      <c r="BI153" s="101">
        <f t="shared" si="335"/>
        <v>2028</v>
      </c>
      <c r="BJ153" s="101">
        <f t="shared" si="335"/>
        <v>2029</v>
      </c>
      <c r="BK153" s="102">
        <f>BK92</f>
        <v>2030</v>
      </c>
      <c r="BN153" s="84"/>
      <c r="BO153" s="101">
        <f>BO92</f>
        <v>2026</v>
      </c>
      <c r="BP153" s="101">
        <f t="shared" ref="BP153:BR153" si="336">BP92</f>
        <v>2027</v>
      </c>
      <c r="BQ153" s="101">
        <f t="shared" si="336"/>
        <v>2028</v>
      </c>
      <c r="BR153" s="101">
        <f t="shared" si="336"/>
        <v>2029</v>
      </c>
      <c r="BS153" s="102">
        <f>BS92</f>
        <v>2030</v>
      </c>
      <c r="BV153" s="84"/>
      <c r="BW153" s="101">
        <f>BW92</f>
        <v>2026</v>
      </c>
      <c r="BX153" s="101">
        <f t="shared" ref="BX153:BZ153" si="337">BX92</f>
        <v>2027</v>
      </c>
      <c r="BY153" s="101">
        <f t="shared" si="337"/>
        <v>2028</v>
      </c>
      <c r="BZ153" s="101">
        <f t="shared" si="337"/>
        <v>2029</v>
      </c>
      <c r="CA153" s="102">
        <f>CA92</f>
        <v>2030</v>
      </c>
      <c r="CD153" s="84"/>
      <c r="CE153" s="101">
        <f>CE92</f>
        <v>2026</v>
      </c>
      <c r="CF153" s="101">
        <f t="shared" ref="CF153:CH153" si="338">CF92</f>
        <v>2027</v>
      </c>
      <c r="CG153" s="101">
        <f t="shared" si="338"/>
        <v>2028</v>
      </c>
      <c r="CH153" s="101">
        <f t="shared" si="338"/>
        <v>2029</v>
      </c>
      <c r="CI153" s="102">
        <f>CI92</f>
        <v>2030</v>
      </c>
      <c r="CL153" s="84"/>
      <c r="CM153" s="101">
        <f>CM92</f>
        <v>2026</v>
      </c>
      <c r="CN153" s="101">
        <f t="shared" ref="CN153:CP153" si="339">CN92</f>
        <v>2027</v>
      </c>
      <c r="CO153" s="101">
        <f t="shared" si="339"/>
        <v>2028</v>
      </c>
      <c r="CP153" s="101">
        <f t="shared" si="339"/>
        <v>2029</v>
      </c>
      <c r="CQ153" s="102">
        <f>CQ92</f>
        <v>2030</v>
      </c>
      <c r="CT153" s="84"/>
      <c r="CU153" s="101">
        <f>CU92</f>
        <v>2026</v>
      </c>
      <c r="CV153" s="101">
        <f t="shared" ref="CV153:CX153" si="340">CV92</f>
        <v>2027</v>
      </c>
      <c r="CW153" s="101">
        <f t="shared" si="340"/>
        <v>2028</v>
      </c>
      <c r="CX153" s="101">
        <f t="shared" si="340"/>
        <v>2029</v>
      </c>
      <c r="CY153" s="102">
        <f>CY92</f>
        <v>2030</v>
      </c>
      <c r="DB153" s="84"/>
      <c r="DC153" s="101">
        <f>DC92</f>
        <v>2026</v>
      </c>
      <c r="DD153" s="101">
        <f t="shared" ref="DD153:DF153" si="341">DD92</f>
        <v>2027</v>
      </c>
      <c r="DE153" s="101">
        <f t="shared" si="341"/>
        <v>2028</v>
      </c>
      <c r="DF153" s="101">
        <f t="shared" si="341"/>
        <v>2029</v>
      </c>
      <c r="DG153" s="102">
        <f>DG92</f>
        <v>2030</v>
      </c>
    </row>
    <row r="154" spans="2:113">
      <c r="B154" s="87" t="s">
        <v>170</v>
      </c>
      <c r="C154" s="109">
        <f ca="1">(C28*ci_int1)+(C28*ct_int1*'Time on treatment'!$D$12)</f>
        <v>0</v>
      </c>
      <c r="D154" s="109">
        <f ca="1">(D28*ct_int1*'Time on treatment'!$E$12)</f>
        <v>0</v>
      </c>
      <c r="E154" s="109">
        <f ca="1">(E28*ct_int1*'Time on treatment'!$F$12)</f>
        <v>0</v>
      </c>
      <c r="F154" s="109">
        <f ca="1">(F28*ct_int1*'Time on treatment'!$G$12)</f>
        <v>0</v>
      </c>
      <c r="G154" s="110">
        <f ca="1">(G28*ct_int1*'Time on treatment'!$H$12)</f>
        <v>0</v>
      </c>
      <c r="J154" s="87" t="s">
        <v>170</v>
      </c>
      <c r="K154" s="109">
        <f ca="1">(K28*ci_int2)+(K28*ct_int2*'Time on treatment'!$D$13)</f>
        <v>0</v>
      </c>
      <c r="L154" s="109">
        <f ca="1">(L28*ct_int2*'Time on treatment'!$E$13)</f>
        <v>0</v>
      </c>
      <c r="M154" s="109">
        <f ca="1">(M28*ct_int2*'Time on treatment'!$F$13)</f>
        <v>0</v>
      </c>
      <c r="N154" s="109">
        <f ca="1">(N28*ct_int2*'Time on treatment'!$G$13)</f>
        <v>0</v>
      </c>
      <c r="O154" s="110">
        <f ca="1">(O28*ct_int2*'Time on treatment'!$H$13)</f>
        <v>0</v>
      </c>
      <c r="R154" s="87" t="s">
        <v>170</v>
      </c>
      <c r="S154" s="109">
        <f ca="1">(S28*ci_int3)+(S28*ct_int3*'Time on treatment'!$D$14)</f>
        <v>0</v>
      </c>
      <c r="T154" s="109">
        <f ca="1">(T28*ct_int3*'Time on treatment'!$E$14)</f>
        <v>0</v>
      </c>
      <c r="U154" s="109">
        <f ca="1">(U28*ct_int3*'Time on treatment'!$F$14)</f>
        <v>0</v>
      </c>
      <c r="V154" s="109">
        <f ca="1">(V28*ct_int3*'Time on treatment'!$G$14)</f>
        <v>0</v>
      </c>
      <c r="W154" s="110">
        <f ca="1">(W28*ct_int3*'Time on treatment'!$H$14)</f>
        <v>0</v>
      </c>
      <c r="Z154" s="87" t="s">
        <v>170</v>
      </c>
      <c r="AA154" s="109">
        <f ca="1">(AA28*ci_int4)+(AA28*ct_int4*'Time on treatment'!$D$15)</f>
        <v>0</v>
      </c>
      <c r="AB154" s="109">
        <f ca="1">(AB28*ct_int4*'Time on treatment'!$E$15)</f>
        <v>0</v>
      </c>
      <c r="AC154" s="109">
        <f ca="1">(AC28*ct_int4*'Time on treatment'!$F$15)</f>
        <v>0</v>
      </c>
      <c r="AD154" s="109">
        <f ca="1">(AD28*ct_int4*'Time on treatment'!$G$15)</f>
        <v>0</v>
      </c>
      <c r="AE154" s="110">
        <f ca="1">(AE28*ct_int4*'Time on treatment'!$H$15)</f>
        <v>0</v>
      </c>
      <c r="AH154" s="87" t="s">
        <v>170</v>
      </c>
      <c r="AI154" s="109">
        <f ca="1">(AI28*ci_comp1)+(AI28*ct_comp1*'Time on treatment'!$D$19)</f>
        <v>1456977.3434282176</v>
      </c>
      <c r="AJ154" s="109">
        <f ca="1">(AJ28*ct_comp1*'Time on treatment'!$E$19)</f>
        <v>1456977.3434282176</v>
      </c>
      <c r="AK154" s="109">
        <f ca="1">(AK28*ct_comp1*'Time on treatment'!$F$19)</f>
        <v>1456977.3434282176</v>
      </c>
      <c r="AL154" s="109">
        <f ca="1">(AL28*ct_comp1*'Time on treatment'!$G$19)</f>
        <v>1456977.3434282176</v>
      </c>
      <c r="AM154" s="110">
        <f ca="1">(AM28*ct_comp1*'Time on treatment'!$H$19)</f>
        <v>1456977.3434282176</v>
      </c>
      <c r="AP154" s="87" t="s">
        <v>170</v>
      </c>
      <c r="AQ154" s="109">
        <f ca="1">(AQ28*ci_comp2)+(AQ28*ct_comp2*'Time on treatment'!$D$20)</f>
        <v>10961654.94418666</v>
      </c>
      <c r="AR154" s="109">
        <f ca="1">(AR28*ct_comp2*'Time on treatment'!$E$20)</f>
        <v>10961654.94418666</v>
      </c>
      <c r="AS154" s="109">
        <f ca="1">(AS28*ct_comp2*'Time on treatment'!$F$20)</f>
        <v>10961654.94418666</v>
      </c>
      <c r="AT154" s="109">
        <f ca="1">(AT28*ct_comp2*'Time on treatment'!$G$20)</f>
        <v>10961654.94418666</v>
      </c>
      <c r="AU154" s="110">
        <f ca="1">(AU28*ct_comp2*'Time on treatment'!$H$20)</f>
        <v>10961654.94418666</v>
      </c>
      <c r="AX154" s="87" t="s">
        <v>170</v>
      </c>
      <c r="AY154" s="109">
        <f ca="1">(AY28*ci_comp3)+(AY28*ct_comp3*'Time on treatment'!$D$21)</f>
        <v>60353130.709883563</v>
      </c>
      <c r="AZ154" s="109">
        <f ca="1">(AZ28*ct_comp3*'Time on treatment'!$E$21)</f>
        <v>60353130.709883563</v>
      </c>
      <c r="BA154" s="109">
        <f ca="1">(BA28*ct_comp3*'Time on treatment'!$F$21)</f>
        <v>60353130.709883563</v>
      </c>
      <c r="BB154" s="109">
        <f ca="1">(BB28*ct_comp3*'Time on treatment'!$G$21)</f>
        <v>60353130.709883563</v>
      </c>
      <c r="BC154" s="110">
        <f ca="1">(BC28*ct_comp3*'Time on treatment'!$H$21)</f>
        <v>60353130.709883563</v>
      </c>
      <c r="BF154" s="87" t="s">
        <v>170</v>
      </c>
      <c r="BG154" s="109">
        <f ca="1">(BG28*ci_comp4)+(BG28*ct_comp4*'Time on treatment'!$D$22)</f>
        <v>11502337.105871247</v>
      </c>
      <c r="BH154" s="109">
        <f ca="1">(BH28*ct_comp4*'Time on treatment'!$E$22)</f>
        <v>11502337.105871247</v>
      </c>
      <c r="BI154" s="109">
        <f ca="1">(BI28*ct_comp4*'Time on treatment'!$F$22)</f>
        <v>11502337.105871247</v>
      </c>
      <c r="BJ154" s="109">
        <f ca="1">(BJ28*ct_comp4*'Time on treatment'!$G$22)</f>
        <v>11502337.105871247</v>
      </c>
      <c r="BK154" s="110">
        <f ca="1">(BK28*ct_comp4*'Time on treatment'!$H$22)</f>
        <v>11502337.105871247</v>
      </c>
      <c r="BN154" s="87" t="s">
        <v>170</v>
      </c>
      <c r="BO154" s="109">
        <f ca="1">(BO28*ci_comp5)+(BO28*ct_comp5*'Time on treatment'!$D$23)</f>
        <v>1158486.9595438614</v>
      </c>
      <c r="BP154" s="109">
        <f ca="1">(BP28*ct_comp5*'Time on treatment'!$E$23)</f>
        <v>1158486.9595438614</v>
      </c>
      <c r="BQ154" s="109">
        <f ca="1">(BQ28*ct_comp5*'Time on treatment'!$F$23)</f>
        <v>1158486.9595438614</v>
      </c>
      <c r="BR154" s="109">
        <f ca="1">(BR28*ct_comp5*'Time on treatment'!$G$23)</f>
        <v>1158486.9595438614</v>
      </c>
      <c r="BS154" s="110">
        <f ca="1">(BS28*ct_comp5*'Time on treatment'!$H$23)</f>
        <v>1158486.9595438614</v>
      </c>
      <c r="BV154" s="87" t="s">
        <v>170</v>
      </c>
      <c r="BW154" s="109">
        <f ca="1">(BW28*ci_comp6)+(BW28*ct_comp6*'Time on treatment'!$D$24)</f>
        <v>42765.316427215286</v>
      </c>
      <c r="BX154" s="109">
        <f ca="1">(BX28*ct_comp6*'Time on treatment'!$E$24)</f>
        <v>42765.316427215286</v>
      </c>
      <c r="BY154" s="109">
        <f ca="1">(BY28*ct_comp6*'Time on treatment'!$F$24)</f>
        <v>42765.316427215286</v>
      </c>
      <c r="BZ154" s="109">
        <f ca="1">(BZ28*ct_comp6*'Time on treatment'!$G$24)</f>
        <v>42765.316427215286</v>
      </c>
      <c r="CA154" s="110">
        <f ca="1">(CA28*ct_comp6*'Time on treatment'!$H$24)</f>
        <v>42765.316427215286</v>
      </c>
      <c r="CD154" s="87" t="s">
        <v>170</v>
      </c>
      <c r="CE154" s="109">
        <f ca="1">(CE28*ci_comp7)+(CE28*ct_comp7*'Time on treatment'!$D$25)</f>
        <v>3087999.0519643785</v>
      </c>
      <c r="CF154" s="109">
        <f ca="1">(CF28*ct_comp7*'Time on treatment'!$E$25)</f>
        <v>3087999.0519643785</v>
      </c>
      <c r="CG154" s="109">
        <f ca="1">(CG28*ct_comp7*'Time on treatment'!$F$25)</f>
        <v>3087999.0519643785</v>
      </c>
      <c r="CH154" s="109">
        <f ca="1">(CH28*ct_comp7*'Time on treatment'!$G$25)</f>
        <v>3087999.0519643785</v>
      </c>
      <c r="CI154" s="110">
        <f ca="1">(CI28*ct_comp7*'Time on treatment'!$H$25)</f>
        <v>3087999.0519643785</v>
      </c>
      <c r="CL154" s="87" t="s">
        <v>170</v>
      </c>
      <c r="CM154" s="109">
        <f ca="1">(CM28*ci_comp8)+(CM28*ct_comp8*'Time on treatment'!$D$26)</f>
        <v>13231782.851843471</v>
      </c>
      <c r="CN154" s="109">
        <f ca="1">(CN28*ct_comp8*'Time on treatment'!$E$26)</f>
        <v>13231782.851843471</v>
      </c>
      <c r="CO154" s="109">
        <f ca="1">(CO28*ct_comp8*'Time on treatment'!$F$26)</f>
        <v>13231782.851843471</v>
      </c>
      <c r="CP154" s="109">
        <f ca="1">(CP28*ct_comp8*'Time on treatment'!$G$26)</f>
        <v>13231782.851843471</v>
      </c>
      <c r="CQ154" s="110">
        <f ca="1">(CQ28*ct_comp8*'Time on treatment'!$H$26)</f>
        <v>13231782.851843471</v>
      </c>
      <c r="CT154" s="87" t="s">
        <v>170</v>
      </c>
      <c r="CU154" s="109">
        <f ca="1">(CU28*ci_comp9)+(CU28*ct_comp9*'Time on treatment'!$D$27)</f>
        <v>28222843.610667959</v>
      </c>
      <c r="CV154" s="109">
        <f ca="1">(CV28*ct_comp9*'Time on treatment'!$E$27)</f>
        <v>28222843.610667959</v>
      </c>
      <c r="CW154" s="109">
        <f ca="1">(CW28*ct_comp9*'Time on treatment'!$F$27)</f>
        <v>28222843.610667959</v>
      </c>
      <c r="CX154" s="109">
        <f ca="1">(CX28*ct_comp9*'Time on treatment'!$G$27)</f>
        <v>28222843.610667959</v>
      </c>
      <c r="CY154" s="110">
        <f ca="1">(CY28*ct_comp9*'Time on treatment'!$H$27)</f>
        <v>28222843.610667959</v>
      </c>
      <c r="DB154" s="87" t="s">
        <v>170</v>
      </c>
      <c r="DC154" s="109">
        <f ca="1">(DC28*ci_comp10)+(DC28*ct_comp10*'Time on treatment'!$D$28)</f>
        <v>0</v>
      </c>
      <c r="DD154" s="109">
        <f ca="1">(DD28*ct_comp10*'Time on treatment'!$E$28)</f>
        <v>0</v>
      </c>
      <c r="DE154" s="109">
        <f ca="1">(DE28*ct_comp10*'Time on treatment'!$F$28)</f>
        <v>0</v>
      </c>
      <c r="DF154" s="109">
        <f ca="1">(DF28*ct_comp10*'Time on treatment'!$G$28)</f>
        <v>0</v>
      </c>
      <c r="DG154" s="110">
        <f ca="1">(DG28*ct_comp10*'Time on treatment'!$H$28)</f>
        <v>0</v>
      </c>
    </row>
    <row r="155" spans="2:113">
      <c r="B155" s="87" t="s">
        <v>175</v>
      </c>
      <c r="C155" s="109"/>
      <c r="D155" s="109"/>
      <c r="E155" s="109"/>
      <c r="F155" s="109"/>
      <c r="G155" s="110"/>
      <c r="J155" s="87" t="s">
        <v>175</v>
      </c>
      <c r="K155" s="109"/>
      <c r="L155" s="109"/>
      <c r="M155" s="109"/>
      <c r="N155" s="109"/>
      <c r="O155" s="110"/>
      <c r="R155" s="87" t="s">
        <v>175</v>
      </c>
      <c r="S155" s="109"/>
      <c r="T155" s="109"/>
      <c r="U155" s="109"/>
      <c r="V155" s="109"/>
      <c r="W155" s="110"/>
      <c r="Z155" s="87" t="s">
        <v>175</v>
      </c>
      <c r="AA155" s="109"/>
      <c r="AB155" s="109"/>
      <c r="AC155" s="109"/>
      <c r="AD155" s="109"/>
      <c r="AE155" s="110"/>
      <c r="AH155" s="87" t="s">
        <v>175</v>
      </c>
      <c r="AI155" s="109"/>
      <c r="AJ155" s="109"/>
      <c r="AK155" s="109"/>
      <c r="AL155" s="109"/>
      <c r="AM155" s="110"/>
      <c r="AP155" s="87" t="s">
        <v>175</v>
      </c>
      <c r="AQ155" s="109"/>
      <c r="AR155" s="109"/>
      <c r="AS155" s="109"/>
      <c r="AT155" s="109"/>
      <c r="AU155" s="110"/>
      <c r="AX155" s="87" t="s">
        <v>175</v>
      </c>
      <c r="AY155" s="109"/>
      <c r="AZ155" s="109"/>
      <c r="BA155" s="109"/>
      <c r="BB155" s="109"/>
      <c r="BC155" s="110"/>
      <c r="BF155" s="87" t="s">
        <v>175</v>
      </c>
      <c r="BG155" s="109"/>
      <c r="BH155" s="109"/>
      <c r="BI155" s="109"/>
      <c r="BJ155" s="109"/>
      <c r="BK155" s="110"/>
      <c r="BN155" s="87" t="s">
        <v>175</v>
      </c>
      <c r="BO155" s="109"/>
      <c r="BP155" s="109"/>
      <c r="BQ155" s="109"/>
      <c r="BR155" s="109"/>
      <c r="BS155" s="110"/>
      <c r="BV155" s="87" t="s">
        <v>175</v>
      </c>
      <c r="BW155" s="109"/>
      <c r="BX155" s="109"/>
      <c r="BY155" s="109"/>
      <c r="BZ155" s="109"/>
      <c r="CA155" s="110"/>
      <c r="CD155" s="87" t="s">
        <v>175</v>
      </c>
      <c r="CE155" s="109"/>
      <c r="CF155" s="109"/>
      <c r="CG155" s="109"/>
      <c r="CH155" s="109"/>
      <c r="CI155" s="110"/>
      <c r="CL155" s="87" t="s">
        <v>175</v>
      </c>
      <c r="CM155" s="109"/>
      <c r="CN155" s="109"/>
      <c r="CO155" s="109"/>
      <c r="CP155" s="109"/>
      <c r="CQ155" s="110"/>
      <c r="CT155" s="87" t="s">
        <v>175</v>
      </c>
      <c r="CU155" s="109"/>
      <c r="CV155" s="109"/>
      <c r="CW155" s="109"/>
      <c r="CX155" s="109"/>
      <c r="CY155" s="110"/>
      <c r="DB155" s="87" t="s">
        <v>175</v>
      </c>
      <c r="DC155" s="109"/>
      <c r="DD155" s="109"/>
      <c r="DE155" s="109"/>
      <c r="DF155" s="109"/>
      <c r="DG155" s="110"/>
    </row>
    <row r="156" spans="2:113">
      <c r="B156" s="87" t="s">
        <v>171</v>
      </c>
      <c r="C156" s="111"/>
      <c r="D156" s="109">
        <f ca="1">(D30*ci_int1)+(D30*ct_int1*'Time on treatment'!$D$12)</f>
        <v>0</v>
      </c>
      <c r="E156" s="109">
        <f ca="1">(E30*ct_int1*'Time on treatment'!$E$12)</f>
        <v>0</v>
      </c>
      <c r="F156" s="109">
        <f ca="1">(F30*ct_int1*'Time on treatment'!$F$12)</f>
        <v>0</v>
      </c>
      <c r="G156" s="110">
        <f ca="1">(G30*ct_int1*'Time on treatment'!$G$12)</f>
        <v>0</v>
      </c>
      <c r="J156" s="87" t="s">
        <v>171</v>
      </c>
      <c r="K156" s="111"/>
      <c r="L156" s="109">
        <f ca="1">(L30*ci_int2)+(L30*ct_int2*'Time on treatment'!$D$13)</f>
        <v>0</v>
      </c>
      <c r="M156" s="109">
        <f ca="1">(M30*ct_int2*'Time on treatment'!$E$13)</f>
        <v>0</v>
      </c>
      <c r="N156" s="109">
        <f ca="1">(N30*ct_int2*'Time on treatment'!$F$13)</f>
        <v>0</v>
      </c>
      <c r="O156" s="110">
        <f ca="1">(O30*ct_int2*'Time on treatment'!$G$13)</f>
        <v>0</v>
      </c>
      <c r="R156" s="87" t="s">
        <v>171</v>
      </c>
      <c r="S156" s="111"/>
      <c r="T156" s="109">
        <f ca="1">(T30*ci_int3)+(T30*ct_int3*'Time on treatment'!$D$14)</f>
        <v>0</v>
      </c>
      <c r="U156" s="109">
        <f ca="1">(U30*ct_int3*'Time on treatment'!$E$14)</f>
        <v>0</v>
      </c>
      <c r="V156" s="109">
        <f ca="1">(V30*ct_int3*'Time on treatment'!$F$14)</f>
        <v>0</v>
      </c>
      <c r="W156" s="110">
        <f ca="1">(W30*ct_int3*'Time on treatment'!$G$14)</f>
        <v>0</v>
      </c>
      <c r="Z156" s="87" t="s">
        <v>171</v>
      </c>
      <c r="AA156" s="111"/>
      <c r="AB156" s="109">
        <f ca="1">(AB30*ci_int4)+(AB30*ct_int4*'Time on treatment'!$D$15)</f>
        <v>0</v>
      </c>
      <c r="AC156" s="109">
        <f ca="1">(AC30*ct_int4*'Time on treatment'!$E$15)</f>
        <v>0</v>
      </c>
      <c r="AD156" s="109">
        <f ca="1">(AD30*ct_int4*'Time on treatment'!$F$15)</f>
        <v>0</v>
      </c>
      <c r="AE156" s="110">
        <f ca="1">(AE30*ct_int4*'Time on treatment'!$G$15)</f>
        <v>0</v>
      </c>
      <c r="AH156" s="87" t="s">
        <v>171</v>
      </c>
      <c r="AI156" s="111"/>
      <c r="AJ156" s="109">
        <f ca="1">(AJ30*ci_comp1)+(AJ30*ct_comp1*'Time on treatment'!$D$19)</f>
        <v>11950.128859733044</v>
      </c>
      <c r="AK156" s="109">
        <f ca="1">(AK30*ct_comp1*'Time on treatment'!$E$19)</f>
        <v>11950.128859733044</v>
      </c>
      <c r="AL156" s="109">
        <f ca="1">(AL30*ct_comp1*'Time on treatment'!$F$19)</f>
        <v>11950.128859733044</v>
      </c>
      <c r="AM156" s="110">
        <f ca="1">(AM30*ct_comp1*'Time on treatment'!$G$19)</f>
        <v>11950.128859733044</v>
      </c>
      <c r="AP156" s="87" t="s">
        <v>171</v>
      </c>
      <c r="AQ156" s="111"/>
      <c r="AR156" s="109">
        <f ca="1">(AR30*ci_comp2)+(AR30*ct_comp2*'Time on treatment'!$D$20)</f>
        <v>89907.499035460613</v>
      </c>
      <c r="AS156" s="109">
        <f ca="1">(AS30*ct_comp2*'Time on treatment'!$E$20)</f>
        <v>89907.499035460613</v>
      </c>
      <c r="AT156" s="109">
        <f ca="1">(AT30*ct_comp2*'Time on treatment'!$F$20)</f>
        <v>89907.499035460613</v>
      </c>
      <c r="AU156" s="110">
        <f ca="1">(AU30*ct_comp2*'Time on treatment'!$G$20)</f>
        <v>89907.499035460613</v>
      </c>
      <c r="AX156" s="87" t="s">
        <v>171</v>
      </c>
      <c r="AY156" s="111"/>
      <c r="AZ156" s="109">
        <f ca="1">(AZ30*ci_comp3)+(AZ30*ct_comp3*'Time on treatment'!$D$21)</f>
        <v>495016.40662056999</v>
      </c>
      <c r="BA156" s="109">
        <f ca="1">(BA30*ct_comp3*'Time on treatment'!$E$21)</f>
        <v>495016.40662056999</v>
      </c>
      <c r="BB156" s="109">
        <f ca="1">(BB30*ct_comp3*'Time on treatment'!$F$21)</f>
        <v>495016.40662056999</v>
      </c>
      <c r="BC156" s="110">
        <f ca="1">(BC30*ct_comp3*'Time on treatment'!$G$21)</f>
        <v>495016.40662056999</v>
      </c>
      <c r="BF156" s="87" t="s">
        <v>171</v>
      </c>
      <c r="BG156" s="111"/>
      <c r="BH156" s="109">
        <f ca="1">(BH30*ci_comp4)+(BH30*ct_comp4*'Time on treatment'!$D$22)</f>
        <v>94342.17438126028</v>
      </c>
      <c r="BI156" s="109">
        <f ca="1">(BI30*ct_comp4*'Time on treatment'!$E$22)</f>
        <v>94342.17438126028</v>
      </c>
      <c r="BJ156" s="109">
        <f ca="1">(BJ30*ct_comp4*'Time on treatment'!$F$22)</f>
        <v>94342.17438126028</v>
      </c>
      <c r="BK156" s="110">
        <f ca="1">(BK30*ct_comp4*'Time on treatment'!$G$22)</f>
        <v>94342.17438126028</v>
      </c>
      <c r="BN156" s="87" t="s">
        <v>171</v>
      </c>
      <c r="BO156" s="111"/>
      <c r="BP156" s="109">
        <f ca="1">(BP30*ci_comp5)+(BP30*ct_comp5*'Time on treatment'!$D$23)</f>
        <v>9501.9105899717506</v>
      </c>
      <c r="BQ156" s="109">
        <f ca="1">(BQ30*ct_comp5*'Time on treatment'!$E$23)</f>
        <v>9501.9105899717506</v>
      </c>
      <c r="BR156" s="109">
        <f ca="1">(BR30*ct_comp5*'Time on treatment'!$F$23)</f>
        <v>9501.9105899717506</v>
      </c>
      <c r="BS156" s="110">
        <f ca="1">(BS30*ct_comp5*'Time on treatment'!$G$23)</f>
        <v>9501.9105899717506</v>
      </c>
      <c r="BV156" s="87" t="s">
        <v>171</v>
      </c>
      <c r="BW156" s="111"/>
      <c r="BX156" s="109">
        <f ca="1">(BX30*ci_comp6)+(BX30*ct_comp6*'Time on treatment'!$D$24)</f>
        <v>350.7611455576897</v>
      </c>
      <c r="BY156" s="109">
        <f ca="1">(BY30*ct_comp6*'Time on treatment'!$E$24)</f>
        <v>350.7611455576897</v>
      </c>
      <c r="BZ156" s="109">
        <f ca="1">(BZ30*ct_comp6*'Time on treatment'!$F$24)</f>
        <v>350.7611455576897</v>
      </c>
      <c r="CA156" s="110">
        <f ca="1">(CA30*ct_comp6*'Time on treatment'!$G$24)</f>
        <v>350.7611455576897</v>
      </c>
      <c r="CD156" s="87" t="s">
        <v>171</v>
      </c>
      <c r="CE156" s="111"/>
      <c r="CF156" s="109">
        <f ca="1">(CF30*ci_comp7)+(CF30*ct_comp7*'Time on treatment'!$D$25)</f>
        <v>25327.769684378683</v>
      </c>
      <c r="CG156" s="109">
        <f ca="1">(CG30*ct_comp7*'Time on treatment'!$E$25)</f>
        <v>25327.769684378683</v>
      </c>
      <c r="CH156" s="109">
        <f ca="1">(CH30*ct_comp7*'Time on treatment'!$F$25)</f>
        <v>25327.769684378683</v>
      </c>
      <c r="CI156" s="110">
        <f ca="1">(CI30*ct_comp7*'Time on treatment'!$G$25)</f>
        <v>25327.769684378683</v>
      </c>
      <c r="CL156" s="87" t="s">
        <v>171</v>
      </c>
      <c r="CM156" s="111"/>
      <c r="CN156" s="109">
        <f ca="1">(CN30*ci_comp8)+(CN30*ct_comp8*'Time on treatment'!$D$26)</f>
        <v>108527.08920749655</v>
      </c>
      <c r="CO156" s="109">
        <f ca="1">(CO30*ct_comp8*'Time on treatment'!$E$26)</f>
        <v>108527.08920749655</v>
      </c>
      <c r="CP156" s="109">
        <f ca="1">(CP30*ct_comp8*'Time on treatment'!$F$26)</f>
        <v>108527.08920749655</v>
      </c>
      <c r="CQ156" s="110">
        <f ca="1">(CQ30*ct_comp8*'Time on treatment'!$G$26)</f>
        <v>108527.08920749655</v>
      </c>
      <c r="CT156" s="87" t="s">
        <v>171</v>
      </c>
      <c r="CU156" s="111"/>
      <c r="CV156" s="109">
        <f ca="1">(CV30*ci_comp9)+(CV30*ct_comp9*'Time on treatment'!$D$27)</f>
        <v>231483.77663992965</v>
      </c>
      <c r="CW156" s="109">
        <f ca="1">(CW30*ct_comp9*'Time on treatment'!$E$27)</f>
        <v>231483.77663992965</v>
      </c>
      <c r="CX156" s="109">
        <f ca="1">(CX30*ct_comp9*'Time on treatment'!$F$27)</f>
        <v>231483.77663992965</v>
      </c>
      <c r="CY156" s="110">
        <f ca="1">(CY30*ct_comp9*'Time on treatment'!$G$27)</f>
        <v>231483.77663992965</v>
      </c>
      <c r="DB156" s="87" t="s">
        <v>171</v>
      </c>
      <c r="DC156" s="111"/>
      <c r="DD156" s="109">
        <f ca="1">(DD30*ci_comp10)+(DD30*ct_comp10*'Time on treatment'!$D$28)</f>
        <v>0</v>
      </c>
      <c r="DE156" s="109">
        <f ca="1">(DE30*ct_comp10*'Time on treatment'!$E$28)</f>
        <v>0</v>
      </c>
      <c r="DF156" s="109">
        <f ca="1">(DF30*ct_comp10*'Time on treatment'!$F$28)</f>
        <v>0</v>
      </c>
      <c r="DG156" s="110">
        <f ca="1">(DG30*ct_comp10*'Time on treatment'!$G$28)</f>
        <v>0</v>
      </c>
    </row>
    <row r="157" spans="2:113">
      <c r="B157" s="87" t="s">
        <v>176</v>
      </c>
      <c r="C157" s="111"/>
      <c r="D157" s="109"/>
      <c r="E157" s="109"/>
      <c r="F157" s="109"/>
      <c r="G157" s="110"/>
      <c r="J157" s="87" t="s">
        <v>176</v>
      </c>
      <c r="K157" s="111"/>
      <c r="L157" s="109"/>
      <c r="M157" s="109"/>
      <c r="N157" s="109"/>
      <c r="O157" s="110"/>
      <c r="R157" s="87" t="s">
        <v>176</v>
      </c>
      <c r="S157" s="111"/>
      <c r="T157" s="109"/>
      <c r="U157" s="109"/>
      <c r="V157" s="109"/>
      <c r="W157" s="110"/>
      <c r="Z157" s="87" t="s">
        <v>176</v>
      </c>
      <c r="AA157" s="111"/>
      <c r="AB157" s="109"/>
      <c r="AC157" s="109"/>
      <c r="AD157" s="109"/>
      <c r="AE157" s="110"/>
      <c r="AH157" s="87" t="s">
        <v>176</v>
      </c>
      <c r="AI157" s="111"/>
      <c r="AJ157" s="109"/>
      <c r="AK157" s="109"/>
      <c r="AL157" s="109"/>
      <c r="AM157" s="110"/>
      <c r="AP157" s="87" t="s">
        <v>176</v>
      </c>
      <c r="AQ157" s="111"/>
      <c r="AR157" s="109"/>
      <c r="AS157" s="109"/>
      <c r="AT157" s="109"/>
      <c r="AU157" s="110"/>
      <c r="AX157" s="87" t="s">
        <v>176</v>
      </c>
      <c r="AY157" s="111"/>
      <c r="AZ157" s="109"/>
      <c r="BA157" s="109"/>
      <c r="BB157" s="109"/>
      <c r="BC157" s="110"/>
      <c r="BF157" s="87" t="s">
        <v>176</v>
      </c>
      <c r="BG157" s="111"/>
      <c r="BH157" s="109"/>
      <c r="BI157" s="109"/>
      <c r="BJ157" s="109"/>
      <c r="BK157" s="110"/>
      <c r="BN157" s="87" t="s">
        <v>176</v>
      </c>
      <c r="BO157" s="111"/>
      <c r="BP157" s="109"/>
      <c r="BQ157" s="109"/>
      <c r="BR157" s="109"/>
      <c r="BS157" s="110"/>
      <c r="BV157" s="87" t="s">
        <v>176</v>
      </c>
      <c r="BW157" s="111"/>
      <c r="BX157" s="109"/>
      <c r="BY157" s="109"/>
      <c r="BZ157" s="109"/>
      <c r="CA157" s="110"/>
      <c r="CD157" s="87" t="s">
        <v>176</v>
      </c>
      <c r="CE157" s="111"/>
      <c r="CF157" s="109"/>
      <c r="CG157" s="109"/>
      <c r="CH157" s="109"/>
      <c r="CI157" s="110"/>
      <c r="CL157" s="87" t="s">
        <v>176</v>
      </c>
      <c r="CM157" s="111"/>
      <c r="CN157" s="109"/>
      <c r="CO157" s="109"/>
      <c r="CP157" s="109"/>
      <c r="CQ157" s="110"/>
      <c r="CT157" s="87" t="s">
        <v>176</v>
      </c>
      <c r="CU157" s="111"/>
      <c r="CV157" s="109"/>
      <c r="CW157" s="109"/>
      <c r="CX157" s="109"/>
      <c r="CY157" s="110"/>
      <c r="DB157" s="87" t="s">
        <v>176</v>
      </c>
      <c r="DC157" s="111"/>
      <c r="DD157" s="109"/>
      <c r="DE157" s="109"/>
      <c r="DF157" s="109"/>
      <c r="DG157" s="110"/>
    </row>
    <row r="158" spans="2:113">
      <c r="B158" s="87" t="s">
        <v>172</v>
      </c>
      <c r="C158" s="111"/>
      <c r="D158" s="111"/>
      <c r="E158" s="109">
        <f ca="1">(E32*ci_int1)+(E32*ct_int1*'Time on treatment'!$D$12)</f>
        <v>0</v>
      </c>
      <c r="F158" s="109">
        <f ca="1">(F32*ct_int1*'Time on treatment'!$E$12)</f>
        <v>0</v>
      </c>
      <c r="G158" s="110">
        <f ca="1">(G32*ct_int1*'Time on treatment'!$F$12)</f>
        <v>0</v>
      </c>
      <c r="J158" s="87" t="s">
        <v>172</v>
      </c>
      <c r="K158" s="111"/>
      <c r="L158" s="111"/>
      <c r="M158" s="109">
        <f ca="1">(M32*ci_int2)+(M32*ct_int2*'Time on treatment'!$D$13)</f>
        <v>0</v>
      </c>
      <c r="N158" s="109">
        <f ca="1">(N32*ct_int2*'Time on treatment'!$E$13)</f>
        <v>0</v>
      </c>
      <c r="O158" s="110">
        <f ca="1">(O32*ct_int2*'Time on treatment'!$F$13)</f>
        <v>0</v>
      </c>
      <c r="R158" s="87" t="s">
        <v>172</v>
      </c>
      <c r="S158" s="111"/>
      <c r="T158" s="111"/>
      <c r="U158" s="109">
        <f ca="1">(U32*ci_int3)+(U32*ct_int3*'Time on treatment'!$D$14)</f>
        <v>0</v>
      </c>
      <c r="V158" s="109">
        <f ca="1">(V32*ct_int3*'Time on treatment'!$E$14)</f>
        <v>0</v>
      </c>
      <c r="W158" s="110">
        <f ca="1">(W32*ct_int3*'Time on treatment'!$F$14)</f>
        <v>0</v>
      </c>
      <c r="Z158" s="87" t="s">
        <v>172</v>
      </c>
      <c r="AA158" s="111"/>
      <c r="AB158" s="111"/>
      <c r="AC158" s="109">
        <f ca="1">(AC32*ci_int4)+(AC32*ct_int4*'Time on treatment'!$D$15)</f>
        <v>0</v>
      </c>
      <c r="AD158" s="109">
        <f ca="1">(AD32*ct_int4*'Time on treatment'!$E$15)</f>
        <v>0</v>
      </c>
      <c r="AE158" s="110">
        <f ca="1">(AE32*ct_int4*'Time on treatment'!$F$15)</f>
        <v>0</v>
      </c>
      <c r="AH158" s="87" t="s">
        <v>172</v>
      </c>
      <c r="AI158" s="111"/>
      <c r="AJ158" s="111"/>
      <c r="AK158" s="109">
        <f ca="1">(AK32*ci_comp1)+(AK32*ct_comp1*'Time on treatment'!$D$19)</f>
        <v>11449.401008567909</v>
      </c>
      <c r="AL158" s="109">
        <f ca="1">(AL32*ct_comp1*'Time on treatment'!$E$19)</f>
        <v>11449.401008567909</v>
      </c>
      <c r="AM158" s="110">
        <f ca="1">(AM32*ct_comp1*'Time on treatment'!$F$19)</f>
        <v>11449.401008567909</v>
      </c>
      <c r="AP158" s="87" t="s">
        <v>172</v>
      </c>
      <c r="AQ158" s="111"/>
      <c r="AR158" s="111"/>
      <c r="AS158" s="109">
        <f ca="1">(AS32*ci_comp2)+(AS32*ct_comp2*'Time on treatment'!$D$20)</f>
        <v>86140.243525157828</v>
      </c>
      <c r="AT158" s="109">
        <f ca="1">(AT32*ct_comp2*'Time on treatment'!$E$20)</f>
        <v>86140.243525157828</v>
      </c>
      <c r="AU158" s="110">
        <f ca="1">(AU32*ct_comp2*'Time on treatment'!$F$20)</f>
        <v>86140.243525157828</v>
      </c>
      <c r="AX158" s="87" t="s">
        <v>172</v>
      </c>
      <c r="AY158" s="111"/>
      <c r="AZ158" s="111"/>
      <c r="BA158" s="109">
        <f ca="1">(BA32*ci_comp3)+(BA32*ct_comp3*'Time on treatment'!$D$21)</f>
        <v>474274.4962622794</v>
      </c>
      <c r="BB158" s="109">
        <f ca="1">(BB32*ct_comp3*'Time on treatment'!$E$21)</f>
        <v>474274.4962622794</v>
      </c>
      <c r="BC158" s="110">
        <f ca="1">(BC32*ct_comp3*'Time on treatment'!$F$21)</f>
        <v>474274.4962622794</v>
      </c>
      <c r="BF158" s="87" t="s">
        <v>172</v>
      </c>
      <c r="BG158" s="111"/>
      <c r="BH158" s="111"/>
      <c r="BI158" s="109">
        <f ca="1">(BI32*ci_comp4)+(BI32*ct_comp4*'Time on treatment'!$D$22)</f>
        <v>90389.099497578223</v>
      </c>
      <c r="BJ158" s="109">
        <f ca="1">(BJ32*ct_comp4*'Time on treatment'!$E$22)</f>
        <v>90389.099497578223</v>
      </c>
      <c r="BK158" s="110">
        <f ca="1">(BK32*ct_comp4*'Time on treatment'!$F$22)</f>
        <v>90389.099497578223</v>
      </c>
      <c r="BN158" s="87" t="s">
        <v>172</v>
      </c>
      <c r="BO158" s="111"/>
      <c r="BP158" s="111"/>
      <c r="BQ158" s="109">
        <f ca="1">(BQ32*ci_comp5)+(BQ32*ct_comp5*'Time on treatment'!$D$23)</f>
        <v>9103.7666596822746</v>
      </c>
      <c r="BR158" s="109">
        <f ca="1">(BR32*ct_comp5*'Time on treatment'!$E$23)</f>
        <v>9103.7666596822746</v>
      </c>
      <c r="BS158" s="110">
        <f ca="1">(BS32*ct_comp5*'Time on treatment'!$F$23)</f>
        <v>9103.7666596822746</v>
      </c>
      <c r="BV158" s="87" t="s">
        <v>172</v>
      </c>
      <c r="BW158" s="111"/>
      <c r="BX158" s="111"/>
      <c r="BY158" s="109">
        <f ca="1">(BY32*ci_comp6)+(BY32*ct_comp6*'Time on treatment'!$D$24)</f>
        <v>336.06374130800475</v>
      </c>
      <c r="BZ158" s="109">
        <f ca="1">(BZ32*ct_comp6*'Time on treatment'!$E$24)</f>
        <v>336.06374130800475</v>
      </c>
      <c r="CA158" s="110">
        <f ca="1">(CA32*ct_comp6*'Time on treatment'!$F$24)</f>
        <v>336.06374130800475</v>
      </c>
      <c r="CD158" s="87" t="s">
        <v>172</v>
      </c>
      <c r="CE158" s="111"/>
      <c r="CF158" s="111"/>
      <c r="CG158" s="109">
        <f ca="1">(CG32*ci_comp7)+(CG32*ct_comp7*'Time on treatment'!$D$25)</f>
        <v>24266.499145983191</v>
      </c>
      <c r="CH158" s="109">
        <f ca="1">(CH32*ct_comp7*'Time on treatment'!$E$25)</f>
        <v>24266.499145983191</v>
      </c>
      <c r="CI158" s="110">
        <f ca="1">(CI32*ct_comp7*'Time on treatment'!$F$25)</f>
        <v>24266.499145983191</v>
      </c>
      <c r="CL158" s="87" t="s">
        <v>172</v>
      </c>
      <c r="CM158" s="111"/>
      <c r="CN158" s="111"/>
      <c r="CO158" s="109">
        <f ca="1">(CO32*ci_comp8)+(CO32*ct_comp8*'Time on treatment'!$D$26)</f>
        <v>103979.64567697627</v>
      </c>
      <c r="CP158" s="109">
        <f ca="1">(CP32*ct_comp8*'Time on treatment'!$E$26)</f>
        <v>103979.64567697627</v>
      </c>
      <c r="CQ158" s="110">
        <f ca="1">(CQ32*ct_comp8*'Time on treatment'!$F$26)</f>
        <v>103979.64567697627</v>
      </c>
      <c r="CT158" s="87" t="s">
        <v>172</v>
      </c>
      <c r="CU158" s="111"/>
      <c r="CV158" s="111"/>
      <c r="CW158" s="109">
        <f ca="1">(CW32*ci_comp9)+(CW32*ct_comp9*'Time on treatment'!$D$27)</f>
        <v>221784.26834031026</v>
      </c>
      <c r="CX158" s="109">
        <f ca="1">(CX32*ct_comp9*'Time on treatment'!$E$27)</f>
        <v>221784.26834031026</v>
      </c>
      <c r="CY158" s="110">
        <f ca="1">(CY32*ct_comp9*'Time on treatment'!$F$27)</f>
        <v>221784.26834031026</v>
      </c>
      <c r="DB158" s="87" t="s">
        <v>172</v>
      </c>
      <c r="DC158" s="111"/>
      <c r="DD158" s="111"/>
      <c r="DE158" s="109">
        <f ca="1">(DE32*ci_comp10)+(DE32*ct_comp10*'Time on treatment'!$D$28)</f>
        <v>0</v>
      </c>
      <c r="DF158" s="109">
        <f ca="1">(DF32*ct_comp10*'Time on treatment'!$E$28)</f>
        <v>0</v>
      </c>
      <c r="DG158" s="110">
        <f ca="1">(DG32*ct_comp10*'Time on treatment'!$F$28)</f>
        <v>0</v>
      </c>
    </row>
    <row r="159" spans="2:113">
      <c r="B159" s="87" t="s">
        <v>177</v>
      </c>
      <c r="C159" s="111"/>
      <c r="D159" s="111"/>
      <c r="E159" s="109"/>
      <c r="F159" s="109"/>
      <c r="G159" s="110"/>
      <c r="J159" s="87" t="s">
        <v>177</v>
      </c>
      <c r="K159" s="111"/>
      <c r="L159" s="111"/>
      <c r="M159" s="109"/>
      <c r="N159" s="109"/>
      <c r="O159" s="110"/>
      <c r="R159" s="87" t="s">
        <v>177</v>
      </c>
      <c r="S159" s="111"/>
      <c r="T159" s="111"/>
      <c r="U159" s="109"/>
      <c r="V159" s="109"/>
      <c r="W159" s="110"/>
      <c r="Z159" s="87" t="s">
        <v>177</v>
      </c>
      <c r="AA159" s="111"/>
      <c r="AB159" s="111"/>
      <c r="AC159" s="109"/>
      <c r="AD159" s="109"/>
      <c r="AE159" s="110"/>
      <c r="AH159" s="87" t="s">
        <v>177</v>
      </c>
      <c r="AI159" s="111"/>
      <c r="AJ159" s="111"/>
      <c r="AK159" s="109"/>
      <c r="AL159" s="109"/>
      <c r="AM159" s="110"/>
      <c r="AP159" s="87" t="s">
        <v>177</v>
      </c>
      <c r="AQ159" s="111"/>
      <c r="AR159" s="111"/>
      <c r="AS159" s="109"/>
      <c r="AT159" s="109"/>
      <c r="AU159" s="110"/>
      <c r="AX159" s="87" t="s">
        <v>177</v>
      </c>
      <c r="AY159" s="111"/>
      <c r="AZ159" s="111"/>
      <c r="BA159" s="109"/>
      <c r="BB159" s="109"/>
      <c r="BC159" s="110"/>
      <c r="BF159" s="87" t="s">
        <v>177</v>
      </c>
      <c r="BG159" s="111"/>
      <c r="BH159" s="111"/>
      <c r="BI159" s="109"/>
      <c r="BJ159" s="109"/>
      <c r="BK159" s="110"/>
      <c r="BN159" s="87" t="s">
        <v>177</v>
      </c>
      <c r="BO159" s="111"/>
      <c r="BP159" s="111"/>
      <c r="BQ159" s="109"/>
      <c r="BR159" s="109"/>
      <c r="BS159" s="110"/>
      <c r="BV159" s="87" t="s">
        <v>177</v>
      </c>
      <c r="BW159" s="111"/>
      <c r="BX159" s="111"/>
      <c r="BY159" s="109"/>
      <c r="BZ159" s="109"/>
      <c r="CA159" s="110"/>
      <c r="CD159" s="87" t="s">
        <v>177</v>
      </c>
      <c r="CE159" s="111"/>
      <c r="CF159" s="111"/>
      <c r="CG159" s="109"/>
      <c r="CH159" s="109"/>
      <c r="CI159" s="110"/>
      <c r="CL159" s="87" t="s">
        <v>177</v>
      </c>
      <c r="CM159" s="111"/>
      <c r="CN159" s="111"/>
      <c r="CO159" s="109"/>
      <c r="CP159" s="109"/>
      <c r="CQ159" s="110"/>
      <c r="CT159" s="87" t="s">
        <v>177</v>
      </c>
      <c r="CU159" s="111"/>
      <c r="CV159" s="111"/>
      <c r="CW159" s="109"/>
      <c r="CX159" s="109"/>
      <c r="CY159" s="110"/>
      <c r="DB159" s="87" t="s">
        <v>177</v>
      </c>
      <c r="DC159" s="111"/>
      <c r="DD159" s="111"/>
      <c r="DE159" s="109"/>
      <c r="DF159" s="109"/>
      <c r="DG159" s="110"/>
    </row>
    <row r="160" spans="2:113">
      <c r="B160" s="87" t="s">
        <v>173</v>
      </c>
      <c r="C160" s="111"/>
      <c r="D160" s="111"/>
      <c r="E160" s="111"/>
      <c r="F160" s="109">
        <f ca="1">(F34*ci_int1)+(F34*ct_int1*'Time on treatment'!$D$12)</f>
        <v>0</v>
      </c>
      <c r="G160" s="110">
        <f ca="1">(G34*ct_int1*'Time on treatment'!$E$12)</f>
        <v>0</v>
      </c>
      <c r="J160" s="87" t="s">
        <v>173</v>
      </c>
      <c r="K160" s="111"/>
      <c r="L160" s="111"/>
      <c r="M160" s="111"/>
      <c r="N160" s="109">
        <f ca="1">(N34*ci_int2)+(N34*ct_int2*'Time on treatment'!$D$13)</f>
        <v>0</v>
      </c>
      <c r="O160" s="110">
        <f ca="1">(O34*ct_int2*'Time on treatment'!$E$13)</f>
        <v>0</v>
      </c>
      <c r="R160" s="87" t="s">
        <v>173</v>
      </c>
      <c r="S160" s="111"/>
      <c r="T160" s="111"/>
      <c r="U160" s="111"/>
      <c r="V160" s="109">
        <f ca="1">(V34*ci_int3)+(V34*ct_int3*'Time on treatment'!$D$14)</f>
        <v>0</v>
      </c>
      <c r="W160" s="110">
        <f ca="1">(W34*ct_int3*'Time on treatment'!$E$14)</f>
        <v>0</v>
      </c>
      <c r="Z160" s="87" t="s">
        <v>173</v>
      </c>
      <c r="AA160" s="111"/>
      <c r="AB160" s="111"/>
      <c r="AC160" s="111"/>
      <c r="AD160" s="109">
        <f ca="1">(AD34*ci_int4)+(AD34*ct_int4*'Time on treatment'!$D$15)</f>
        <v>0</v>
      </c>
      <c r="AE160" s="110">
        <f ca="1">(AE34*ct_int4*'Time on treatment'!$E$15)</f>
        <v>0</v>
      </c>
      <c r="AH160" s="87" t="s">
        <v>173</v>
      </c>
      <c r="AI160" s="111"/>
      <c r="AJ160" s="111"/>
      <c r="AK160" s="111"/>
      <c r="AL160" s="109">
        <f ca="1">(AL34*ci_comp1)+(AL34*ct_comp1*'Time on treatment'!$D$19)</f>
        <v>11476.607930558643</v>
      </c>
      <c r="AM160" s="110">
        <f ca="1">(AM34*ct_comp1*'Time on treatment'!$E$19)</f>
        <v>11476.607930558643</v>
      </c>
      <c r="AP160" s="87" t="s">
        <v>173</v>
      </c>
      <c r="AQ160" s="111"/>
      <c r="AR160" s="111"/>
      <c r="AS160" s="111"/>
      <c r="AT160" s="109">
        <f ca="1">(AT34*ci_comp2)+(AT34*ct_comp2*'Time on treatment'!$D$20)</f>
        <v>86344.9364068289</v>
      </c>
      <c r="AU160" s="110">
        <f ca="1">(AU34*ct_comp2*'Time on treatment'!$E$20)</f>
        <v>86344.9364068289</v>
      </c>
      <c r="AX160" s="87" t="s">
        <v>173</v>
      </c>
      <c r="AY160" s="111"/>
      <c r="AZ160" s="111"/>
      <c r="BA160" s="111"/>
      <c r="BB160" s="109">
        <f ca="1">(BB34*ci_comp3)+(BB34*ct_comp3*'Time on treatment'!$D$21)</f>
        <v>475401.50275042176</v>
      </c>
      <c r="BC160" s="110">
        <f ca="1">(BC34*ct_comp3*'Time on treatment'!$E$21)</f>
        <v>475401.50275042176</v>
      </c>
      <c r="BF160" s="87" t="s">
        <v>173</v>
      </c>
      <c r="BG160" s="111"/>
      <c r="BH160" s="111"/>
      <c r="BI160" s="111"/>
      <c r="BJ160" s="109">
        <f ca="1">(BJ34*ci_comp4)+(BJ34*ct_comp4*'Time on treatment'!$D$22)</f>
        <v>90603.88882821679</v>
      </c>
      <c r="BK160" s="110">
        <f ca="1">(BK34*ct_comp4*'Time on treatment'!$E$22)</f>
        <v>90603.88882821679</v>
      </c>
      <c r="BN160" s="87" t="s">
        <v>173</v>
      </c>
      <c r="BO160" s="111"/>
      <c r="BP160" s="111"/>
      <c r="BQ160" s="111"/>
      <c r="BR160" s="109">
        <f ca="1">(BR34*ci_comp5)+(BR34*ct_comp5*'Time on treatment'!$D$23)</f>
        <v>9125.3997101053028</v>
      </c>
      <c r="BS160" s="110">
        <f ca="1">(BS34*ct_comp5*'Time on treatment'!$E$23)</f>
        <v>9125.3997101053028</v>
      </c>
      <c r="BV160" s="87" t="s">
        <v>173</v>
      </c>
      <c r="BW160" s="111"/>
      <c r="BX160" s="111"/>
      <c r="BY160" s="111"/>
      <c r="BZ160" s="109">
        <f ca="1">(BZ34*ci_comp6)+(BZ34*ct_comp6*'Time on treatment'!$D$24)</f>
        <v>336.86232107535136</v>
      </c>
      <c r="CA160" s="110">
        <f ca="1">(CA34*ct_comp6*'Time on treatment'!$E$24)</f>
        <v>336.86232107535136</v>
      </c>
      <c r="CD160" s="87" t="s">
        <v>173</v>
      </c>
      <c r="CE160" s="111"/>
      <c r="CF160" s="111"/>
      <c r="CG160" s="111"/>
      <c r="CH160" s="109">
        <f ca="1">(CH34*ci_comp7)+(CH34*ct_comp7*'Time on treatment'!$D$25)</f>
        <v>24324.16301405444</v>
      </c>
      <c r="CI160" s="110">
        <f ca="1">(CI34*ct_comp7*'Time on treatment'!$E$25)</f>
        <v>24324.16301405444</v>
      </c>
      <c r="CL160" s="87" t="s">
        <v>173</v>
      </c>
      <c r="CM160" s="111"/>
      <c r="CN160" s="111"/>
      <c r="CO160" s="111"/>
      <c r="CP160" s="109">
        <f ca="1">(CP34*ci_comp8)+(CP34*ct_comp8*'Time on treatment'!$D$26)</f>
        <v>104226.72987871227</v>
      </c>
      <c r="CQ160" s="110">
        <f ca="1">(CQ34*ct_comp8*'Time on treatment'!$E$26)</f>
        <v>104226.72987871227</v>
      </c>
      <c r="CT160" s="87" t="s">
        <v>173</v>
      </c>
      <c r="CU160" s="111"/>
      <c r="CV160" s="111"/>
      <c r="CW160" s="111"/>
      <c r="CX160" s="109">
        <f ca="1">(CX34*ci_comp9)+(CX34*ct_comp9*'Time on treatment'!$D$27)</f>
        <v>222311.28868687604</v>
      </c>
      <c r="CY160" s="110">
        <f ca="1">(CY34*ct_comp9*'Time on treatment'!$E$27)</f>
        <v>222311.28868687604</v>
      </c>
      <c r="DB160" s="87" t="s">
        <v>173</v>
      </c>
      <c r="DC160" s="111"/>
      <c r="DD160" s="111"/>
      <c r="DE160" s="111"/>
      <c r="DF160" s="109">
        <f ca="1">(DF34*ci_comp10)+(DF34*ct_comp10*'Time on treatment'!$D$28)</f>
        <v>0</v>
      </c>
      <c r="DG160" s="110">
        <f ca="1">(DG34*ct_comp10*'Time on treatment'!$E$28)</f>
        <v>0</v>
      </c>
    </row>
    <row r="161" spans="2:111">
      <c r="B161" s="87" t="s">
        <v>178</v>
      </c>
      <c r="C161" s="111"/>
      <c r="D161" s="111"/>
      <c r="E161" s="111"/>
      <c r="F161" s="109"/>
      <c r="G161" s="110"/>
      <c r="J161" s="87" t="s">
        <v>178</v>
      </c>
      <c r="K161" s="111"/>
      <c r="L161" s="111"/>
      <c r="M161" s="111"/>
      <c r="N161" s="109"/>
      <c r="O161" s="110"/>
      <c r="R161" s="87" t="s">
        <v>178</v>
      </c>
      <c r="S161" s="111"/>
      <c r="T161" s="111"/>
      <c r="U161" s="111"/>
      <c r="V161" s="109"/>
      <c r="W161" s="110"/>
      <c r="Z161" s="87" t="s">
        <v>178</v>
      </c>
      <c r="AA161" s="111"/>
      <c r="AB161" s="111"/>
      <c r="AC161" s="111"/>
      <c r="AD161" s="109"/>
      <c r="AE161" s="110"/>
      <c r="AH161" s="87" t="s">
        <v>178</v>
      </c>
      <c r="AI161" s="111"/>
      <c r="AJ161" s="111"/>
      <c r="AK161" s="111"/>
      <c r="AL161" s="109"/>
      <c r="AM161" s="110"/>
      <c r="AP161" s="87" t="s">
        <v>178</v>
      </c>
      <c r="AQ161" s="111"/>
      <c r="AR161" s="111"/>
      <c r="AS161" s="111"/>
      <c r="AT161" s="109"/>
      <c r="AU161" s="110"/>
      <c r="AX161" s="87" t="s">
        <v>178</v>
      </c>
      <c r="AY161" s="111"/>
      <c r="AZ161" s="111"/>
      <c r="BA161" s="111"/>
      <c r="BB161" s="109"/>
      <c r="BC161" s="110"/>
      <c r="BF161" s="87" t="s">
        <v>178</v>
      </c>
      <c r="BG161" s="111"/>
      <c r="BH161" s="111"/>
      <c r="BI161" s="111"/>
      <c r="BJ161" s="109"/>
      <c r="BK161" s="110"/>
      <c r="BN161" s="87" t="s">
        <v>178</v>
      </c>
      <c r="BO161" s="111"/>
      <c r="BP161" s="111"/>
      <c r="BQ161" s="111"/>
      <c r="BR161" s="109"/>
      <c r="BS161" s="110"/>
      <c r="BV161" s="87" t="s">
        <v>178</v>
      </c>
      <c r="BW161" s="111"/>
      <c r="BX161" s="111"/>
      <c r="BY161" s="111"/>
      <c r="BZ161" s="109"/>
      <c r="CA161" s="110"/>
      <c r="CD161" s="87" t="s">
        <v>178</v>
      </c>
      <c r="CE161" s="111"/>
      <c r="CF161" s="111"/>
      <c r="CG161" s="111"/>
      <c r="CH161" s="109"/>
      <c r="CI161" s="110"/>
      <c r="CL161" s="87" t="s">
        <v>178</v>
      </c>
      <c r="CM161" s="111"/>
      <c r="CN161" s="111"/>
      <c r="CO161" s="111"/>
      <c r="CP161" s="109"/>
      <c r="CQ161" s="110"/>
      <c r="CT161" s="87" t="s">
        <v>178</v>
      </c>
      <c r="CU161" s="111"/>
      <c r="CV161" s="111"/>
      <c r="CW161" s="111"/>
      <c r="CX161" s="109"/>
      <c r="CY161" s="110"/>
      <c r="DB161" s="87" t="s">
        <v>178</v>
      </c>
      <c r="DC161" s="111"/>
      <c r="DD161" s="111"/>
      <c r="DE161" s="111"/>
      <c r="DF161" s="109"/>
      <c r="DG161" s="110"/>
    </row>
    <row r="162" spans="2:111">
      <c r="B162" s="87" t="s">
        <v>174</v>
      </c>
      <c r="C162" s="111"/>
      <c r="D162" s="111"/>
      <c r="E162" s="111"/>
      <c r="F162" s="111"/>
      <c r="G162" s="110">
        <f ca="1">(G36*ci_int1)+(G36*ct_int1*'Time on treatment'!$D$12)</f>
        <v>0</v>
      </c>
      <c r="J162" s="87" t="s">
        <v>174</v>
      </c>
      <c r="K162" s="111"/>
      <c r="L162" s="111"/>
      <c r="M162" s="111"/>
      <c r="N162" s="111"/>
      <c r="O162" s="110">
        <f ca="1">(O36*ci_int2)+(O36*ct_int2*'Time on treatment'!$D$13)</f>
        <v>0</v>
      </c>
      <c r="R162" s="87" t="s">
        <v>174</v>
      </c>
      <c r="S162" s="111"/>
      <c r="T162" s="111"/>
      <c r="U162" s="111"/>
      <c r="V162" s="111"/>
      <c r="W162" s="110">
        <f ca="1">(W36*ci_int3)+(W36*ct_int3*'Time on treatment'!$D$14)</f>
        <v>0</v>
      </c>
      <c r="Z162" s="87" t="s">
        <v>174</v>
      </c>
      <c r="AA162" s="111"/>
      <c r="AB162" s="111"/>
      <c r="AC162" s="111"/>
      <c r="AD162" s="111"/>
      <c r="AE162" s="110">
        <f ca="1">(AE36*ci_int4)+(AE36*ct_int4*'Time on treatment'!$D$15)</f>
        <v>0</v>
      </c>
      <c r="AH162" s="87" t="s">
        <v>174</v>
      </c>
      <c r="AI162" s="111"/>
      <c r="AJ162" s="111"/>
      <c r="AK162" s="111"/>
      <c r="AL162" s="111"/>
      <c r="AM162" s="110">
        <f ca="1">(AM36*ci_comp1)+(AM36*ct_comp1*'Time on treatment'!$D$19)</f>
        <v>11539.464691068606</v>
      </c>
      <c r="AP162" s="87" t="s">
        <v>174</v>
      </c>
      <c r="AQ162" s="111"/>
      <c r="AR162" s="111"/>
      <c r="AS162" s="111"/>
      <c r="AT162" s="111"/>
      <c r="AU162" s="110">
        <f ca="1">(AU36*ci_comp2)+(AU36*ct_comp2*'Time on treatment'!$D$20)</f>
        <v>86817.842950453254</v>
      </c>
      <c r="AX162" s="87" t="s">
        <v>174</v>
      </c>
      <c r="AY162" s="111"/>
      <c r="AZ162" s="111"/>
      <c r="BA162" s="111"/>
      <c r="BB162" s="111"/>
      <c r="BC162" s="110">
        <f ca="1">(BC36*ci_comp3)+(BC36*ct_comp3*'Time on treatment'!$D$21)</f>
        <v>478005.25105177262</v>
      </c>
      <c r="BF162" s="87" t="s">
        <v>174</v>
      </c>
      <c r="BG162" s="111"/>
      <c r="BH162" s="111"/>
      <c r="BI162" s="111"/>
      <c r="BJ162" s="111"/>
      <c r="BK162" s="110">
        <f ca="1">(BK36*ci_comp4)+(BK36*ct_comp4*'Time on treatment'!$D$22)</f>
        <v>91100.12142375423</v>
      </c>
      <c r="BN162" s="87" t="s">
        <v>174</v>
      </c>
      <c r="BO162" s="111"/>
      <c r="BP162" s="111"/>
      <c r="BQ162" s="111"/>
      <c r="BR162" s="111"/>
      <c r="BS162" s="110">
        <f ca="1">(BS36*ci_comp5)+(BS36*ct_comp5*'Time on treatment'!$D$23)</f>
        <v>9175.3790304416252</v>
      </c>
      <c r="BV162" s="87" t="s">
        <v>174</v>
      </c>
      <c r="BW162" s="111"/>
      <c r="BX162" s="111"/>
      <c r="BY162" s="111"/>
      <c r="BZ162" s="111"/>
      <c r="CA162" s="110">
        <f ca="1">(CA36*ci_comp6)+(CA36*ct_comp6*'Time on treatment'!$D$24)</f>
        <v>338.7072977765493</v>
      </c>
      <c r="CD162" s="87" t="s">
        <v>174</v>
      </c>
      <c r="CE162" s="111"/>
      <c r="CF162" s="111"/>
      <c r="CG162" s="111"/>
      <c r="CH162" s="111"/>
      <c r="CI162" s="110">
        <f ca="1">(CI36*ci_comp7)+(CI36*ct_comp7*'Time on treatment'!$D$25)</f>
        <v>24457.385138433954</v>
      </c>
      <c r="CL162" s="87" t="s">
        <v>174</v>
      </c>
      <c r="CM162" s="111"/>
      <c r="CN162" s="111"/>
      <c r="CO162" s="111"/>
      <c r="CP162" s="111"/>
      <c r="CQ162" s="110">
        <f ca="1">(CQ36*ci_comp8)+(CQ36*ct_comp8*'Time on treatment'!$D$26)</f>
        <v>104797.57403740124</v>
      </c>
      <c r="CT162" s="87" t="s">
        <v>174</v>
      </c>
      <c r="CU162" s="111"/>
      <c r="CV162" s="111"/>
      <c r="CW162" s="111"/>
      <c r="CX162" s="111"/>
      <c r="CY162" s="110">
        <f ca="1">(CY36*ci_comp9)+(CY36*ct_comp9*'Time on treatment'!$D$27)</f>
        <v>223528.87558330083</v>
      </c>
      <c r="DB162" s="87" t="s">
        <v>174</v>
      </c>
      <c r="DC162" s="111"/>
      <c r="DD162" s="111"/>
      <c r="DE162" s="111"/>
      <c r="DF162" s="111"/>
      <c r="DG162" s="110">
        <f ca="1">(DG36*ci_comp10)+(DG36*ct_comp10*'Time on treatment'!$D$28)</f>
        <v>0</v>
      </c>
    </row>
    <row r="163" spans="2:111" ht="15" thickBot="1">
      <c r="B163" s="87" t="s">
        <v>179</v>
      </c>
      <c r="C163" s="111"/>
      <c r="D163" s="111"/>
      <c r="E163" s="111"/>
      <c r="F163" s="111"/>
      <c r="G163" s="112"/>
      <c r="J163" s="87" t="s">
        <v>179</v>
      </c>
      <c r="K163" s="111"/>
      <c r="L163" s="111"/>
      <c r="M163" s="111"/>
      <c r="N163" s="111"/>
      <c r="O163" s="112"/>
      <c r="R163" s="87" t="s">
        <v>179</v>
      </c>
      <c r="S163" s="111"/>
      <c r="T163" s="111"/>
      <c r="U163" s="111"/>
      <c r="V163" s="111"/>
      <c r="W163" s="112"/>
      <c r="Z163" s="87" t="s">
        <v>179</v>
      </c>
      <c r="AA163" s="111"/>
      <c r="AB163" s="111"/>
      <c r="AC163" s="111"/>
      <c r="AD163" s="111"/>
      <c r="AE163" s="112"/>
      <c r="AH163" s="87" t="s">
        <v>179</v>
      </c>
      <c r="AI163" s="111"/>
      <c r="AJ163" s="111"/>
      <c r="AK163" s="111"/>
      <c r="AL163" s="111"/>
      <c r="AM163" s="112"/>
      <c r="AP163" s="87" t="s">
        <v>179</v>
      </c>
      <c r="AQ163" s="111"/>
      <c r="AR163" s="111"/>
      <c r="AS163" s="111"/>
      <c r="AT163" s="111"/>
      <c r="AU163" s="112"/>
      <c r="AX163" s="87" t="s">
        <v>179</v>
      </c>
      <c r="AY163" s="111"/>
      <c r="AZ163" s="111"/>
      <c r="BA163" s="111"/>
      <c r="BB163" s="111"/>
      <c r="BC163" s="112"/>
      <c r="BF163" s="87" t="s">
        <v>179</v>
      </c>
      <c r="BG163" s="111"/>
      <c r="BH163" s="111"/>
      <c r="BI163" s="111"/>
      <c r="BJ163" s="111"/>
      <c r="BK163" s="112"/>
      <c r="BN163" s="87" t="s">
        <v>179</v>
      </c>
      <c r="BO163" s="111"/>
      <c r="BP163" s="111"/>
      <c r="BQ163" s="111"/>
      <c r="BR163" s="111"/>
      <c r="BS163" s="112"/>
      <c r="BV163" s="87" t="s">
        <v>179</v>
      </c>
      <c r="BW163" s="111"/>
      <c r="BX163" s="111"/>
      <c r="BY163" s="111"/>
      <c r="BZ163" s="111"/>
      <c r="CA163" s="112"/>
      <c r="CD163" s="87" t="s">
        <v>179</v>
      </c>
      <c r="CE163" s="111"/>
      <c r="CF163" s="111"/>
      <c r="CG163" s="111"/>
      <c r="CH163" s="111"/>
      <c r="CI163" s="112"/>
      <c r="CL163" s="87" t="s">
        <v>179</v>
      </c>
      <c r="CM163" s="111"/>
      <c r="CN163" s="111"/>
      <c r="CO163" s="111"/>
      <c r="CP163" s="111"/>
      <c r="CQ163" s="112"/>
      <c r="CT163" s="87" t="s">
        <v>179</v>
      </c>
      <c r="CU163" s="111"/>
      <c r="CV163" s="111"/>
      <c r="CW163" s="111"/>
      <c r="CX163" s="111"/>
      <c r="CY163" s="112"/>
      <c r="DB163" s="87" t="s">
        <v>179</v>
      </c>
      <c r="DC163" s="111"/>
      <c r="DD163" s="111"/>
      <c r="DE163" s="111"/>
      <c r="DF163" s="111"/>
      <c r="DG163" s="112"/>
    </row>
    <row r="164" spans="2:111" ht="15" thickBot="1">
      <c r="B164" s="85" t="str">
        <f>B145</f>
        <v>Rosuvastatin 5mg</v>
      </c>
      <c r="C164" s="113">
        <f ca="1">SUM(C154:C162)</f>
        <v>0</v>
      </c>
      <c r="D164" s="113">
        <f ca="1">SUM(D154:D162)</f>
        <v>0</v>
      </c>
      <c r="E164" s="113">
        <f ca="1">SUM(E154:E162)</f>
        <v>0</v>
      </c>
      <c r="F164" s="113">
        <f ca="1">SUM(F154:F162)</f>
        <v>0</v>
      </c>
      <c r="G164" s="114">
        <f ca="1">SUM(G154:G162)</f>
        <v>0</v>
      </c>
      <c r="J164" s="85" t="str">
        <f>J145</f>
        <v>Rosuvastatin 10mg</v>
      </c>
      <c r="K164" s="113">
        <f ca="1">SUM(K154:K162)</f>
        <v>0</v>
      </c>
      <c r="L164" s="113">
        <f ca="1">SUM(L154:L162)</f>
        <v>0</v>
      </c>
      <c r="M164" s="113">
        <f ca="1">SUM(M154:M162)</f>
        <v>0</v>
      </c>
      <c r="N164" s="113">
        <f ca="1">SUM(N154:N162)</f>
        <v>0</v>
      </c>
      <c r="O164" s="114">
        <f ca="1">SUM(O154:O162)</f>
        <v>0</v>
      </c>
      <c r="R164" s="85" t="str">
        <f>R145</f>
        <v>Rosuvastatin 20mg</v>
      </c>
      <c r="S164" s="113">
        <f ca="1">SUM(S154:S162)</f>
        <v>0</v>
      </c>
      <c r="T164" s="113">
        <f ca="1">SUM(T154:T162)</f>
        <v>0</v>
      </c>
      <c r="U164" s="113">
        <f ca="1">SUM(U154:U162)</f>
        <v>0</v>
      </c>
      <c r="V164" s="113">
        <f ca="1">SUM(V154:V162)</f>
        <v>0</v>
      </c>
      <c r="W164" s="114">
        <f ca="1">SUM(W154:W162)</f>
        <v>0</v>
      </c>
      <c r="Z164" s="85" t="str">
        <f>Z145</f>
        <v>Rosuvastatin 40mg</v>
      </c>
      <c r="AA164" s="113">
        <f ca="1">SUM(AA154:AA162)</f>
        <v>0</v>
      </c>
      <c r="AB164" s="113">
        <f ca="1">SUM(AB154:AB162)</f>
        <v>0</v>
      </c>
      <c r="AC164" s="113">
        <f ca="1">SUM(AC154:AC162)</f>
        <v>0</v>
      </c>
      <c r="AD164" s="113">
        <f ca="1">SUM(AD154:AD162)</f>
        <v>0</v>
      </c>
      <c r="AE164" s="114">
        <f ca="1">SUM(AE154:AE162)</f>
        <v>0</v>
      </c>
      <c r="AH164" s="85" t="str">
        <f>AH145</f>
        <v>Atorvastatin 10mg</v>
      </c>
      <c r="AI164" s="113">
        <f ca="1">SUM(AI154:AI162)</f>
        <v>1456977.3434282176</v>
      </c>
      <c r="AJ164" s="113">
        <f ca="1">SUM(AJ154:AJ162)</f>
        <v>1468927.4722879506</v>
      </c>
      <c r="AK164" s="113">
        <f ca="1">SUM(AK154:AK162)</f>
        <v>1480376.8732965186</v>
      </c>
      <c r="AL164" s="113">
        <f ca="1">SUM(AL154:AL162)</f>
        <v>1491853.4812270773</v>
      </c>
      <c r="AM164" s="114">
        <f ca="1">SUM(AM154:AM162)</f>
        <v>1503392.9459181458</v>
      </c>
      <c r="AP164" s="85" t="str">
        <f>AP145</f>
        <v>Atorvastatin 20mg</v>
      </c>
      <c r="AQ164" s="113">
        <f ca="1">SUM(AQ154:AQ162)</f>
        <v>10961654.94418666</v>
      </c>
      <c r="AR164" s="113">
        <f ca="1">SUM(AR154:AR162)</f>
        <v>11051562.44322212</v>
      </c>
      <c r="AS164" s="113">
        <f ca="1">SUM(AS154:AS162)</f>
        <v>11137702.686747279</v>
      </c>
      <c r="AT164" s="113">
        <f ca="1">SUM(AT154:AT162)</f>
        <v>11224047.623154107</v>
      </c>
      <c r="AU164" s="114">
        <f ca="1">SUM(AU154:AU162)</f>
        <v>11310865.466104561</v>
      </c>
      <c r="AX164" s="85" t="str">
        <f>AX145</f>
        <v>Atorvastatin 40mg</v>
      </c>
      <c r="AY164" s="113">
        <f ca="1">SUM(AY154:AY162)</f>
        <v>60353130.709883563</v>
      </c>
      <c r="AZ164" s="113">
        <f ca="1">SUM(AZ154:AZ162)</f>
        <v>60848147.116504133</v>
      </c>
      <c r="BA164" s="113">
        <f ca="1">SUM(BA154:BA162)</f>
        <v>61322421.612766415</v>
      </c>
      <c r="BB164" s="113">
        <f ca="1">SUM(BB154:BB162)</f>
        <v>61797823.115516834</v>
      </c>
      <c r="BC164" s="114">
        <f ca="1">SUM(BC154:BC162)</f>
        <v>62275828.36656861</v>
      </c>
      <c r="BF164" s="85" t="str">
        <f>BF145</f>
        <v>Atorvastatin 80mg</v>
      </c>
      <c r="BG164" s="113">
        <f ca="1">SUM(BG154:BG162)</f>
        <v>11502337.105871247</v>
      </c>
      <c r="BH164" s="113">
        <f ca="1">SUM(BH154:BH162)</f>
        <v>11596679.280252507</v>
      </c>
      <c r="BI164" s="113">
        <f ca="1">SUM(BI154:BI162)</f>
        <v>11687068.379750086</v>
      </c>
      <c r="BJ164" s="113">
        <f ca="1">SUM(BJ154:BJ162)</f>
        <v>11777672.268578302</v>
      </c>
      <c r="BK164" s="114">
        <f ca="1">SUM(BK154:BK162)</f>
        <v>11868772.390002057</v>
      </c>
      <c r="BN164" s="85" t="str">
        <f>BN145</f>
        <v>Pravastatin</v>
      </c>
      <c r="BO164" s="113">
        <f ca="1">SUM(BO154:BO162)</f>
        <v>1158486.9595438614</v>
      </c>
      <c r="BP164" s="113">
        <f ca="1">SUM(BP154:BP162)</f>
        <v>1167988.8701338333</v>
      </c>
      <c r="BQ164" s="113">
        <f ca="1">SUM(BQ154:BQ162)</f>
        <v>1177092.6367935156</v>
      </c>
      <c r="BR164" s="113">
        <f ca="1">SUM(BR154:BR162)</f>
        <v>1186218.0365036209</v>
      </c>
      <c r="BS164" s="114">
        <f ca="1">SUM(BS154:BS162)</f>
        <v>1195393.4155340625</v>
      </c>
      <c r="BV164" s="85" t="str">
        <f>BV145</f>
        <v>Simvastatin 5mg</v>
      </c>
      <c r="BW164" s="113">
        <f ca="1">SUM(BW154:BW162)</f>
        <v>42765.316427215286</v>
      </c>
      <c r="BX164" s="113">
        <f ca="1">SUM(BX154:BX162)</f>
        <v>43116.077572772978</v>
      </c>
      <c r="BY164" s="113">
        <f ca="1">SUM(BY154:BY162)</f>
        <v>43452.141314080982</v>
      </c>
      <c r="BZ164" s="113">
        <f ca="1">SUM(BZ154:BZ162)</f>
        <v>43789.003635156332</v>
      </c>
      <c r="CA164" s="114">
        <f ca="1">SUM(CA154:CA162)</f>
        <v>44127.710932932881</v>
      </c>
      <c r="CD164" s="85" t="str">
        <f>CD145</f>
        <v>Simvastatin 10mg</v>
      </c>
      <c r="CE164" s="113">
        <f ca="1">SUM(CE154:CE162)</f>
        <v>3087999.0519643785</v>
      </c>
      <c r="CF164" s="113">
        <f ca="1">SUM(CF154:CF162)</f>
        <v>3113326.821648757</v>
      </c>
      <c r="CG164" s="113">
        <f ca="1">SUM(CG154:CG162)</f>
        <v>3137593.3207947402</v>
      </c>
      <c r="CH164" s="113">
        <f ca="1">SUM(CH154:CH162)</f>
        <v>3161917.4838087945</v>
      </c>
      <c r="CI164" s="114">
        <f ca="1">SUM(CI154:CI162)</f>
        <v>3186374.8689472284</v>
      </c>
      <c r="CL164" s="85" t="str">
        <f>CL145</f>
        <v>Simvastatin 20mg</v>
      </c>
      <c r="CM164" s="113">
        <f ca="1">SUM(CM154:CM162)</f>
        <v>13231782.851843471</v>
      </c>
      <c r="CN164" s="113">
        <f ca="1">SUM(CN154:CN162)</f>
        <v>13340309.941050967</v>
      </c>
      <c r="CO164" s="113">
        <f ca="1">SUM(CO154:CO162)</f>
        <v>13444289.586727943</v>
      </c>
      <c r="CP164" s="113">
        <f ca="1">SUM(CP154:CP162)</f>
        <v>13548516.316606656</v>
      </c>
      <c r="CQ164" s="114">
        <f ca="1">SUM(CQ154:CQ162)</f>
        <v>13653313.890644057</v>
      </c>
      <c r="CT164" s="85" t="str">
        <f>CT145</f>
        <v>Simvastatin 40mg</v>
      </c>
      <c r="CU164" s="113">
        <f ca="1">SUM(CU154:CU162)</f>
        <v>28222843.610667959</v>
      </c>
      <c r="CV164" s="113">
        <f ca="1">SUM(CV154:CV162)</f>
        <v>28454327.38730789</v>
      </c>
      <c r="CW164" s="113">
        <f ca="1">SUM(CW154:CW162)</f>
        <v>28676111.655648202</v>
      </c>
      <c r="CX164" s="113">
        <f ca="1">SUM(CX154:CX162)</f>
        <v>28898422.944335077</v>
      </c>
      <c r="CY164" s="114">
        <f ca="1">SUM(CY154:CY162)</f>
        <v>29121951.819918379</v>
      </c>
      <c r="DB164" s="85">
        <f>DB145</f>
        <v>0</v>
      </c>
      <c r="DC164" s="113">
        <f ca="1">SUM(DC154:DC162)</f>
        <v>0</v>
      </c>
      <c r="DD164" s="113">
        <f ca="1">SUM(DD154:DD162)</f>
        <v>0</v>
      </c>
      <c r="DE164" s="113">
        <f ca="1">SUM(DE154:DE162)</f>
        <v>0</v>
      </c>
      <c r="DF164" s="113">
        <f ca="1">SUM(DF154:DF162)</f>
        <v>0</v>
      </c>
      <c r="DG164" s="114">
        <f ca="1">SUM(DG154:DG162)</f>
        <v>0</v>
      </c>
    </row>
    <row r="165" spans="2:111" ht="15" thickBot="1">
      <c r="B165" s="83"/>
      <c r="C165" s="86"/>
      <c r="D165" s="86"/>
      <c r="E165" s="86"/>
      <c r="F165" s="86"/>
      <c r="G165" s="86"/>
      <c r="J165" s="83"/>
      <c r="K165" s="86"/>
      <c r="L165" s="86"/>
      <c r="M165" s="86"/>
      <c r="N165" s="86"/>
      <c r="O165" s="86"/>
      <c r="R165" s="83"/>
      <c r="S165" s="86"/>
      <c r="T165" s="86"/>
      <c r="U165" s="86"/>
      <c r="V165" s="86"/>
      <c r="W165" s="86"/>
      <c r="Z165" s="83"/>
      <c r="AA165" s="86"/>
      <c r="AB165" s="86"/>
      <c r="AC165" s="86"/>
      <c r="AD165" s="86"/>
      <c r="AE165" s="86"/>
      <c r="AH165" s="83"/>
      <c r="AI165" s="86"/>
      <c r="AJ165" s="86"/>
      <c r="AK165" s="86"/>
      <c r="AL165" s="86"/>
      <c r="AM165" s="86"/>
      <c r="AP165" s="83"/>
      <c r="AQ165" s="86"/>
      <c r="AR165" s="86"/>
      <c r="AS165" s="86"/>
      <c r="AT165" s="86"/>
      <c r="AU165" s="86"/>
      <c r="AX165" s="83"/>
      <c r="AY165" s="86"/>
      <c r="AZ165" s="86"/>
      <c r="BA165" s="86"/>
      <c r="BB165" s="86"/>
      <c r="BC165" s="86"/>
      <c r="BF165" s="83"/>
      <c r="BG165" s="86"/>
      <c r="BH165" s="86"/>
      <c r="BI165" s="86"/>
      <c r="BJ165" s="86"/>
      <c r="BK165" s="86"/>
      <c r="BN165" s="83"/>
      <c r="BO165" s="86"/>
      <c r="BP165" s="86"/>
      <c r="BQ165" s="86"/>
      <c r="BR165" s="86"/>
      <c r="BS165" s="86"/>
      <c r="BV165" s="83"/>
      <c r="BW165" s="86"/>
      <c r="BX165" s="86"/>
      <c r="BY165" s="86"/>
      <c r="BZ165" s="86"/>
      <c r="CA165" s="86"/>
      <c r="CD165" s="83"/>
      <c r="CE165" s="86"/>
      <c r="CF165" s="86"/>
      <c r="CG165" s="86"/>
      <c r="CH165" s="86"/>
      <c r="CI165" s="86"/>
      <c r="CL165" s="83"/>
      <c r="CM165" s="86"/>
      <c r="CN165" s="86"/>
      <c r="CO165" s="86"/>
      <c r="CP165" s="86"/>
      <c r="CQ165" s="86"/>
      <c r="CT165" s="83"/>
      <c r="CU165" s="86"/>
      <c r="CV165" s="86"/>
      <c r="CW165" s="86"/>
      <c r="CX165" s="86"/>
      <c r="CY165" s="86"/>
      <c r="DB165" s="83"/>
      <c r="DC165" s="86"/>
      <c r="DD165" s="86"/>
      <c r="DE165" s="86"/>
      <c r="DF165" s="86"/>
      <c r="DG165" s="86"/>
    </row>
    <row r="166" spans="2:111" ht="15" thickBot="1">
      <c r="B166" s="507" t="str">
        <f>B105</f>
        <v>all options</v>
      </c>
      <c r="C166" s="505"/>
      <c r="D166" s="505"/>
      <c r="E166" s="505"/>
      <c r="F166" s="505"/>
      <c r="G166" s="506"/>
      <c r="J166" s="507" t="str">
        <f>J105</f>
        <v>all options</v>
      </c>
      <c r="K166" s="505"/>
      <c r="L166" s="505"/>
      <c r="M166" s="505"/>
      <c r="N166" s="505"/>
      <c r="O166" s="506"/>
      <c r="R166" s="507" t="str">
        <f>R105</f>
        <v>all options</v>
      </c>
      <c r="S166" s="505"/>
      <c r="T166" s="505"/>
      <c r="U166" s="505"/>
      <c r="V166" s="505"/>
      <c r="W166" s="506"/>
      <c r="Z166" s="507" t="str">
        <f>Z105</f>
        <v>all options</v>
      </c>
      <c r="AA166" s="505"/>
      <c r="AB166" s="505"/>
      <c r="AC166" s="505"/>
      <c r="AD166" s="505"/>
      <c r="AE166" s="506"/>
      <c r="AH166" s="507" t="str">
        <f>AH105</f>
        <v>all options</v>
      </c>
      <c r="AI166" s="505"/>
      <c r="AJ166" s="505"/>
      <c r="AK166" s="505"/>
      <c r="AL166" s="505"/>
      <c r="AM166" s="506"/>
      <c r="AP166" s="507" t="str">
        <f>AP105</f>
        <v>all options</v>
      </c>
      <c r="AQ166" s="505"/>
      <c r="AR166" s="505"/>
      <c r="AS166" s="505"/>
      <c r="AT166" s="505"/>
      <c r="AU166" s="506"/>
      <c r="AX166" s="507" t="str">
        <f>AX105</f>
        <v>all options</v>
      </c>
      <c r="AY166" s="505"/>
      <c r="AZ166" s="505"/>
      <c r="BA166" s="505"/>
      <c r="BB166" s="505"/>
      <c r="BC166" s="506"/>
      <c r="BF166" s="507" t="str">
        <f>BF105</f>
        <v>all options</v>
      </c>
      <c r="BG166" s="505"/>
      <c r="BH166" s="505"/>
      <c r="BI166" s="505"/>
      <c r="BJ166" s="505"/>
      <c r="BK166" s="506"/>
      <c r="BN166" s="507" t="str">
        <f>BN105</f>
        <v>all options</v>
      </c>
      <c r="BO166" s="505"/>
      <c r="BP166" s="505"/>
      <c r="BQ166" s="505"/>
      <c r="BR166" s="505"/>
      <c r="BS166" s="506"/>
      <c r="BV166" s="507" t="str">
        <f>BV105</f>
        <v>all options</v>
      </c>
      <c r="BW166" s="505"/>
      <c r="BX166" s="505"/>
      <c r="BY166" s="505"/>
      <c r="BZ166" s="505"/>
      <c r="CA166" s="506"/>
      <c r="CD166" s="507" t="str">
        <f>CD105</f>
        <v>all options</v>
      </c>
      <c r="CE166" s="505"/>
      <c r="CF166" s="505"/>
      <c r="CG166" s="505"/>
      <c r="CH166" s="505"/>
      <c r="CI166" s="506"/>
      <c r="CL166" s="507" t="str">
        <f>CL105</f>
        <v>all options</v>
      </c>
      <c r="CM166" s="505"/>
      <c r="CN166" s="505"/>
      <c r="CO166" s="505"/>
      <c r="CP166" s="505"/>
      <c r="CQ166" s="506"/>
      <c r="CT166" s="507" t="str">
        <f>CT105</f>
        <v>all options</v>
      </c>
      <c r="CU166" s="505"/>
      <c r="CV166" s="505"/>
      <c r="CW166" s="505"/>
      <c r="CX166" s="505"/>
      <c r="CY166" s="506"/>
      <c r="DB166" s="507" t="str">
        <f>DB105</f>
        <v>all options</v>
      </c>
      <c r="DC166" s="505"/>
      <c r="DD166" s="505"/>
      <c r="DE166" s="505"/>
      <c r="DF166" s="505"/>
      <c r="DG166" s="506"/>
    </row>
    <row r="167" spans="2:111">
      <c r="B167" s="84"/>
      <c r="C167" s="101">
        <f>C106</f>
        <v>2026</v>
      </c>
      <c r="D167" s="101">
        <f t="shared" ref="D167:F167" si="342">D106</f>
        <v>2027</v>
      </c>
      <c r="E167" s="101">
        <f t="shared" si="342"/>
        <v>2028</v>
      </c>
      <c r="F167" s="101">
        <f t="shared" si="342"/>
        <v>2029</v>
      </c>
      <c r="G167" s="102">
        <f>G106</f>
        <v>2030</v>
      </c>
      <c r="J167" s="84"/>
      <c r="K167" s="101">
        <f>K106</f>
        <v>2026</v>
      </c>
      <c r="L167" s="101">
        <f t="shared" ref="L167:N167" si="343">L106</f>
        <v>2027</v>
      </c>
      <c r="M167" s="101">
        <f t="shared" si="343"/>
        <v>2028</v>
      </c>
      <c r="N167" s="101">
        <f t="shared" si="343"/>
        <v>2029</v>
      </c>
      <c r="O167" s="102">
        <f>O106</f>
        <v>2030</v>
      </c>
      <c r="R167" s="84"/>
      <c r="S167" s="101">
        <f>S106</f>
        <v>2026</v>
      </c>
      <c r="T167" s="101">
        <f t="shared" ref="T167:V167" si="344">T106</f>
        <v>2027</v>
      </c>
      <c r="U167" s="101">
        <f t="shared" si="344"/>
        <v>2028</v>
      </c>
      <c r="V167" s="101">
        <f t="shared" si="344"/>
        <v>2029</v>
      </c>
      <c r="W167" s="102">
        <f>W106</f>
        <v>2030</v>
      </c>
      <c r="Z167" s="84"/>
      <c r="AA167" s="101">
        <f>AA106</f>
        <v>2026</v>
      </c>
      <c r="AB167" s="101">
        <f t="shared" ref="AB167:AD167" si="345">AB106</f>
        <v>2027</v>
      </c>
      <c r="AC167" s="101">
        <f t="shared" si="345"/>
        <v>2028</v>
      </c>
      <c r="AD167" s="101">
        <f t="shared" si="345"/>
        <v>2029</v>
      </c>
      <c r="AE167" s="102">
        <f>AE106</f>
        <v>2030</v>
      </c>
      <c r="AH167" s="84"/>
      <c r="AI167" s="101">
        <f>AI106</f>
        <v>2026</v>
      </c>
      <c r="AJ167" s="101">
        <f t="shared" ref="AJ167:AL167" si="346">AJ106</f>
        <v>2027</v>
      </c>
      <c r="AK167" s="101">
        <f t="shared" si="346"/>
        <v>2028</v>
      </c>
      <c r="AL167" s="101">
        <f t="shared" si="346"/>
        <v>2029</v>
      </c>
      <c r="AM167" s="102">
        <f>AM106</f>
        <v>2030</v>
      </c>
      <c r="AP167" s="84"/>
      <c r="AQ167" s="101">
        <f>AQ106</f>
        <v>2026</v>
      </c>
      <c r="AR167" s="101">
        <f t="shared" ref="AR167:AT167" si="347">AR106</f>
        <v>2027</v>
      </c>
      <c r="AS167" s="101">
        <f t="shared" si="347"/>
        <v>2028</v>
      </c>
      <c r="AT167" s="101">
        <f t="shared" si="347"/>
        <v>2029</v>
      </c>
      <c r="AU167" s="102">
        <f>AU106</f>
        <v>2030</v>
      </c>
      <c r="AX167" s="84"/>
      <c r="AY167" s="101">
        <f>AY106</f>
        <v>2026</v>
      </c>
      <c r="AZ167" s="101">
        <f t="shared" ref="AZ167:BB167" si="348">AZ106</f>
        <v>2027</v>
      </c>
      <c r="BA167" s="101">
        <f t="shared" si="348"/>
        <v>2028</v>
      </c>
      <c r="BB167" s="101">
        <f t="shared" si="348"/>
        <v>2029</v>
      </c>
      <c r="BC167" s="102">
        <f>BC106</f>
        <v>2030</v>
      </c>
      <c r="BF167" s="84"/>
      <c r="BG167" s="101">
        <f>BG106</f>
        <v>2026</v>
      </c>
      <c r="BH167" s="101">
        <f t="shared" ref="BH167:BJ167" si="349">BH106</f>
        <v>2027</v>
      </c>
      <c r="BI167" s="101">
        <f t="shared" si="349"/>
        <v>2028</v>
      </c>
      <c r="BJ167" s="101">
        <f t="shared" si="349"/>
        <v>2029</v>
      </c>
      <c r="BK167" s="102">
        <f>BK106</f>
        <v>2030</v>
      </c>
      <c r="BN167" s="84"/>
      <c r="BO167" s="101">
        <f>BO106</f>
        <v>2026</v>
      </c>
      <c r="BP167" s="101">
        <f t="shared" ref="BP167:BR167" si="350">BP106</f>
        <v>2027</v>
      </c>
      <c r="BQ167" s="101">
        <f t="shared" si="350"/>
        <v>2028</v>
      </c>
      <c r="BR167" s="101">
        <f t="shared" si="350"/>
        <v>2029</v>
      </c>
      <c r="BS167" s="102">
        <f>BS106</f>
        <v>2030</v>
      </c>
      <c r="BV167" s="84"/>
      <c r="BW167" s="101">
        <f>BW106</f>
        <v>2026</v>
      </c>
      <c r="BX167" s="101">
        <f t="shared" ref="BX167:BZ167" si="351">BX106</f>
        <v>2027</v>
      </c>
      <c r="BY167" s="101">
        <f t="shared" si="351"/>
        <v>2028</v>
      </c>
      <c r="BZ167" s="101">
        <f t="shared" si="351"/>
        <v>2029</v>
      </c>
      <c r="CA167" s="102">
        <f>CA106</f>
        <v>2030</v>
      </c>
      <c r="CD167" s="84"/>
      <c r="CE167" s="101">
        <f>CE106</f>
        <v>2026</v>
      </c>
      <c r="CF167" s="101">
        <f t="shared" ref="CF167:CH167" si="352">CF106</f>
        <v>2027</v>
      </c>
      <c r="CG167" s="101">
        <f t="shared" si="352"/>
        <v>2028</v>
      </c>
      <c r="CH167" s="101">
        <f t="shared" si="352"/>
        <v>2029</v>
      </c>
      <c r="CI167" s="102">
        <f>CI106</f>
        <v>2030</v>
      </c>
      <c r="CL167" s="84"/>
      <c r="CM167" s="101">
        <f>CM106</f>
        <v>2026</v>
      </c>
      <c r="CN167" s="101">
        <f t="shared" ref="CN167:CP167" si="353">CN106</f>
        <v>2027</v>
      </c>
      <c r="CO167" s="101">
        <f t="shared" si="353"/>
        <v>2028</v>
      </c>
      <c r="CP167" s="101">
        <f t="shared" si="353"/>
        <v>2029</v>
      </c>
      <c r="CQ167" s="102">
        <f>CQ106</f>
        <v>2030</v>
      </c>
      <c r="CT167" s="84"/>
      <c r="CU167" s="101">
        <f>CU106</f>
        <v>2026</v>
      </c>
      <c r="CV167" s="101">
        <f t="shared" ref="CV167:CX167" si="354">CV106</f>
        <v>2027</v>
      </c>
      <c r="CW167" s="101">
        <f t="shared" si="354"/>
        <v>2028</v>
      </c>
      <c r="CX167" s="101">
        <f t="shared" si="354"/>
        <v>2029</v>
      </c>
      <c r="CY167" s="102">
        <f>CY106</f>
        <v>2030</v>
      </c>
      <c r="DB167" s="84"/>
      <c r="DC167" s="101">
        <f>DC106</f>
        <v>2026</v>
      </c>
      <c r="DD167" s="101">
        <f t="shared" ref="DD167:DF167" si="355">DD106</f>
        <v>2027</v>
      </c>
      <c r="DE167" s="101">
        <f t="shared" si="355"/>
        <v>2028</v>
      </c>
      <c r="DF167" s="101">
        <f t="shared" si="355"/>
        <v>2029</v>
      </c>
      <c r="DG167" s="102">
        <f>DG106</f>
        <v>2030</v>
      </c>
    </row>
    <row r="168" spans="2:111">
      <c r="B168" s="87" t="s">
        <v>170</v>
      </c>
      <c r="C168" s="109">
        <f ca="1">(C43*ci_int1)+(C43*ct_int1*'Time on treatment'!$D$12)</f>
        <v>9261678.4026258253</v>
      </c>
      <c r="D168" s="109">
        <f ca="1">(D43*ct_int1*'Time on treatment'!$E$12)</f>
        <v>9261678.4026258253</v>
      </c>
      <c r="E168" s="109">
        <f ca="1">(E43*ct_int1*'Time on treatment'!$F$12)</f>
        <v>9261678.4026258253</v>
      </c>
      <c r="F168" s="109">
        <f ca="1">(F43*ct_int1*'Time on treatment'!$G$12)</f>
        <v>9261678.4026258253</v>
      </c>
      <c r="G168" s="110">
        <f ca="1">(G43*ct_int1*'Time on treatment'!$H$12)</f>
        <v>9261678.4026258253</v>
      </c>
      <c r="J168" s="87" t="s">
        <v>170</v>
      </c>
      <c r="K168" s="109">
        <f ca="1">(K43*ci_int2)+(K43*ct_int2*'Time on treatment'!$D$13)</f>
        <v>18432096.591963455</v>
      </c>
      <c r="L168" s="109">
        <f ca="1">(L43*ct_int2*'Time on treatment'!$E$13)</f>
        <v>18432096.591963455</v>
      </c>
      <c r="M168" s="109">
        <f ca="1">(M43*ct_int2*'Time on treatment'!$F$13)</f>
        <v>18432096.591963455</v>
      </c>
      <c r="N168" s="109">
        <f ca="1">(N43*ct_int2*'Time on treatment'!$G$13)</f>
        <v>18432096.591963455</v>
      </c>
      <c r="O168" s="110">
        <f ca="1">(O43*ct_int2*'Time on treatment'!$H$13)</f>
        <v>18432096.591963455</v>
      </c>
      <c r="R168" s="87" t="s">
        <v>170</v>
      </c>
      <c r="S168" s="109">
        <f ca="1">(S43*ci_int3)+(S43*ct_int3*'Time on treatment'!$D$14)</f>
        <v>8812776.8129379638</v>
      </c>
      <c r="T168" s="109">
        <f ca="1">(T43*ct_int3*'Time on treatment'!$E$14)</f>
        <v>8812776.8129379638</v>
      </c>
      <c r="U168" s="109">
        <f ca="1">(U43*ct_int3*'Time on treatment'!$F$14)</f>
        <v>8812776.8129379638</v>
      </c>
      <c r="V168" s="109">
        <f ca="1">(V43*ct_int3*'Time on treatment'!$G$14)</f>
        <v>8812776.8129379638</v>
      </c>
      <c r="W168" s="110">
        <f ca="1">(W43*ct_int3*'Time on treatment'!$H$14)</f>
        <v>8812776.8129379638</v>
      </c>
      <c r="Z168" s="87" t="s">
        <v>170</v>
      </c>
      <c r="AA168" s="109">
        <f ca="1">(AA43*ci_int4)+(AA43*ct_int4*'Time on treatment'!$D$15)</f>
        <v>9776353.1190078706</v>
      </c>
      <c r="AB168" s="109">
        <f ca="1">(AB43*ct_int4*'Time on treatment'!$E$15)</f>
        <v>9776353.1190078706</v>
      </c>
      <c r="AC168" s="109">
        <f ca="1">(AC43*ct_int4*'Time on treatment'!$F$15)</f>
        <v>9776353.1190078706</v>
      </c>
      <c r="AD168" s="109">
        <f ca="1">(AD43*ct_int4*'Time on treatment'!$G$15)</f>
        <v>9776353.1190078706</v>
      </c>
      <c r="AE168" s="110">
        <f ca="1">(AE43*ct_int4*'Time on treatment'!$H$15)</f>
        <v>9776353.1190078706</v>
      </c>
      <c r="AH168" s="87" t="s">
        <v>170</v>
      </c>
      <c r="AI168" s="109">
        <f ca="1">(AI43*ci_comp1)+(AI43*ct_comp1*'Time on treatment'!$D$19)</f>
        <v>1311279.6090853959</v>
      </c>
      <c r="AJ168" s="109">
        <f ca="1">(AJ43*ct_comp1*'Time on treatment'!$E$19)</f>
        <v>1311279.6090853959</v>
      </c>
      <c r="AK168" s="109">
        <f ca="1">(AK43*ct_comp1*'Time on treatment'!$F$19)</f>
        <v>1311279.6090853959</v>
      </c>
      <c r="AL168" s="109">
        <f ca="1">(AL43*ct_comp1*'Time on treatment'!$G$19)</f>
        <v>1311279.6090853959</v>
      </c>
      <c r="AM168" s="110">
        <f ca="1">(AM43*ct_comp1*'Time on treatment'!$H$19)</f>
        <v>1311279.6090853959</v>
      </c>
      <c r="AP168" s="87" t="s">
        <v>170</v>
      </c>
      <c r="AQ168" s="109">
        <f ca="1">(AQ43*ci_comp2)+(AQ43*ct_comp2*'Time on treatment'!$D$20)</f>
        <v>9865489.4497679938</v>
      </c>
      <c r="AR168" s="109">
        <f ca="1">(AR43*ct_comp2*'Time on treatment'!$E$20)</f>
        <v>9865489.4497679938</v>
      </c>
      <c r="AS168" s="109">
        <f ca="1">(AS43*ct_comp2*'Time on treatment'!$F$20)</f>
        <v>9865489.4497679938</v>
      </c>
      <c r="AT168" s="109">
        <f ca="1">(AT43*ct_comp2*'Time on treatment'!$G$20)</f>
        <v>9865489.4497679938</v>
      </c>
      <c r="AU168" s="110">
        <f ca="1">(AU43*ct_comp2*'Time on treatment'!$H$20)</f>
        <v>9865489.4497679938</v>
      </c>
      <c r="AX168" s="87" t="s">
        <v>170</v>
      </c>
      <c r="AY168" s="109">
        <f ca="1">(AY43*ci_comp3)+(AY43*ct_comp3*'Time on treatment'!$D$21)</f>
        <v>54317817.638895214</v>
      </c>
      <c r="AZ168" s="109">
        <f ca="1">(AZ43*ct_comp3*'Time on treatment'!$E$21)</f>
        <v>54317817.638895214</v>
      </c>
      <c r="BA168" s="109">
        <f ca="1">(BA43*ct_comp3*'Time on treatment'!$F$21)</f>
        <v>54317817.638895214</v>
      </c>
      <c r="BB168" s="109">
        <f ca="1">(BB43*ct_comp3*'Time on treatment'!$G$21)</f>
        <v>54317817.638895214</v>
      </c>
      <c r="BC168" s="110">
        <f ca="1">(BC43*ct_comp3*'Time on treatment'!$H$21)</f>
        <v>54317817.638895214</v>
      </c>
      <c r="BF168" s="87" t="s">
        <v>170</v>
      </c>
      <c r="BG168" s="109">
        <f ca="1">(BG43*ci_comp4)+(BG43*ct_comp4*'Time on treatment'!$D$22)</f>
        <v>10352103.395284122</v>
      </c>
      <c r="BH168" s="109">
        <f ca="1">(BH43*ct_comp4*'Time on treatment'!$E$22)</f>
        <v>10352103.395284122</v>
      </c>
      <c r="BI168" s="109">
        <f ca="1">(BI43*ct_comp4*'Time on treatment'!$F$22)</f>
        <v>10352103.395284122</v>
      </c>
      <c r="BJ168" s="109">
        <f ca="1">(BJ43*ct_comp4*'Time on treatment'!$G$22)</f>
        <v>10352103.395284122</v>
      </c>
      <c r="BK168" s="110">
        <f ca="1">(BK43*ct_comp4*'Time on treatment'!$H$22)</f>
        <v>10352103.395284122</v>
      </c>
      <c r="BN168" s="87" t="s">
        <v>170</v>
      </c>
      <c r="BO168" s="109">
        <f ca="1">(BO43*ci_comp5)+(BO43*ct_comp5*'Time on treatment'!$D$23)</f>
        <v>1042638.2635894753</v>
      </c>
      <c r="BP168" s="109">
        <f ca="1">(BP43*ct_comp5*'Time on treatment'!$E$23)</f>
        <v>1042638.2635894753</v>
      </c>
      <c r="BQ168" s="109">
        <f ca="1">(BQ43*ct_comp5*'Time on treatment'!$F$23)</f>
        <v>1042638.2635894753</v>
      </c>
      <c r="BR168" s="109">
        <f ca="1">(BR43*ct_comp5*'Time on treatment'!$G$23)</f>
        <v>1042638.2635894753</v>
      </c>
      <c r="BS168" s="110">
        <f ca="1">(BS43*ct_comp5*'Time on treatment'!$H$23)</f>
        <v>1042638.2635894753</v>
      </c>
      <c r="BV168" s="87" t="s">
        <v>170</v>
      </c>
      <c r="BW168" s="109">
        <f ca="1">(BW43*ci_comp6)+(BW43*ct_comp6*'Time on treatment'!$D$24)</f>
        <v>38488.78478449375</v>
      </c>
      <c r="BX168" s="109">
        <f ca="1">(BX43*ct_comp6*'Time on treatment'!$E$24)</f>
        <v>38488.78478449375</v>
      </c>
      <c r="BY168" s="109">
        <f ca="1">(BY43*ct_comp6*'Time on treatment'!$F$24)</f>
        <v>38488.78478449375</v>
      </c>
      <c r="BZ168" s="109">
        <f ca="1">(BZ43*ct_comp6*'Time on treatment'!$G$24)</f>
        <v>38488.78478449375</v>
      </c>
      <c r="CA168" s="110">
        <f ca="1">(CA43*ct_comp6*'Time on treatment'!$H$24)</f>
        <v>38488.78478449375</v>
      </c>
      <c r="CD168" s="87" t="s">
        <v>170</v>
      </c>
      <c r="CE168" s="109">
        <f ca="1">(CE43*ci_comp7)+(CE43*ct_comp7*'Time on treatment'!$D$25)</f>
        <v>2779199.1467679399</v>
      </c>
      <c r="CF168" s="109">
        <f ca="1">(CF43*ct_comp7*'Time on treatment'!$E$25)</f>
        <v>2779199.1467679399</v>
      </c>
      <c r="CG168" s="109">
        <f ca="1">(CG43*ct_comp7*'Time on treatment'!$F$25)</f>
        <v>2779199.1467679399</v>
      </c>
      <c r="CH168" s="109">
        <f ca="1">(CH43*ct_comp7*'Time on treatment'!$G$25)</f>
        <v>2779199.1467679399</v>
      </c>
      <c r="CI168" s="110">
        <f ca="1">(CI43*ct_comp7*'Time on treatment'!$H$25)</f>
        <v>2779199.1467679399</v>
      </c>
      <c r="CL168" s="87" t="s">
        <v>170</v>
      </c>
      <c r="CM168" s="109">
        <f ca="1">(CM43*ci_comp8)+(CM43*ct_comp8*'Time on treatment'!$D$26)</f>
        <v>11908604.566659126</v>
      </c>
      <c r="CN168" s="109">
        <f ca="1">(CN43*ct_comp8*'Time on treatment'!$E$26)</f>
        <v>11908604.566659126</v>
      </c>
      <c r="CO168" s="109">
        <f ca="1">(CO43*ct_comp8*'Time on treatment'!$F$26)</f>
        <v>11908604.566659126</v>
      </c>
      <c r="CP168" s="109">
        <f ca="1">(CP43*ct_comp8*'Time on treatment'!$G$26)</f>
        <v>11908604.566659126</v>
      </c>
      <c r="CQ168" s="110">
        <f ca="1">(CQ43*ct_comp8*'Time on treatment'!$H$26)</f>
        <v>11908604.566659126</v>
      </c>
      <c r="CT168" s="87" t="s">
        <v>170</v>
      </c>
      <c r="CU168" s="109">
        <f ca="1">(CU43*ci_comp9)+(CU43*ct_comp9*'Time on treatment'!$D$27)</f>
        <v>25400559.249601152</v>
      </c>
      <c r="CV168" s="109">
        <f ca="1">(CV43*ct_comp9*'Time on treatment'!$E$27)</f>
        <v>25400559.249601152</v>
      </c>
      <c r="CW168" s="109">
        <f ca="1">(CW43*ct_comp9*'Time on treatment'!$F$27)</f>
        <v>25400559.249601152</v>
      </c>
      <c r="CX168" s="109">
        <f ca="1">(CX43*ct_comp9*'Time on treatment'!$G$27)</f>
        <v>25400559.249601152</v>
      </c>
      <c r="CY168" s="110">
        <f ca="1">(CY43*ct_comp9*'Time on treatment'!$H$27)</f>
        <v>25400559.249601152</v>
      </c>
      <c r="DB168" s="87" t="s">
        <v>170</v>
      </c>
      <c r="DC168" s="109">
        <f ca="1">(DC43*ci_comp10)+(DC43*ct_comp10*'Time on treatment'!$D$28)</f>
        <v>0</v>
      </c>
      <c r="DD168" s="109">
        <f ca="1">(DD43*ct_comp10*'Time on treatment'!$E$28)</f>
        <v>0</v>
      </c>
      <c r="DE168" s="109">
        <f ca="1">(DE43*ct_comp10*'Time on treatment'!$F$28)</f>
        <v>0</v>
      </c>
      <c r="DF168" s="109">
        <f ca="1">(DF43*ct_comp10*'Time on treatment'!$G$28)</f>
        <v>0</v>
      </c>
      <c r="DG168" s="110">
        <f ca="1">(DG43*ct_comp10*'Time on treatment'!$H$28)</f>
        <v>0</v>
      </c>
    </row>
    <row r="169" spans="2:111">
      <c r="B169" s="87" t="s">
        <v>175</v>
      </c>
      <c r="C169" s="109"/>
      <c r="D169" s="109"/>
      <c r="E169" s="109"/>
      <c r="F169" s="109"/>
      <c r="G169" s="110"/>
      <c r="J169" s="87" t="s">
        <v>175</v>
      </c>
      <c r="K169" s="109"/>
      <c r="L169" s="109"/>
      <c r="M169" s="109"/>
      <c r="N169" s="109"/>
      <c r="O169" s="110"/>
      <c r="R169" s="87" t="s">
        <v>175</v>
      </c>
      <c r="S169" s="109"/>
      <c r="T169" s="109"/>
      <c r="U169" s="109"/>
      <c r="V169" s="109"/>
      <c r="W169" s="110"/>
      <c r="Z169" s="87" t="s">
        <v>175</v>
      </c>
      <c r="AA169" s="109"/>
      <c r="AB169" s="109"/>
      <c r="AC169" s="109"/>
      <c r="AD169" s="109"/>
      <c r="AE169" s="110"/>
      <c r="AH169" s="87" t="s">
        <v>175</v>
      </c>
      <c r="AI169" s="109"/>
      <c r="AJ169" s="109"/>
      <c r="AK169" s="109"/>
      <c r="AL169" s="109"/>
      <c r="AM169" s="110"/>
      <c r="AP169" s="87" t="s">
        <v>175</v>
      </c>
      <c r="AQ169" s="109"/>
      <c r="AR169" s="109"/>
      <c r="AS169" s="109"/>
      <c r="AT169" s="109"/>
      <c r="AU169" s="110"/>
      <c r="AX169" s="87" t="s">
        <v>175</v>
      </c>
      <c r="AY169" s="109"/>
      <c r="AZ169" s="109"/>
      <c r="BA169" s="109"/>
      <c r="BB169" s="109"/>
      <c r="BC169" s="110"/>
      <c r="BF169" s="87" t="s">
        <v>175</v>
      </c>
      <c r="BG169" s="109"/>
      <c r="BH169" s="109"/>
      <c r="BI169" s="109"/>
      <c r="BJ169" s="109"/>
      <c r="BK169" s="110"/>
      <c r="BN169" s="87" t="s">
        <v>175</v>
      </c>
      <c r="BO169" s="109"/>
      <c r="BP169" s="109"/>
      <c r="BQ169" s="109"/>
      <c r="BR169" s="109"/>
      <c r="BS169" s="110"/>
      <c r="BV169" s="87" t="s">
        <v>175</v>
      </c>
      <c r="BW169" s="109"/>
      <c r="BX169" s="109"/>
      <c r="BY169" s="109"/>
      <c r="BZ169" s="109"/>
      <c r="CA169" s="110"/>
      <c r="CD169" s="87" t="s">
        <v>175</v>
      </c>
      <c r="CE169" s="109"/>
      <c r="CF169" s="109"/>
      <c r="CG169" s="109"/>
      <c r="CH169" s="109"/>
      <c r="CI169" s="110"/>
      <c r="CL169" s="87" t="s">
        <v>175</v>
      </c>
      <c r="CM169" s="109"/>
      <c r="CN169" s="109"/>
      <c r="CO169" s="109"/>
      <c r="CP169" s="109"/>
      <c r="CQ169" s="110"/>
      <c r="CT169" s="87" t="s">
        <v>175</v>
      </c>
      <c r="CU169" s="109"/>
      <c r="CV169" s="109"/>
      <c r="CW169" s="109"/>
      <c r="CX169" s="109"/>
      <c r="CY169" s="110"/>
      <c r="DB169" s="87" t="s">
        <v>175</v>
      </c>
      <c r="DC169" s="109"/>
      <c r="DD169" s="109"/>
      <c r="DE169" s="109"/>
      <c r="DF169" s="109"/>
      <c r="DG169" s="110"/>
    </row>
    <row r="170" spans="2:111">
      <c r="B170" s="87" t="s">
        <v>171</v>
      </c>
      <c r="C170" s="111"/>
      <c r="D170" s="109">
        <f ca="1">(D45*ci_int1)+(D45*ct_int1*'Time on treatment'!$D$12)</f>
        <v>151928.58127548228</v>
      </c>
      <c r="E170" s="109">
        <f ca="1">(E45*ct_int1*'Time on treatment'!$E$12)</f>
        <v>151928.58127548228</v>
      </c>
      <c r="F170" s="109">
        <f ca="1">(F45*ct_int1*'Time on treatment'!$F$12)</f>
        <v>151928.58127548228</v>
      </c>
      <c r="G170" s="110">
        <f ca="1">(G45*ct_int1*'Time on treatment'!$G$12)</f>
        <v>151928.58127548228</v>
      </c>
      <c r="J170" s="87" t="s">
        <v>171</v>
      </c>
      <c r="K170" s="111"/>
      <c r="L170" s="109">
        <f ca="1">(L45*ci_int2)+(L45*ct_int2*'Time on treatment'!$D$13)</f>
        <v>302360.12992587988</v>
      </c>
      <c r="M170" s="109">
        <f ca="1">(M45*ct_int2*'Time on treatment'!$E$13)</f>
        <v>302360.12992587988</v>
      </c>
      <c r="N170" s="109">
        <f ca="1">(N45*ct_int2*'Time on treatment'!$F$13)</f>
        <v>302360.12992587988</v>
      </c>
      <c r="O170" s="110">
        <f ca="1">(O45*ct_int2*'Time on treatment'!$G$13)</f>
        <v>302360.12992587988</v>
      </c>
      <c r="R170" s="87" t="s">
        <v>171</v>
      </c>
      <c r="S170" s="111"/>
      <c r="T170" s="109">
        <f ca="1">(T45*ci_int3)+(T45*ct_int3*'Time on treatment'!$D$14)</f>
        <v>144564.79917371453</v>
      </c>
      <c r="U170" s="109">
        <f ca="1">(U45*ct_int3*'Time on treatment'!$E$14)</f>
        <v>144564.79917371453</v>
      </c>
      <c r="V170" s="109">
        <f ca="1">(V45*ct_int3*'Time on treatment'!$F$14)</f>
        <v>144564.79917371453</v>
      </c>
      <c r="W170" s="110">
        <f ca="1">(W45*ct_int3*'Time on treatment'!$G$14)</f>
        <v>144564.79917371453</v>
      </c>
      <c r="Z170" s="87" t="s">
        <v>171</v>
      </c>
      <c r="AA170" s="111"/>
      <c r="AB170" s="109">
        <f ca="1">(AB45*ci_int4)+(AB45*ct_int4*'Time on treatment'!$D$15)</f>
        <v>160371.30580974341</v>
      </c>
      <c r="AC170" s="109">
        <f ca="1">(AC45*ct_int4*'Time on treatment'!$E$15)</f>
        <v>160371.30580974341</v>
      </c>
      <c r="AD170" s="109">
        <f ca="1">(AD45*ct_int4*'Time on treatment'!$F$15)</f>
        <v>160371.30580974341</v>
      </c>
      <c r="AE170" s="110">
        <f ca="1">(AE45*ct_int4*'Time on treatment'!$G$15)</f>
        <v>160371.30580974341</v>
      </c>
      <c r="AH170" s="87" t="s">
        <v>171</v>
      </c>
      <c r="AI170" s="111"/>
      <c r="AJ170" s="109">
        <f ca="1">(AJ45*ci_comp1)+(AJ45*ct_comp1*'Time on treatment'!$D$19)</f>
        <v>9560.1030877864359</v>
      </c>
      <c r="AK170" s="109">
        <f ca="1">(AK45*ct_comp1*'Time on treatment'!$E$19)</f>
        <v>9560.1030877864359</v>
      </c>
      <c r="AL170" s="109">
        <f ca="1">(AL45*ct_comp1*'Time on treatment'!$F$19)</f>
        <v>9560.1030877864359</v>
      </c>
      <c r="AM170" s="110">
        <f ca="1">(AM45*ct_comp1*'Time on treatment'!$G$19)</f>
        <v>9560.1030877864359</v>
      </c>
      <c r="AP170" s="87" t="s">
        <v>171</v>
      </c>
      <c r="AQ170" s="111"/>
      <c r="AR170" s="109">
        <f ca="1">(AR45*ci_comp2)+(AR45*ct_comp2*'Time on treatment'!$D$20)</f>
        <v>71925.999228368484</v>
      </c>
      <c r="AS170" s="109">
        <f ca="1">(AS45*ct_comp2*'Time on treatment'!$E$20)</f>
        <v>71925.999228368484</v>
      </c>
      <c r="AT170" s="109">
        <f ca="1">(AT45*ct_comp2*'Time on treatment'!$F$20)</f>
        <v>71925.999228368484</v>
      </c>
      <c r="AU170" s="110">
        <f ca="1">(AU45*ct_comp2*'Time on treatment'!$G$20)</f>
        <v>71925.999228368484</v>
      </c>
      <c r="AX170" s="87" t="s">
        <v>171</v>
      </c>
      <c r="AY170" s="111"/>
      <c r="AZ170" s="109">
        <f ca="1">(AZ45*ci_comp3)+(AZ45*ct_comp3*'Time on treatment'!$D$21)</f>
        <v>396013.12529645604</v>
      </c>
      <c r="BA170" s="109">
        <f ca="1">(BA45*ct_comp3*'Time on treatment'!$E$21)</f>
        <v>396013.12529645604</v>
      </c>
      <c r="BB170" s="109">
        <f ca="1">(BB45*ct_comp3*'Time on treatment'!$F$21)</f>
        <v>396013.12529645604</v>
      </c>
      <c r="BC170" s="110">
        <f ca="1">(BC45*ct_comp3*'Time on treatment'!$G$21)</f>
        <v>396013.12529645604</v>
      </c>
      <c r="BF170" s="87" t="s">
        <v>171</v>
      </c>
      <c r="BG170" s="111"/>
      <c r="BH170" s="109">
        <f ca="1">(BH45*ci_comp4)+(BH45*ct_comp4*'Time on treatment'!$D$22)</f>
        <v>75473.739505008227</v>
      </c>
      <c r="BI170" s="109">
        <f ca="1">(BI45*ct_comp4*'Time on treatment'!$E$22)</f>
        <v>75473.739505008227</v>
      </c>
      <c r="BJ170" s="109">
        <f ca="1">(BJ45*ct_comp4*'Time on treatment'!$F$22)</f>
        <v>75473.739505008227</v>
      </c>
      <c r="BK170" s="110">
        <f ca="1">(BK45*ct_comp4*'Time on treatment'!$G$22)</f>
        <v>75473.739505008227</v>
      </c>
      <c r="BN170" s="87" t="s">
        <v>171</v>
      </c>
      <c r="BO170" s="111"/>
      <c r="BP170" s="109">
        <f ca="1">(BP45*ci_comp5)+(BP45*ct_comp5*'Time on treatment'!$D$23)</f>
        <v>8551.7195309745748</v>
      </c>
      <c r="BQ170" s="109">
        <f ca="1">(BQ45*ct_comp5*'Time on treatment'!$E$23)</f>
        <v>8551.7195309745748</v>
      </c>
      <c r="BR170" s="109">
        <f ca="1">(BR45*ct_comp5*'Time on treatment'!$F$23)</f>
        <v>8551.7195309745748</v>
      </c>
      <c r="BS170" s="110">
        <f ca="1">(BS45*ct_comp5*'Time on treatment'!$G$23)</f>
        <v>8551.7195309745748</v>
      </c>
      <c r="BV170" s="87" t="s">
        <v>171</v>
      </c>
      <c r="BW170" s="111"/>
      <c r="BX170" s="109">
        <f ca="1">(BX45*ci_comp6)+(BX45*ct_comp6*'Time on treatment'!$D$24)</f>
        <v>280.6089164461518</v>
      </c>
      <c r="BY170" s="109">
        <f ca="1">(BY45*ct_comp6*'Time on treatment'!$E$24)</f>
        <v>280.6089164461518</v>
      </c>
      <c r="BZ170" s="109">
        <f ca="1">(BZ45*ct_comp6*'Time on treatment'!$F$24)</f>
        <v>280.6089164461518</v>
      </c>
      <c r="CA170" s="110">
        <f ca="1">(CA45*ct_comp6*'Time on treatment'!$G$24)</f>
        <v>280.6089164461518</v>
      </c>
      <c r="CD170" s="87" t="s">
        <v>171</v>
      </c>
      <c r="CE170" s="111"/>
      <c r="CF170" s="109">
        <f ca="1">(CF45*ci_comp7)+(CF45*ct_comp7*'Time on treatment'!$D$25)</f>
        <v>20262.215747502949</v>
      </c>
      <c r="CG170" s="109">
        <f ca="1">(CG45*ct_comp7*'Time on treatment'!$E$25)</f>
        <v>20262.215747502949</v>
      </c>
      <c r="CH170" s="109">
        <f ca="1">(CH45*ct_comp7*'Time on treatment'!$F$25)</f>
        <v>20262.215747502949</v>
      </c>
      <c r="CI170" s="110">
        <f ca="1">(CI45*ct_comp7*'Time on treatment'!$G$25)</f>
        <v>20262.215747502949</v>
      </c>
      <c r="CL170" s="87" t="s">
        <v>171</v>
      </c>
      <c r="CM170" s="111"/>
      <c r="CN170" s="109">
        <f ca="1">(CN45*ci_comp8)+(CN45*ct_comp8*'Time on treatment'!$D$26)</f>
        <v>86821.67136599723</v>
      </c>
      <c r="CO170" s="109">
        <f ca="1">(CO45*ct_comp8*'Time on treatment'!$E$26)</f>
        <v>86821.67136599723</v>
      </c>
      <c r="CP170" s="109">
        <f ca="1">(CP45*ct_comp8*'Time on treatment'!$F$26)</f>
        <v>86821.67136599723</v>
      </c>
      <c r="CQ170" s="110">
        <f ca="1">(CQ45*ct_comp8*'Time on treatment'!$G$26)</f>
        <v>86821.67136599723</v>
      </c>
      <c r="CT170" s="87" t="s">
        <v>171</v>
      </c>
      <c r="CU170" s="111"/>
      <c r="CV170" s="109">
        <f ca="1">(CV45*ci_comp9)+(CV45*ct_comp9*'Time on treatment'!$D$27)</f>
        <v>185158.47847448502</v>
      </c>
      <c r="CW170" s="109">
        <f ca="1">(CW45*ct_comp9*'Time on treatment'!$E$27)</f>
        <v>185158.47847448502</v>
      </c>
      <c r="CX170" s="109">
        <f ca="1">(CX45*ct_comp9*'Time on treatment'!$F$27)</f>
        <v>185158.47847448502</v>
      </c>
      <c r="CY170" s="110">
        <f ca="1">(CY45*ct_comp9*'Time on treatment'!$G$27)</f>
        <v>185158.47847448502</v>
      </c>
      <c r="DB170" s="87" t="s">
        <v>171</v>
      </c>
      <c r="DC170" s="111"/>
      <c r="DD170" s="109">
        <f ca="1">(DD45*ci_comp10)+(DD45*ct_comp10*'Time on treatment'!$D$28)</f>
        <v>0</v>
      </c>
      <c r="DE170" s="109">
        <f ca="1">(DE45*ct_comp10*'Time on treatment'!$E$28)</f>
        <v>0</v>
      </c>
      <c r="DF170" s="109">
        <f ca="1">(DF45*ct_comp10*'Time on treatment'!$F$28)</f>
        <v>0</v>
      </c>
      <c r="DG170" s="110">
        <f ca="1">(DG45*ct_comp10*'Time on treatment'!$G$28)</f>
        <v>0</v>
      </c>
    </row>
    <row r="171" spans="2:111">
      <c r="B171" s="87" t="s">
        <v>176</v>
      </c>
      <c r="C171" s="111"/>
      <c r="D171" s="109"/>
      <c r="E171" s="109"/>
      <c r="F171" s="109"/>
      <c r="G171" s="110"/>
      <c r="J171" s="87" t="s">
        <v>176</v>
      </c>
      <c r="K171" s="111"/>
      <c r="L171" s="109"/>
      <c r="M171" s="109"/>
      <c r="N171" s="109"/>
      <c r="O171" s="110"/>
      <c r="R171" s="87" t="s">
        <v>176</v>
      </c>
      <c r="S171" s="111"/>
      <c r="T171" s="109"/>
      <c r="U171" s="109"/>
      <c r="V171" s="109"/>
      <c r="W171" s="110"/>
      <c r="Z171" s="87" t="s">
        <v>176</v>
      </c>
      <c r="AA171" s="111"/>
      <c r="AB171" s="109"/>
      <c r="AC171" s="109"/>
      <c r="AD171" s="109"/>
      <c r="AE171" s="110"/>
      <c r="AH171" s="87" t="s">
        <v>176</v>
      </c>
      <c r="AI171" s="111"/>
      <c r="AJ171" s="109"/>
      <c r="AK171" s="109"/>
      <c r="AL171" s="109"/>
      <c r="AM171" s="110"/>
      <c r="AP171" s="87" t="s">
        <v>176</v>
      </c>
      <c r="AQ171" s="111"/>
      <c r="AR171" s="109"/>
      <c r="AS171" s="109"/>
      <c r="AT171" s="109"/>
      <c r="AU171" s="110"/>
      <c r="AX171" s="87" t="s">
        <v>176</v>
      </c>
      <c r="AY171" s="111"/>
      <c r="AZ171" s="109"/>
      <c r="BA171" s="109"/>
      <c r="BB171" s="109"/>
      <c r="BC171" s="110"/>
      <c r="BF171" s="87" t="s">
        <v>176</v>
      </c>
      <c r="BG171" s="111"/>
      <c r="BH171" s="109"/>
      <c r="BI171" s="109"/>
      <c r="BJ171" s="109"/>
      <c r="BK171" s="110"/>
      <c r="BN171" s="87" t="s">
        <v>176</v>
      </c>
      <c r="BO171" s="111"/>
      <c r="BP171" s="109"/>
      <c r="BQ171" s="109"/>
      <c r="BR171" s="109"/>
      <c r="BS171" s="110"/>
      <c r="BV171" s="87" t="s">
        <v>176</v>
      </c>
      <c r="BW171" s="111"/>
      <c r="BX171" s="109"/>
      <c r="BY171" s="109"/>
      <c r="BZ171" s="109"/>
      <c r="CA171" s="110"/>
      <c r="CD171" s="87" t="s">
        <v>176</v>
      </c>
      <c r="CE171" s="111"/>
      <c r="CF171" s="109"/>
      <c r="CG171" s="109"/>
      <c r="CH171" s="109"/>
      <c r="CI171" s="110"/>
      <c r="CL171" s="87" t="s">
        <v>176</v>
      </c>
      <c r="CM171" s="111"/>
      <c r="CN171" s="109"/>
      <c r="CO171" s="109"/>
      <c r="CP171" s="109"/>
      <c r="CQ171" s="110"/>
      <c r="CT171" s="87" t="s">
        <v>176</v>
      </c>
      <c r="CU171" s="111"/>
      <c r="CV171" s="109"/>
      <c r="CW171" s="109"/>
      <c r="CX171" s="109"/>
      <c r="CY171" s="110"/>
      <c r="DB171" s="87" t="s">
        <v>176</v>
      </c>
      <c r="DC171" s="111"/>
      <c r="DD171" s="109"/>
      <c r="DE171" s="109"/>
      <c r="DF171" s="109"/>
      <c r="DG171" s="110"/>
    </row>
    <row r="172" spans="2:111">
      <c r="B172" s="87" t="s">
        <v>172</v>
      </c>
      <c r="C172" s="111"/>
      <c r="D172" s="111"/>
      <c r="E172" s="109">
        <f ca="1">(E47*ci_int1)+(E47*ct_int1*'Time on treatment'!$D$12)</f>
        <v>218343.82776580245</v>
      </c>
      <c r="F172" s="109">
        <f ca="1">(F47*ct_int1*'Time on treatment'!$E$12)</f>
        <v>218343.82776580245</v>
      </c>
      <c r="G172" s="110">
        <f ca="1">(G47*ct_int1*'Time on treatment'!$F$12)</f>
        <v>218343.82776580245</v>
      </c>
      <c r="J172" s="87" t="s">
        <v>172</v>
      </c>
      <c r="K172" s="111"/>
      <c r="L172" s="111"/>
      <c r="M172" s="109">
        <f ca="1">(M47*ci_int2)+(M47*ct_int2*'Time on treatment'!$D$13)</f>
        <v>434536.19837385934</v>
      </c>
      <c r="N172" s="109">
        <f ca="1">(N47*ct_int2*'Time on treatment'!$E$13)</f>
        <v>434536.19837385934</v>
      </c>
      <c r="O172" s="110">
        <f ca="1">(O47*ct_int2*'Time on treatment'!$F$13)</f>
        <v>434536.19837385934</v>
      </c>
      <c r="R172" s="87" t="s">
        <v>172</v>
      </c>
      <c r="S172" s="111"/>
      <c r="T172" s="111"/>
      <c r="U172" s="109">
        <f ca="1">(U47*ci_int3)+(U47*ct_int3*'Time on treatment'!$D$14)</f>
        <v>207760.98444932414</v>
      </c>
      <c r="V172" s="109">
        <f ca="1">(V47*ct_int3*'Time on treatment'!$E$14)</f>
        <v>207760.98444932414</v>
      </c>
      <c r="W172" s="110">
        <f ca="1">(W47*ct_int3*'Time on treatment'!$F$14)</f>
        <v>207760.98444932414</v>
      </c>
      <c r="Z172" s="87" t="s">
        <v>172</v>
      </c>
      <c r="AA172" s="111"/>
      <c r="AB172" s="111"/>
      <c r="AC172" s="109">
        <f ca="1">(AC47*ci_int4)+(AC47*ct_int4*'Time on treatment'!$D$15)</f>
        <v>230477.27083561092</v>
      </c>
      <c r="AD172" s="109">
        <f ca="1">(AD47*ct_int4*'Time on treatment'!$E$15)</f>
        <v>230477.27083561092</v>
      </c>
      <c r="AE172" s="110">
        <f ca="1">(AE47*ct_int4*'Time on treatment'!$F$15)</f>
        <v>230477.27083561092</v>
      </c>
      <c r="AH172" s="87" t="s">
        <v>172</v>
      </c>
      <c r="AI172" s="111"/>
      <c r="AJ172" s="111"/>
      <c r="AK172" s="109">
        <f ca="1">(AK47*ci_comp1)+(AK47*ct_comp1*'Time on treatment'!$D$19)</f>
        <v>8014.5807059975359</v>
      </c>
      <c r="AL172" s="109">
        <f ca="1">(AL47*ct_comp1*'Time on treatment'!$E$19)</f>
        <v>8014.5807059975359</v>
      </c>
      <c r="AM172" s="110">
        <f ca="1">(AM47*ct_comp1*'Time on treatment'!$F$19)</f>
        <v>8014.5807059975359</v>
      </c>
      <c r="AP172" s="87" t="s">
        <v>172</v>
      </c>
      <c r="AQ172" s="111"/>
      <c r="AR172" s="111"/>
      <c r="AS172" s="109">
        <f ca="1">(AS47*ci_comp2)+(AS47*ct_comp2*'Time on treatment'!$D$20)</f>
        <v>60298.170467610464</v>
      </c>
      <c r="AT172" s="109">
        <f ca="1">(AT47*ct_comp2*'Time on treatment'!$E$20)</f>
        <v>60298.170467610464</v>
      </c>
      <c r="AU172" s="110">
        <f ca="1">(AU47*ct_comp2*'Time on treatment'!$F$20)</f>
        <v>60298.170467610464</v>
      </c>
      <c r="AX172" s="87" t="s">
        <v>172</v>
      </c>
      <c r="AY172" s="111"/>
      <c r="AZ172" s="111"/>
      <c r="BA172" s="109">
        <f ca="1">(BA47*ci_comp3)+(BA47*ct_comp3*'Time on treatment'!$D$21)</f>
        <v>331992.14738359553</v>
      </c>
      <c r="BB172" s="109">
        <f ca="1">(BB47*ct_comp3*'Time on treatment'!$E$21)</f>
        <v>331992.14738359553</v>
      </c>
      <c r="BC172" s="110">
        <f ca="1">(BC47*ct_comp3*'Time on treatment'!$F$21)</f>
        <v>331992.14738359553</v>
      </c>
      <c r="BF172" s="87" t="s">
        <v>172</v>
      </c>
      <c r="BG172" s="111"/>
      <c r="BH172" s="111"/>
      <c r="BI172" s="109">
        <f ca="1">(BI47*ci_comp4)+(BI47*ct_comp4*'Time on treatment'!$D$22)</f>
        <v>63272.369648304739</v>
      </c>
      <c r="BJ172" s="109">
        <f ca="1">(BJ47*ct_comp4*'Time on treatment'!$E$22)</f>
        <v>63272.369648304739</v>
      </c>
      <c r="BK172" s="110">
        <f ca="1">(BK47*ct_comp4*'Time on treatment'!$F$22)</f>
        <v>63272.369648304739</v>
      </c>
      <c r="BN172" s="87" t="s">
        <v>172</v>
      </c>
      <c r="BO172" s="111"/>
      <c r="BP172" s="111"/>
      <c r="BQ172" s="109">
        <f ca="1">(BQ47*ci_comp5)+(BQ47*ct_comp5*'Time on treatment'!$D$23)</f>
        <v>8193.3899937140486</v>
      </c>
      <c r="BR172" s="109">
        <f ca="1">(BR47*ct_comp5*'Time on treatment'!$E$23)</f>
        <v>8193.3899937140486</v>
      </c>
      <c r="BS172" s="110">
        <f ca="1">(BS47*ct_comp5*'Time on treatment'!$F$23)</f>
        <v>8193.3899937140486</v>
      </c>
      <c r="BV172" s="87" t="s">
        <v>172</v>
      </c>
      <c r="BW172" s="111"/>
      <c r="BX172" s="111"/>
      <c r="BY172" s="109">
        <f ca="1">(BY47*ci_comp6)+(BY47*ct_comp6*'Time on treatment'!$D$24)</f>
        <v>235.2446189156033</v>
      </c>
      <c r="BZ172" s="109">
        <f ca="1">(BZ47*ct_comp6*'Time on treatment'!$E$24)</f>
        <v>235.2446189156033</v>
      </c>
      <c r="CA172" s="110">
        <f ca="1">(CA47*ct_comp6*'Time on treatment'!$F$24)</f>
        <v>235.2446189156033</v>
      </c>
      <c r="CD172" s="87" t="s">
        <v>172</v>
      </c>
      <c r="CE172" s="111"/>
      <c r="CF172" s="111"/>
      <c r="CG172" s="109">
        <f ca="1">(CG47*ci_comp7)+(CG47*ct_comp7*'Time on treatment'!$D$25)</f>
        <v>16986.549402188233</v>
      </c>
      <c r="CH172" s="109">
        <f ca="1">(CH47*ct_comp7*'Time on treatment'!$E$25)</f>
        <v>16986.549402188233</v>
      </c>
      <c r="CI172" s="110">
        <f ca="1">(CI47*ct_comp7*'Time on treatment'!$F$25)</f>
        <v>16986.549402188233</v>
      </c>
      <c r="CL172" s="87" t="s">
        <v>172</v>
      </c>
      <c r="CM172" s="111"/>
      <c r="CN172" s="111"/>
      <c r="CO172" s="109">
        <f ca="1">(CO47*ci_comp8)+(CO47*ct_comp8*'Time on treatment'!$D$26)</f>
        <v>72785.75197388338</v>
      </c>
      <c r="CP172" s="109">
        <f ca="1">(CP47*ct_comp8*'Time on treatment'!$E$26)</f>
        <v>72785.75197388338</v>
      </c>
      <c r="CQ172" s="110">
        <f ca="1">(CQ47*ct_comp8*'Time on treatment'!$F$26)</f>
        <v>72785.75197388338</v>
      </c>
      <c r="CT172" s="87" t="s">
        <v>172</v>
      </c>
      <c r="CU172" s="111"/>
      <c r="CV172" s="111"/>
      <c r="CW172" s="109">
        <f ca="1">(CW47*ci_comp9)+(CW47*ct_comp9*'Time on treatment'!$D$27)</f>
        <v>155194.2941364469</v>
      </c>
      <c r="CX172" s="109">
        <f ca="1">(CX47*ct_comp9*'Time on treatment'!$E$27)</f>
        <v>155194.2941364469</v>
      </c>
      <c r="CY172" s="110">
        <f ca="1">(CY47*ct_comp9*'Time on treatment'!$F$27)</f>
        <v>155194.2941364469</v>
      </c>
      <c r="DB172" s="87" t="s">
        <v>172</v>
      </c>
      <c r="DC172" s="111"/>
      <c r="DD172" s="111"/>
      <c r="DE172" s="109">
        <f ca="1">(DE47*ci_comp10)+(DE47*ct_comp10*'Time on treatment'!$D$28)</f>
        <v>0</v>
      </c>
      <c r="DF172" s="109">
        <f ca="1">(DF47*ct_comp10*'Time on treatment'!$E$28)</f>
        <v>0</v>
      </c>
      <c r="DG172" s="110">
        <f ca="1">(DG47*ct_comp10*'Time on treatment'!$F$28)</f>
        <v>0</v>
      </c>
    </row>
    <row r="173" spans="2:111">
      <c r="B173" s="87" t="s">
        <v>177</v>
      </c>
      <c r="C173" s="111"/>
      <c r="D173" s="111"/>
      <c r="E173" s="109"/>
      <c r="F173" s="109"/>
      <c r="G173" s="110"/>
      <c r="J173" s="87" t="s">
        <v>177</v>
      </c>
      <c r="K173" s="111"/>
      <c r="L173" s="111"/>
      <c r="M173" s="109"/>
      <c r="N173" s="109"/>
      <c r="O173" s="110"/>
      <c r="R173" s="87" t="s">
        <v>177</v>
      </c>
      <c r="S173" s="111"/>
      <c r="T173" s="111"/>
      <c r="U173" s="109"/>
      <c r="V173" s="109"/>
      <c r="W173" s="110"/>
      <c r="Z173" s="87" t="s">
        <v>177</v>
      </c>
      <c r="AA173" s="111"/>
      <c r="AB173" s="111"/>
      <c r="AC173" s="109"/>
      <c r="AD173" s="109"/>
      <c r="AE173" s="110"/>
      <c r="AH173" s="87" t="s">
        <v>177</v>
      </c>
      <c r="AI173" s="111"/>
      <c r="AJ173" s="111"/>
      <c r="AK173" s="109"/>
      <c r="AL173" s="109"/>
      <c r="AM173" s="110"/>
      <c r="AP173" s="87" t="s">
        <v>177</v>
      </c>
      <c r="AQ173" s="111"/>
      <c r="AR173" s="111"/>
      <c r="AS173" s="109"/>
      <c r="AT173" s="109"/>
      <c r="AU173" s="110"/>
      <c r="AX173" s="87" t="s">
        <v>177</v>
      </c>
      <c r="AY173" s="111"/>
      <c r="AZ173" s="111"/>
      <c r="BA173" s="109"/>
      <c r="BB173" s="109"/>
      <c r="BC173" s="110"/>
      <c r="BF173" s="87" t="s">
        <v>177</v>
      </c>
      <c r="BG173" s="111"/>
      <c r="BH173" s="111"/>
      <c r="BI173" s="109"/>
      <c r="BJ173" s="109"/>
      <c r="BK173" s="110"/>
      <c r="BN173" s="87" t="s">
        <v>177</v>
      </c>
      <c r="BO173" s="111"/>
      <c r="BP173" s="111"/>
      <c r="BQ173" s="109"/>
      <c r="BR173" s="109"/>
      <c r="BS173" s="110"/>
      <c r="BV173" s="87" t="s">
        <v>177</v>
      </c>
      <c r="BW173" s="111"/>
      <c r="BX173" s="111"/>
      <c r="BY173" s="109"/>
      <c r="BZ173" s="109"/>
      <c r="CA173" s="110"/>
      <c r="CD173" s="87" t="s">
        <v>177</v>
      </c>
      <c r="CE173" s="111"/>
      <c r="CF173" s="111"/>
      <c r="CG173" s="109"/>
      <c r="CH173" s="109"/>
      <c r="CI173" s="110"/>
      <c r="CL173" s="87" t="s">
        <v>177</v>
      </c>
      <c r="CM173" s="111"/>
      <c r="CN173" s="111"/>
      <c r="CO173" s="109"/>
      <c r="CP173" s="109"/>
      <c r="CQ173" s="110"/>
      <c r="CT173" s="87" t="s">
        <v>177</v>
      </c>
      <c r="CU173" s="111"/>
      <c r="CV173" s="111"/>
      <c r="CW173" s="109"/>
      <c r="CX173" s="109"/>
      <c r="CY173" s="110"/>
      <c r="DB173" s="87" t="s">
        <v>177</v>
      </c>
      <c r="DC173" s="111"/>
      <c r="DD173" s="111"/>
      <c r="DE173" s="109"/>
      <c r="DF173" s="109"/>
      <c r="DG173" s="110"/>
    </row>
    <row r="174" spans="2:111">
      <c r="B174" s="87" t="s">
        <v>173</v>
      </c>
      <c r="C174" s="111"/>
      <c r="D174" s="111"/>
      <c r="E174" s="111"/>
      <c r="F174" s="109">
        <f ca="1">(F49*ci_int1)+(F49*ct_int1*'Time on treatment'!$D$12)</f>
        <v>291816.89690728136</v>
      </c>
      <c r="G174" s="110">
        <f ca="1">(G49*ct_int1*'Time on treatment'!$E$12)</f>
        <v>291816.89690728136</v>
      </c>
      <c r="J174" s="87" t="s">
        <v>173</v>
      </c>
      <c r="K174" s="111"/>
      <c r="L174" s="111"/>
      <c r="M174" s="111"/>
      <c r="N174" s="109">
        <f ca="1">(N49*ci_int2)+(N49*ct_int2*'Time on treatment'!$D$13)</f>
        <v>580758.36766660807</v>
      </c>
      <c r="O174" s="110">
        <f ca="1">(O49*ct_int2*'Time on treatment'!$E$13)</f>
        <v>580758.36766660807</v>
      </c>
      <c r="R174" s="87" t="s">
        <v>173</v>
      </c>
      <c r="S174" s="111"/>
      <c r="T174" s="111"/>
      <c r="U174" s="111"/>
      <c r="V174" s="109">
        <f ca="1">(V49*ci_int3)+(V49*ct_int3*'Time on treatment'!$D$14)</f>
        <v>277672.90882815339</v>
      </c>
      <c r="W174" s="110">
        <f ca="1">(W49*ct_int3*'Time on treatment'!$E$14)</f>
        <v>277672.90882815339</v>
      </c>
      <c r="Z174" s="87" t="s">
        <v>173</v>
      </c>
      <c r="AA174" s="111"/>
      <c r="AB174" s="111"/>
      <c r="AC174" s="111"/>
      <c r="AD174" s="109">
        <f ca="1">(AD49*ci_int4)+(AD49*ct_int4*'Time on treatment'!$D$15)</f>
        <v>308033.26419214223</v>
      </c>
      <c r="AE174" s="110">
        <f ca="1">(AE49*ct_int4*'Time on treatment'!$E$15)</f>
        <v>308033.26419214223</v>
      </c>
      <c r="AH174" s="87" t="s">
        <v>173</v>
      </c>
      <c r="AI174" s="111"/>
      <c r="AJ174" s="111"/>
      <c r="AK174" s="111"/>
      <c r="AL174" s="109">
        <f ca="1">(AL49*ci_comp1)+(AL49*ct_comp1*'Time on treatment'!$D$19)</f>
        <v>6885.9647583351853</v>
      </c>
      <c r="AM174" s="110">
        <f ca="1">(AM49*ct_comp1*'Time on treatment'!$E$19)</f>
        <v>6885.9647583351853</v>
      </c>
      <c r="AP174" s="87" t="s">
        <v>173</v>
      </c>
      <c r="AQ174" s="111"/>
      <c r="AR174" s="111"/>
      <c r="AS174" s="111"/>
      <c r="AT174" s="109">
        <f ca="1">(AT49*ci_comp2)+(AT49*ct_comp2*'Time on treatment'!$D$20)</f>
        <v>51806.961844097335</v>
      </c>
      <c r="AU174" s="110">
        <f ca="1">(AU49*ct_comp2*'Time on treatment'!$E$20)</f>
        <v>51806.961844097335</v>
      </c>
      <c r="AX174" s="87" t="s">
        <v>173</v>
      </c>
      <c r="AY174" s="111"/>
      <c r="AZ174" s="111"/>
      <c r="BA174" s="111"/>
      <c r="BB174" s="109">
        <f ca="1">(BB49*ci_comp3)+(BB49*ct_comp3*'Time on treatment'!$D$21)</f>
        <v>285240.9016502531</v>
      </c>
      <c r="BC174" s="110">
        <f ca="1">(BC49*ct_comp3*'Time on treatment'!$E$21)</f>
        <v>285240.9016502531</v>
      </c>
      <c r="BF174" s="87" t="s">
        <v>173</v>
      </c>
      <c r="BG174" s="111"/>
      <c r="BH174" s="111"/>
      <c r="BI174" s="111"/>
      <c r="BJ174" s="109">
        <f ca="1">(BJ49*ci_comp4)+(BJ49*ct_comp4*'Time on treatment'!$D$22)</f>
        <v>54362.333296930068</v>
      </c>
      <c r="BK174" s="110">
        <f ca="1">(BK49*ct_comp4*'Time on treatment'!$E$22)</f>
        <v>54362.333296930068</v>
      </c>
      <c r="BN174" s="87" t="s">
        <v>173</v>
      </c>
      <c r="BO174" s="111"/>
      <c r="BP174" s="111"/>
      <c r="BQ174" s="111"/>
      <c r="BR174" s="109">
        <f ca="1">(BR49*ci_comp5)+(BR49*ct_comp5*'Time on treatment'!$D$23)</f>
        <v>8212.8597390947707</v>
      </c>
      <c r="BS174" s="110">
        <f ca="1">(BS49*ct_comp5*'Time on treatment'!$E$23)</f>
        <v>8212.8597390947707</v>
      </c>
      <c r="BV174" s="87" t="s">
        <v>173</v>
      </c>
      <c r="BW174" s="111"/>
      <c r="BX174" s="111"/>
      <c r="BY174" s="111"/>
      <c r="BZ174" s="109">
        <f ca="1">(BZ49*ci_comp6)+(BZ49*ct_comp6*'Time on treatment'!$D$24)</f>
        <v>202.11739264521083</v>
      </c>
      <c r="CA174" s="110">
        <f ca="1">(CA49*ct_comp6*'Time on treatment'!$E$24)</f>
        <v>202.11739264521083</v>
      </c>
      <c r="CD174" s="87" t="s">
        <v>173</v>
      </c>
      <c r="CE174" s="111"/>
      <c r="CF174" s="111"/>
      <c r="CG174" s="111"/>
      <c r="CH174" s="109">
        <f ca="1">(CH49*ci_comp7)+(CH49*ct_comp7*'Time on treatment'!$D$25)</f>
        <v>14594.497808432665</v>
      </c>
      <c r="CI174" s="110">
        <f ca="1">(CI49*ct_comp7*'Time on treatment'!$E$25)</f>
        <v>14594.497808432665</v>
      </c>
      <c r="CL174" s="87" t="s">
        <v>173</v>
      </c>
      <c r="CM174" s="111"/>
      <c r="CN174" s="111"/>
      <c r="CO174" s="111"/>
      <c r="CP174" s="109">
        <f ca="1">(CP49*ci_comp8)+(CP49*ct_comp8*'Time on treatment'!$D$26)</f>
        <v>62536.037927227349</v>
      </c>
      <c r="CQ174" s="110">
        <f ca="1">(CQ49*ct_comp8*'Time on treatment'!$E$26)</f>
        <v>62536.037927227349</v>
      </c>
      <c r="CT174" s="87" t="s">
        <v>173</v>
      </c>
      <c r="CU174" s="111"/>
      <c r="CV174" s="111"/>
      <c r="CW174" s="111"/>
      <c r="CX174" s="109">
        <f ca="1">(CX49*ci_comp9)+(CX49*ct_comp9*'Time on treatment'!$D$27)</f>
        <v>133304.53770858003</v>
      </c>
      <c r="CY174" s="110">
        <f ca="1">(CY49*ct_comp9*'Time on treatment'!$E$27)</f>
        <v>133304.53770858003</v>
      </c>
      <c r="DB174" s="87" t="s">
        <v>173</v>
      </c>
      <c r="DC174" s="111"/>
      <c r="DD174" s="111"/>
      <c r="DE174" s="111"/>
      <c r="DF174" s="109">
        <f ca="1">(DF49*ci_comp10)+(DF49*ct_comp10*'Time on treatment'!$D$28)</f>
        <v>0</v>
      </c>
      <c r="DG174" s="110">
        <f ca="1">(DG49*ct_comp10*'Time on treatment'!$E$28)</f>
        <v>0</v>
      </c>
    </row>
    <row r="175" spans="2:111">
      <c r="B175" s="87" t="s">
        <v>178</v>
      </c>
      <c r="C175" s="111"/>
      <c r="D175" s="111"/>
      <c r="E175" s="111"/>
      <c r="F175" s="109"/>
      <c r="G175" s="110"/>
      <c r="J175" s="87" t="s">
        <v>178</v>
      </c>
      <c r="K175" s="111"/>
      <c r="L175" s="111"/>
      <c r="M175" s="111"/>
      <c r="N175" s="109"/>
      <c r="O175" s="110"/>
      <c r="R175" s="87" t="s">
        <v>178</v>
      </c>
      <c r="S175" s="111"/>
      <c r="T175" s="111"/>
      <c r="U175" s="111"/>
      <c r="V175" s="109"/>
      <c r="W175" s="110"/>
      <c r="Z175" s="87" t="s">
        <v>178</v>
      </c>
      <c r="AA175" s="111"/>
      <c r="AB175" s="111"/>
      <c r="AC175" s="111"/>
      <c r="AD175" s="109"/>
      <c r="AE175" s="110"/>
      <c r="AH175" s="87" t="s">
        <v>178</v>
      </c>
      <c r="AI175" s="111"/>
      <c r="AJ175" s="111"/>
      <c r="AK175" s="111"/>
      <c r="AL175" s="109"/>
      <c r="AM175" s="110"/>
      <c r="AP175" s="87" t="s">
        <v>178</v>
      </c>
      <c r="AQ175" s="111"/>
      <c r="AR175" s="111"/>
      <c r="AS175" s="111"/>
      <c r="AT175" s="109"/>
      <c r="AU175" s="110"/>
      <c r="AX175" s="87" t="s">
        <v>178</v>
      </c>
      <c r="AY175" s="111"/>
      <c r="AZ175" s="111"/>
      <c r="BA175" s="111"/>
      <c r="BB175" s="109"/>
      <c r="BC175" s="110"/>
      <c r="BF175" s="87" t="s">
        <v>178</v>
      </c>
      <c r="BG175" s="111"/>
      <c r="BH175" s="111"/>
      <c r="BI175" s="111"/>
      <c r="BJ175" s="109"/>
      <c r="BK175" s="110"/>
      <c r="BN175" s="87" t="s">
        <v>178</v>
      </c>
      <c r="BO175" s="111"/>
      <c r="BP175" s="111"/>
      <c r="BQ175" s="111"/>
      <c r="BR175" s="109"/>
      <c r="BS175" s="110"/>
      <c r="BV175" s="87" t="s">
        <v>178</v>
      </c>
      <c r="BW175" s="111"/>
      <c r="BX175" s="111"/>
      <c r="BY175" s="111"/>
      <c r="BZ175" s="109"/>
      <c r="CA175" s="110"/>
      <c r="CD175" s="87" t="s">
        <v>178</v>
      </c>
      <c r="CE175" s="111"/>
      <c r="CF175" s="111"/>
      <c r="CG175" s="111"/>
      <c r="CH175" s="109"/>
      <c r="CI175" s="110"/>
      <c r="CL175" s="87" t="s">
        <v>178</v>
      </c>
      <c r="CM175" s="111"/>
      <c r="CN175" s="111"/>
      <c r="CO175" s="111"/>
      <c r="CP175" s="109"/>
      <c r="CQ175" s="110"/>
      <c r="CT175" s="87" t="s">
        <v>178</v>
      </c>
      <c r="CU175" s="111"/>
      <c r="CV175" s="111"/>
      <c r="CW175" s="111"/>
      <c r="CX175" s="109"/>
      <c r="CY175" s="110"/>
      <c r="DB175" s="87" t="s">
        <v>178</v>
      </c>
      <c r="DC175" s="111"/>
      <c r="DD175" s="111"/>
      <c r="DE175" s="111"/>
      <c r="DF175" s="109"/>
      <c r="DG175" s="110"/>
    </row>
    <row r="176" spans="2:111">
      <c r="B176" s="87" t="s">
        <v>174</v>
      </c>
      <c r="C176" s="111"/>
      <c r="D176" s="111"/>
      <c r="E176" s="111"/>
      <c r="F176" s="111"/>
      <c r="G176" s="110">
        <f ca="1">(G51*ci_int1)+(G51*ct_int1*'Time on treatment'!$D$12)</f>
        <v>366768.95282276877</v>
      </c>
      <c r="J176" s="87" t="s">
        <v>174</v>
      </c>
      <c r="K176" s="111"/>
      <c r="L176" s="111"/>
      <c r="M176" s="111"/>
      <c r="N176" s="111"/>
      <c r="O176" s="110">
        <f ca="1">(O51*ci_int2)+(O51*ct_int2*'Time on treatment'!$D$13)</f>
        <v>729923.93726885505</v>
      </c>
      <c r="R176" s="87" t="s">
        <v>174</v>
      </c>
      <c r="S176" s="111"/>
      <c r="T176" s="111"/>
      <c r="U176" s="111"/>
      <c r="V176" s="111"/>
      <c r="W176" s="110">
        <f ca="1">(W51*ci_int3)+(W51*ct_int3*'Time on treatment'!$D$14)</f>
        <v>348992.1354023309</v>
      </c>
      <c r="Z176" s="87" t="s">
        <v>174</v>
      </c>
      <c r="AA176" s="111"/>
      <c r="AB176" s="111"/>
      <c r="AC176" s="111"/>
      <c r="AD176" s="111"/>
      <c r="AE176" s="110">
        <f ca="1">(AE51*ci_int4)+(AE51*ct_int4*'Time on treatment'!$D$15)</f>
        <v>387150.43213631102</v>
      </c>
      <c r="AH176" s="87" t="s">
        <v>174</v>
      </c>
      <c r="AI176" s="111"/>
      <c r="AJ176" s="111"/>
      <c r="AK176" s="111"/>
      <c r="AL176" s="111"/>
      <c r="AM176" s="110">
        <f ca="1">(AM51*ci_comp1)+(AM51*ct_comp1*'Time on treatment'!$D$19)</f>
        <v>5769.732345534303</v>
      </c>
      <c r="AP176" s="87" t="s">
        <v>174</v>
      </c>
      <c r="AQ176" s="111"/>
      <c r="AR176" s="111"/>
      <c r="AS176" s="111"/>
      <c r="AT176" s="111"/>
      <c r="AU176" s="110">
        <f ca="1">(AU51*ci_comp2)+(AU51*ct_comp2*'Time on treatment'!$D$20)</f>
        <v>43408.921475226627</v>
      </c>
      <c r="AX176" s="87" t="s">
        <v>174</v>
      </c>
      <c r="AY176" s="111"/>
      <c r="AZ176" s="111"/>
      <c r="BA176" s="111"/>
      <c r="BB176" s="111"/>
      <c r="BC176" s="110">
        <f ca="1">(BC51*ci_comp3)+(BC51*ct_comp3*'Time on treatment'!$D$21)</f>
        <v>239002.62552588631</v>
      </c>
      <c r="BF176" s="87" t="s">
        <v>174</v>
      </c>
      <c r="BG176" s="111"/>
      <c r="BH176" s="111"/>
      <c r="BI176" s="111"/>
      <c r="BJ176" s="111"/>
      <c r="BK176" s="110">
        <f ca="1">(BK51*ci_comp4)+(BK51*ct_comp4*'Time on treatment'!$D$22)</f>
        <v>45550.060711877115</v>
      </c>
      <c r="BN176" s="87" t="s">
        <v>174</v>
      </c>
      <c r="BO176" s="111"/>
      <c r="BP176" s="111"/>
      <c r="BQ176" s="111"/>
      <c r="BR176" s="111"/>
      <c r="BS176" s="110">
        <f ca="1">(BS51*ci_comp5)+(BS51*ct_comp5*'Time on treatment'!$D$23)</f>
        <v>8257.8411273974634</v>
      </c>
      <c r="BV176" s="87" t="s">
        <v>174</v>
      </c>
      <c r="BW176" s="111"/>
      <c r="BX176" s="111"/>
      <c r="BY176" s="111"/>
      <c r="BZ176" s="111"/>
      <c r="CA176" s="110">
        <f ca="1">(CA51*ci_comp6)+(CA51*ct_comp6*'Time on treatment'!$D$24)</f>
        <v>169.35364888827465</v>
      </c>
      <c r="CD176" s="87" t="s">
        <v>174</v>
      </c>
      <c r="CE176" s="111"/>
      <c r="CF176" s="111"/>
      <c r="CG176" s="111"/>
      <c r="CH176" s="111"/>
      <c r="CI176" s="110">
        <f ca="1">(CI51*ci_comp7)+(CI51*ct_comp7*'Time on treatment'!$D$25)</f>
        <v>12228.692569216977</v>
      </c>
      <c r="CL176" s="87" t="s">
        <v>174</v>
      </c>
      <c r="CM176" s="111"/>
      <c r="CN176" s="111"/>
      <c r="CO176" s="111"/>
      <c r="CP176" s="111"/>
      <c r="CQ176" s="110">
        <f ca="1">(CQ51*ci_comp8)+(CQ51*ct_comp8*'Time on treatment'!$D$26)</f>
        <v>52398.787018700619</v>
      </c>
      <c r="CT176" s="87" t="s">
        <v>174</v>
      </c>
      <c r="CU176" s="111"/>
      <c r="CV176" s="111"/>
      <c r="CW176" s="111"/>
      <c r="CX176" s="111"/>
      <c r="CY176" s="110">
        <f ca="1">(CY51*ci_comp9)+(CY51*ct_comp9*'Time on treatment'!$D$27)</f>
        <v>111654.1899210535</v>
      </c>
      <c r="DB176" s="87" t="s">
        <v>174</v>
      </c>
      <c r="DC176" s="111"/>
      <c r="DD176" s="111"/>
      <c r="DE176" s="111"/>
      <c r="DF176" s="111"/>
      <c r="DG176" s="110">
        <f ca="1">(DG51*ci_comp10)+(DG51*ct_comp10*'Time on treatment'!$D$28)</f>
        <v>0</v>
      </c>
    </row>
    <row r="177" spans="2:111" ht="15" thickBot="1">
      <c r="B177" s="87" t="s">
        <v>179</v>
      </c>
      <c r="C177" s="111"/>
      <c r="D177" s="111"/>
      <c r="E177" s="111"/>
      <c r="F177" s="111"/>
      <c r="G177" s="112"/>
      <c r="J177" s="87" t="s">
        <v>179</v>
      </c>
      <c r="K177" s="111"/>
      <c r="L177" s="111"/>
      <c r="M177" s="111"/>
      <c r="N177" s="111"/>
      <c r="O177" s="112"/>
      <c r="R177" s="87" t="s">
        <v>179</v>
      </c>
      <c r="S177" s="111"/>
      <c r="T177" s="111"/>
      <c r="U177" s="111"/>
      <c r="V177" s="111"/>
      <c r="W177" s="112"/>
      <c r="Z177" s="87" t="s">
        <v>179</v>
      </c>
      <c r="AA177" s="111"/>
      <c r="AB177" s="111"/>
      <c r="AC177" s="111"/>
      <c r="AD177" s="111"/>
      <c r="AE177" s="112"/>
      <c r="AH177" s="87" t="s">
        <v>179</v>
      </c>
      <c r="AI177" s="111"/>
      <c r="AJ177" s="111"/>
      <c r="AK177" s="111"/>
      <c r="AL177" s="111"/>
      <c r="AM177" s="112"/>
      <c r="AP177" s="87" t="s">
        <v>179</v>
      </c>
      <c r="AQ177" s="111"/>
      <c r="AR177" s="111"/>
      <c r="AS177" s="111"/>
      <c r="AT177" s="111"/>
      <c r="AU177" s="112"/>
      <c r="AX177" s="87" t="s">
        <v>179</v>
      </c>
      <c r="AY177" s="111"/>
      <c r="AZ177" s="111"/>
      <c r="BA177" s="111"/>
      <c r="BB177" s="111"/>
      <c r="BC177" s="112"/>
      <c r="BF177" s="87" t="s">
        <v>179</v>
      </c>
      <c r="BG177" s="111"/>
      <c r="BH177" s="111"/>
      <c r="BI177" s="111"/>
      <c r="BJ177" s="111"/>
      <c r="BK177" s="112"/>
      <c r="BN177" s="87" t="s">
        <v>179</v>
      </c>
      <c r="BO177" s="111"/>
      <c r="BP177" s="111"/>
      <c r="BQ177" s="111"/>
      <c r="BR177" s="111"/>
      <c r="BS177" s="112"/>
      <c r="BV177" s="87" t="s">
        <v>179</v>
      </c>
      <c r="BW177" s="111"/>
      <c r="BX177" s="111"/>
      <c r="BY177" s="111"/>
      <c r="BZ177" s="111"/>
      <c r="CA177" s="112"/>
      <c r="CD177" s="87" t="s">
        <v>179</v>
      </c>
      <c r="CE177" s="111"/>
      <c r="CF177" s="111"/>
      <c r="CG177" s="111"/>
      <c r="CH177" s="111"/>
      <c r="CI177" s="112"/>
      <c r="CL177" s="87" t="s">
        <v>179</v>
      </c>
      <c r="CM177" s="111"/>
      <c r="CN177" s="111"/>
      <c r="CO177" s="111"/>
      <c r="CP177" s="111"/>
      <c r="CQ177" s="112"/>
      <c r="CT177" s="87" t="s">
        <v>179</v>
      </c>
      <c r="CU177" s="111"/>
      <c r="CV177" s="111"/>
      <c r="CW177" s="111"/>
      <c r="CX177" s="111"/>
      <c r="CY177" s="112"/>
      <c r="DB177" s="87" t="s">
        <v>179</v>
      </c>
      <c r="DC177" s="111"/>
      <c r="DD177" s="111"/>
      <c r="DE177" s="111"/>
      <c r="DF177" s="111"/>
      <c r="DG177" s="112"/>
    </row>
    <row r="178" spans="2:111" ht="15" thickBot="1">
      <c r="B178" s="85" t="str">
        <f>B164</f>
        <v>Rosuvastatin 5mg</v>
      </c>
      <c r="C178" s="113">
        <f ca="1">SUM(C168:C176)</f>
        <v>9261678.4026258253</v>
      </c>
      <c r="D178" s="113">
        <f ca="1">SUM(D168:D176)</f>
        <v>9413606.983901307</v>
      </c>
      <c r="E178" s="113">
        <f ca="1">SUM(E168:E176)</f>
        <v>9631950.8116671089</v>
      </c>
      <c r="F178" s="113">
        <f ca="1">SUM(F168:F176)</f>
        <v>9923767.70857439</v>
      </c>
      <c r="G178" s="114">
        <f ca="1">SUM(G168:G176)</f>
        <v>10290536.661397159</v>
      </c>
      <c r="J178" s="85" t="str">
        <f>J164</f>
        <v>Rosuvastatin 10mg</v>
      </c>
      <c r="K178" s="113">
        <f ca="1">SUM(K168:K176)</f>
        <v>18432096.591963455</v>
      </c>
      <c r="L178" s="113">
        <f ca="1">SUM(L168:L176)</f>
        <v>18734456.721889336</v>
      </c>
      <c r="M178" s="113">
        <f ca="1">SUM(M168:M176)</f>
        <v>19168992.920263194</v>
      </c>
      <c r="N178" s="113">
        <f ca="1">SUM(N168:N176)</f>
        <v>19749751.287929803</v>
      </c>
      <c r="O178" s="114">
        <f ca="1">SUM(O168:O176)</f>
        <v>20479675.225198656</v>
      </c>
      <c r="R178" s="85" t="str">
        <f>R164</f>
        <v>Rosuvastatin 20mg</v>
      </c>
      <c r="S178" s="113">
        <f ca="1">SUM(S168:S176)</f>
        <v>8812776.8129379638</v>
      </c>
      <c r="T178" s="113">
        <f ca="1">SUM(T168:T176)</f>
        <v>8957341.6121116783</v>
      </c>
      <c r="U178" s="113">
        <f ca="1">SUM(U168:U176)</f>
        <v>9165102.5965610016</v>
      </c>
      <c r="V178" s="113">
        <f ca="1">SUM(V168:V176)</f>
        <v>9442775.5053891558</v>
      </c>
      <c r="W178" s="114">
        <f ca="1">SUM(W168:W176)</f>
        <v>9791767.6407914869</v>
      </c>
      <c r="Z178" s="85" t="str">
        <f>Z164</f>
        <v>Rosuvastatin 40mg</v>
      </c>
      <c r="AA178" s="113">
        <f ca="1">SUM(AA168:AA176)</f>
        <v>9776353.1190078706</v>
      </c>
      <c r="AB178" s="113">
        <f ca="1">SUM(AB168:AB176)</f>
        <v>9936724.4248176143</v>
      </c>
      <c r="AC178" s="113">
        <f ca="1">SUM(AC168:AC176)</f>
        <v>10167201.695653224</v>
      </c>
      <c r="AD178" s="113">
        <f ca="1">SUM(AD168:AD176)</f>
        <v>10475234.959845366</v>
      </c>
      <c r="AE178" s="114">
        <f ca="1">SUM(AE168:AE176)</f>
        <v>10862385.391981676</v>
      </c>
      <c r="AH178" s="85" t="str">
        <f>AH164</f>
        <v>Atorvastatin 10mg</v>
      </c>
      <c r="AI178" s="113">
        <f ca="1">SUM(AI168:AI176)</f>
        <v>1311279.6090853959</v>
      </c>
      <c r="AJ178" s="113">
        <f ca="1">SUM(AJ168:AJ176)</f>
        <v>1320839.7121731823</v>
      </c>
      <c r="AK178" s="113">
        <f ca="1">SUM(AK168:AK176)</f>
        <v>1328854.2928791798</v>
      </c>
      <c r="AL178" s="113">
        <f ca="1">SUM(AL168:AL176)</f>
        <v>1335740.257637515</v>
      </c>
      <c r="AM178" s="114">
        <f ca="1">SUM(AM168:AM176)</f>
        <v>1341509.9899830492</v>
      </c>
      <c r="AP178" s="85" t="str">
        <f>AP164</f>
        <v>Atorvastatin 20mg</v>
      </c>
      <c r="AQ178" s="113">
        <f ca="1">SUM(AQ168:AQ176)</f>
        <v>9865489.4497679938</v>
      </c>
      <c r="AR178" s="113">
        <f ca="1">SUM(AR168:AR176)</f>
        <v>9937415.4489963613</v>
      </c>
      <c r="AS178" s="113">
        <f ca="1">SUM(AS168:AS176)</f>
        <v>9997713.6194639709</v>
      </c>
      <c r="AT178" s="113">
        <f ca="1">SUM(AT168:AT176)</f>
        <v>10049520.581308069</v>
      </c>
      <c r="AU178" s="114">
        <f ca="1">SUM(AU168:AU176)</f>
        <v>10092929.502783295</v>
      </c>
      <c r="AX178" s="85" t="str">
        <f>AX164</f>
        <v>Atorvastatin 40mg</v>
      </c>
      <c r="AY178" s="113">
        <f ca="1">SUM(AY168:AY176)</f>
        <v>54317817.638895214</v>
      </c>
      <c r="AZ178" s="113">
        <f ca="1">SUM(AZ168:AZ176)</f>
        <v>54713830.764191672</v>
      </c>
      <c r="BA178" s="113">
        <f ca="1">SUM(BA168:BA176)</f>
        <v>55045822.911575265</v>
      </c>
      <c r="BB178" s="113">
        <f ca="1">SUM(BB168:BB176)</f>
        <v>55331063.813225515</v>
      </c>
      <c r="BC178" s="114">
        <f ca="1">SUM(BC168:BC176)</f>
        <v>55570066.4387514</v>
      </c>
      <c r="BF178" s="85" t="str">
        <f>BF164</f>
        <v>Atorvastatin 80mg</v>
      </c>
      <c r="BG178" s="113">
        <f ca="1">SUM(BG168:BG176)</f>
        <v>10352103.395284122</v>
      </c>
      <c r="BH178" s="113">
        <f ca="1">SUM(BH168:BH176)</f>
        <v>10427577.13478913</v>
      </c>
      <c r="BI178" s="113">
        <f ca="1">SUM(BI168:BI176)</f>
        <v>10490849.504437434</v>
      </c>
      <c r="BJ178" s="113">
        <f ca="1">SUM(BJ168:BJ176)</f>
        <v>10545211.837734364</v>
      </c>
      <c r="BK178" s="114">
        <f ca="1">SUM(BK168:BK176)</f>
        <v>10590761.898446241</v>
      </c>
      <c r="BN178" s="85" t="str">
        <f>BN164</f>
        <v>Pravastatin</v>
      </c>
      <c r="BO178" s="113">
        <f ca="1">SUM(BO168:BO176)</f>
        <v>1042638.2635894753</v>
      </c>
      <c r="BP178" s="113">
        <f ca="1">SUM(BP168:BP176)</f>
        <v>1051189.9831204498</v>
      </c>
      <c r="BQ178" s="113">
        <f ca="1">SUM(BQ168:BQ176)</f>
        <v>1059383.3731141638</v>
      </c>
      <c r="BR178" s="113">
        <f ca="1">SUM(BR168:BR176)</f>
        <v>1067596.2328532585</v>
      </c>
      <c r="BS178" s="114">
        <f ca="1">SUM(BS168:BS176)</f>
        <v>1075854.073980656</v>
      </c>
      <c r="BV178" s="85" t="str">
        <f>BV164</f>
        <v>Simvastatin 5mg</v>
      </c>
      <c r="BW178" s="113">
        <f ca="1">SUM(BW168:BW176)</f>
        <v>38488.78478449375</v>
      </c>
      <c r="BX178" s="113">
        <f ca="1">SUM(BX168:BX176)</f>
        <v>38769.393700939901</v>
      </c>
      <c r="BY178" s="113">
        <f ca="1">SUM(BY168:BY176)</f>
        <v>39004.638319855505</v>
      </c>
      <c r="BZ178" s="113">
        <f ca="1">SUM(BZ168:BZ176)</f>
        <v>39206.755712500715</v>
      </c>
      <c r="CA178" s="114">
        <f ca="1">SUM(CA168:CA176)</f>
        <v>39376.10936138899</v>
      </c>
      <c r="CD178" s="85" t="str">
        <f>CD164</f>
        <v>Simvastatin 10mg</v>
      </c>
      <c r="CE178" s="113">
        <f ca="1">SUM(CE168:CE176)</f>
        <v>2779199.1467679399</v>
      </c>
      <c r="CF178" s="113">
        <f ca="1">SUM(CF168:CF176)</f>
        <v>2799461.362515443</v>
      </c>
      <c r="CG178" s="113">
        <f ca="1">SUM(CG168:CG176)</f>
        <v>2816447.911917631</v>
      </c>
      <c r="CH178" s="113">
        <f ca="1">SUM(CH168:CH176)</f>
        <v>2831042.4097260637</v>
      </c>
      <c r="CI178" s="114">
        <f ca="1">SUM(CI168:CI176)</f>
        <v>2843271.1022952809</v>
      </c>
      <c r="CL178" s="85" t="str">
        <f>CL164</f>
        <v>Simvastatin 20mg</v>
      </c>
      <c r="CM178" s="113">
        <f ca="1">SUM(CM168:CM176)</f>
        <v>11908604.566659126</v>
      </c>
      <c r="CN178" s="113">
        <f ca="1">SUM(CN168:CN176)</f>
        <v>11995426.238025123</v>
      </c>
      <c r="CO178" s="113">
        <f ca="1">SUM(CO168:CO176)</f>
        <v>12068211.989999007</v>
      </c>
      <c r="CP178" s="113">
        <f ca="1">SUM(CP168:CP176)</f>
        <v>12130748.027926235</v>
      </c>
      <c r="CQ178" s="114">
        <f ca="1">SUM(CQ168:CQ176)</f>
        <v>12183146.814944936</v>
      </c>
      <c r="CT178" s="85" t="str">
        <f>CT164</f>
        <v>Simvastatin 40mg</v>
      </c>
      <c r="CU178" s="113">
        <f ca="1">SUM(CU168:CU176)</f>
        <v>25400559.249601152</v>
      </c>
      <c r="CV178" s="113">
        <f ca="1">SUM(CV168:CV176)</f>
        <v>25585717.728075638</v>
      </c>
      <c r="CW178" s="113">
        <f ca="1">SUM(CW168:CW176)</f>
        <v>25740912.022212084</v>
      </c>
      <c r="CX178" s="113">
        <f ca="1">SUM(CX168:CX176)</f>
        <v>25874216.559920665</v>
      </c>
      <c r="CY178" s="114">
        <f ca="1">SUM(CY168:CY176)</f>
        <v>25985870.74984172</v>
      </c>
      <c r="DB178" s="85">
        <f>DB164</f>
        <v>0</v>
      </c>
      <c r="DC178" s="113">
        <f ca="1">SUM(DC168:DC176)</f>
        <v>0</v>
      </c>
      <c r="DD178" s="113">
        <f ca="1">SUM(DD168:DD176)</f>
        <v>0</v>
      </c>
      <c r="DE178" s="113">
        <f ca="1">SUM(DE168:DE176)</f>
        <v>0</v>
      </c>
      <c r="DF178" s="113">
        <f ca="1">SUM(DF168:DF176)</f>
        <v>0</v>
      </c>
      <c r="DG178" s="114">
        <f ca="1">SUM(DG168:DG176)</f>
        <v>0</v>
      </c>
    </row>
    <row r="179" spans="2:111" ht="15" thickBot="1">
      <c r="B179" s="83"/>
      <c r="C179" s="86"/>
      <c r="D179" s="86"/>
      <c r="E179" s="86"/>
      <c r="F179" s="86"/>
      <c r="G179" s="86"/>
      <c r="J179" s="83"/>
      <c r="K179" s="86"/>
      <c r="L179" s="86"/>
      <c r="M179" s="86"/>
      <c r="N179" s="86"/>
      <c r="O179" s="86"/>
      <c r="R179" s="83"/>
      <c r="S179" s="86"/>
      <c r="T179" s="86"/>
      <c r="U179" s="86"/>
      <c r="V179" s="86"/>
      <c r="W179" s="86"/>
      <c r="Z179" s="83"/>
      <c r="AA179" s="86"/>
      <c r="AB179" s="86"/>
      <c r="AC179" s="86"/>
      <c r="AD179" s="86"/>
      <c r="AE179" s="86"/>
      <c r="AH179" s="83"/>
      <c r="AI179" s="86"/>
      <c r="AJ179" s="86"/>
      <c r="AK179" s="86"/>
      <c r="AL179" s="86"/>
      <c r="AM179" s="86"/>
      <c r="AP179" s="83"/>
      <c r="AQ179" s="86"/>
      <c r="AR179" s="86"/>
      <c r="AS179" s="86"/>
      <c r="AT179" s="86"/>
      <c r="AU179" s="86"/>
      <c r="AX179" s="83"/>
      <c r="AY179" s="86"/>
      <c r="AZ179" s="86"/>
      <c r="BA179" s="86"/>
      <c r="BB179" s="86"/>
      <c r="BC179" s="86"/>
      <c r="BF179" s="83"/>
      <c r="BG179" s="86"/>
      <c r="BH179" s="86"/>
      <c r="BI179" s="86"/>
      <c r="BJ179" s="86"/>
      <c r="BK179" s="86"/>
      <c r="BN179" s="83"/>
      <c r="BO179" s="86"/>
      <c r="BP179" s="86"/>
      <c r="BQ179" s="86"/>
      <c r="BR179" s="86"/>
      <c r="BS179" s="86"/>
      <c r="BV179" s="83"/>
      <c r="BW179" s="86"/>
      <c r="BX179" s="86"/>
      <c r="BY179" s="86"/>
      <c r="BZ179" s="86"/>
      <c r="CA179" s="86"/>
      <c r="CD179" s="83"/>
      <c r="CE179" s="86"/>
      <c r="CF179" s="86"/>
      <c r="CG179" s="86"/>
      <c r="CH179" s="86"/>
      <c r="CI179" s="86"/>
      <c r="CL179" s="83"/>
      <c r="CM179" s="86"/>
      <c r="CN179" s="86"/>
      <c r="CO179" s="86"/>
      <c r="CP179" s="86"/>
      <c r="CQ179" s="86"/>
      <c r="CT179" s="83"/>
      <c r="CU179" s="86"/>
      <c r="CV179" s="86"/>
      <c r="CW179" s="86"/>
      <c r="CX179" s="86"/>
      <c r="CY179" s="86"/>
      <c r="DB179" s="83"/>
      <c r="DC179" s="86"/>
      <c r="DD179" s="86"/>
      <c r="DE179" s="86"/>
      <c r="DF179" s="86"/>
      <c r="DG179" s="86"/>
    </row>
    <row r="180" spans="2:111" ht="15" thickBot="1">
      <c r="B180" s="507" t="str">
        <f>B119</f>
        <v>high intensity only</v>
      </c>
      <c r="C180" s="505"/>
      <c r="D180" s="505"/>
      <c r="E180" s="505"/>
      <c r="F180" s="505"/>
      <c r="G180" s="506"/>
      <c r="J180" s="507" t="str">
        <f>J119</f>
        <v>high intensity only</v>
      </c>
      <c r="K180" s="505"/>
      <c r="L180" s="505"/>
      <c r="M180" s="505"/>
      <c r="N180" s="505"/>
      <c r="O180" s="506"/>
      <c r="R180" s="507" t="str">
        <f>R119</f>
        <v>high intensity only</v>
      </c>
      <c r="S180" s="505"/>
      <c r="T180" s="505"/>
      <c r="U180" s="505"/>
      <c r="V180" s="505"/>
      <c r="W180" s="506"/>
      <c r="Z180" s="507" t="str">
        <f>Z119</f>
        <v>high intensity only</v>
      </c>
      <c r="AA180" s="505"/>
      <c r="AB180" s="505"/>
      <c r="AC180" s="505"/>
      <c r="AD180" s="505"/>
      <c r="AE180" s="506"/>
      <c r="AH180" s="507" t="str">
        <f>AH119</f>
        <v>high intensity only</v>
      </c>
      <c r="AI180" s="505"/>
      <c r="AJ180" s="505"/>
      <c r="AK180" s="505"/>
      <c r="AL180" s="505"/>
      <c r="AM180" s="506"/>
      <c r="AP180" s="507" t="str">
        <f>AP119</f>
        <v>high intensity only</v>
      </c>
      <c r="AQ180" s="505"/>
      <c r="AR180" s="505"/>
      <c r="AS180" s="505"/>
      <c r="AT180" s="505"/>
      <c r="AU180" s="506"/>
      <c r="AX180" s="507" t="str">
        <f>AX119</f>
        <v>high intensity only</v>
      </c>
      <c r="AY180" s="505"/>
      <c r="AZ180" s="505"/>
      <c r="BA180" s="505"/>
      <c r="BB180" s="505"/>
      <c r="BC180" s="506"/>
      <c r="BF180" s="507" t="str">
        <f>BF119</f>
        <v>high intensity only</v>
      </c>
      <c r="BG180" s="505"/>
      <c r="BH180" s="505"/>
      <c r="BI180" s="505"/>
      <c r="BJ180" s="505"/>
      <c r="BK180" s="506"/>
      <c r="BN180" s="507" t="str">
        <f>BN119</f>
        <v>high intensity only</v>
      </c>
      <c r="BO180" s="505"/>
      <c r="BP180" s="505"/>
      <c r="BQ180" s="505"/>
      <c r="BR180" s="505"/>
      <c r="BS180" s="506"/>
      <c r="BV180" s="507" t="str">
        <f>BV119</f>
        <v>high intensity only</v>
      </c>
      <c r="BW180" s="505"/>
      <c r="BX180" s="505"/>
      <c r="BY180" s="505"/>
      <c r="BZ180" s="505"/>
      <c r="CA180" s="506"/>
      <c r="CD180" s="507" t="str">
        <f>CD119</f>
        <v>high intensity only</v>
      </c>
      <c r="CE180" s="505"/>
      <c r="CF180" s="505"/>
      <c r="CG180" s="505"/>
      <c r="CH180" s="505"/>
      <c r="CI180" s="506"/>
      <c r="CL180" s="507" t="str">
        <f>CL119</f>
        <v>high intensity only</v>
      </c>
      <c r="CM180" s="505"/>
      <c r="CN180" s="505"/>
      <c r="CO180" s="505"/>
      <c r="CP180" s="505"/>
      <c r="CQ180" s="506"/>
      <c r="CT180" s="507" t="str">
        <f>CT119</f>
        <v>high intensity only</v>
      </c>
      <c r="CU180" s="505"/>
      <c r="CV180" s="505"/>
      <c r="CW180" s="505"/>
      <c r="CX180" s="505"/>
      <c r="CY180" s="506"/>
      <c r="DB180" s="507" t="str">
        <f>DB119</f>
        <v>high intensity only</v>
      </c>
      <c r="DC180" s="505"/>
      <c r="DD180" s="505"/>
      <c r="DE180" s="505"/>
      <c r="DF180" s="505"/>
      <c r="DG180" s="506"/>
    </row>
    <row r="181" spans="2:111">
      <c r="B181" s="84"/>
      <c r="C181" s="101">
        <f>C120</f>
        <v>2026</v>
      </c>
      <c r="D181" s="101">
        <f t="shared" ref="D181:F181" si="356">D120</f>
        <v>2027</v>
      </c>
      <c r="E181" s="101">
        <f t="shared" si="356"/>
        <v>2028</v>
      </c>
      <c r="F181" s="101">
        <f t="shared" si="356"/>
        <v>2029</v>
      </c>
      <c r="G181" s="102">
        <f>G120</f>
        <v>2030</v>
      </c>
      <c r="J181" s="84"/>
      <c r="K181" s="101">
        <f>K120</f>
        <v>2026</v>
      </c>
      <c r="L181" s="101">
        <f t="shared" ref="L181:N181" si="357">L120</f>
        <v>2027</v>
      </c>
      <c r="M181" s="101">
        <f t="shared" si="357"/>
        <v>2028</v>
      </c>
      <c r="N181" s="101">
        <f t="shared" si="357"/>
        <v>2029</v>
      </c>
      <c r="O181" s="102">
        <f>O120</f>
        <v>2030</v>
      </c>
      <c r="R181" s="84"/>
      <c r="S181" s="101">
        <f>S120</f>
        <v>2026</v>
      </c>
      <c r="T181" s="101">
        <f t="shared" ref="T181:V181" si="358">T120</f>
        <v>2027</v>
      </c>
      <c r="U181" s="101">
        <f t="shared" si="358"/>
        <v>2028</v>
      </c>
      <c r="V181" s="101">
        <f t="shared" si="358"/>
        <v>2029</v>
      </c>
      <c r="W181" s="102">
        <f>W120</f>
        <v>2030</v>
      </c>
      <c r="Z181" s="84"/>
      <c r="AA181" s="101">
        <f>AA120</f>
        <v>2026</v>
      </c>
      <c r="AB181" s="101">
        <f t="shared" ref="AB181:AD181" si="359">AB120</f>
        <v>2027</v>
      </c>
      <c r="AC181" s="101">
        <f t="shared" si="359"/>
        <v>2028</v>
      </c>
      <c r="AD181" s="101">
        <f t="shared" si="359"/>
        <v>2029</v>
      </c>
      <c r="AE181" s="102">
        <f>AE120</f>
        <v>2030</v>
      </c>
      <c r="AH181" s="84"/>
      <c r="AI181" s="101">
        <f>AI120</f>
        <v>2026</v>
      </c>
      <c r="AJ181" s="101">
        <f t="shared" ref="AJ181:AL181" si="360">AJ120</f>
        <v>2027</v>
      </c>
      <c r="AK181" s="101">
        <f t="shared" si="360"/>
        <v>2028</v>
      </c>
      <c r="AL181" s="101">
        <f t="shared" si="360"/>
        <v>2029</v>
      </c>
      <c r="AM181" s="102">
        <f>AM120</f>
        <v>2030</v>
      </c>
      <c r="AP181" s="84"/>
      <c r="AQ181" s="101">
        <f>AQ120</f>
        <v>2026</v>
      </c>
      <c r="AR181" s="101">
        <f t="shared" ref="AR181:AT181" si="361">AR120</f>
        <v>2027</v>
      </c>
      <c r="AS181" s="101">
        <f t="shared" si="361"/>
        <v>2028</v>
      </c>
      <c r="AT181" s="101">
        <f t="shared" si="361"/>
        <v>2029</v>
      </c>
      <c r="AU181" s="102">
        <f>AU120</f>
        <v>2030</v>
      </c>
      <c r="AX181" s="84"/>
      <c r="AY181" s="101">
        <f>AY120</f>
        <v>2026</v>
      </c>
      <c r="AZ181" s="101">
        <f t="shared" ref="AZ181:BB181" si="362">AZ120</f>
        <v>2027</v>
      </c>
      <c r="BA181" s="101">
        <f t="shared" si="362"/>
        <v>2028</v>
      </c>
      <c r="BB181" s="101">
        <f t="shared" si="362"/>
        <v>2029</v>
      </c>
      <c r="BC181" s="102">
        <f>BC120</f>
        <v>2030</v>
      </c>
      <c r="BF181" s="84"/>
      <c r="BG181" s="101">
        <f>BG120</f>
        <v>2026</v>
      </c>
      <c r="BH181" s="101">
        <f t="shared" ref="BH181:BJ181" si="363">BH120</f>
        <v>2027</v>
      </c>
      <c r="BI181" s="101">
        <f t="shared" si="363"/>
        <v>2028</v>
      </c>
      <c r="BJ181" s="101">
        <f t="shared" si="363"/>
        <v>2029</v>
      </c>
      <c r="BK181" s="102">
        <f>BK120</f>
        <v>2030</v>
      </c>
      <c r="BN181" s="84"/>
      <c r="BO181" s="101">
        <f>BO120</f>
        <v>2026</v>
      </c>
      <c r="BP181" s="101">
        <f t="shared" ref="BP181:BR181" si="364">BP120</f>
        <v>2027</v>
      </c>
      <c r="BQ181" s="101">
        <f t="shared" si="364"/>
        <v>2028</v>
      </c>
      <c r="BR181" s="101">
        <f t="shared" si="364"/>
        <v>2029</v>
      </c>
      <c r="BS181" s="102">
        <f>BS120</f>
        <v>2030</v>
      </c>
      <c r="BV181" s="84"/>
      <c r="BW181" s="101">
        <f>BW120</f>
        <v>2026</v>
      </c>
      <c r="BX181" s="101">
        <f t="shared" ref="BX181:BZ181" si="365">BX120</f>
        <v>2027</v>
      </c>
      <c r="BY181" s="101">
        <f t="shared" si="365"/>
        <v>2028</v>
      </c>
      <c r="BZ181" s="101">
        <f t="shared" si="365"/>
        <v>2029</v>
      </c>
      <c r="CA181" s="102">
        <f>CA120</f>
        <v>2030</v>
      </c>
      <c r="CD181" s="84"/>
      <c r="CE181" s="101">
        <f>CE120</f>
        <v>2026</v>
      </c>
      <c r="CF181" s="101">
        <f t="shared" ref="CF181:CH181" si="366">CF120</f>
        <v>2027</v>
      </c>
      <c r="CG181" s="101">
        <f t="shared" si="366"/>
        <v>2028</v>
      </c>
      <c r="CH181" s="101">
        <f t="shared" si="366"/>
        <v>2029</v>
      </c>
      <c r="CI181" s="102">
        <f>CI120</f>
        <v>2030</v>
      </c>
      <c r="CL181" s="84"/>
      <c r="CM181" s="101">
        <f>CM120</f>
        <v>2026</v>
      </c>
      <c r="CN181" s="101">
        <f t="shared" ref="CN181:CP181" si="367">CN120</f>
        <v>2027</v>
      </c>
      <c r="CO181" s="101">
        <f t="shared" si="367"/>
        <v>2028</v>
      </c>
      <c r="CP181" s="101">
        <f t="shared" si="367"/>
        <v>2029</v>
      </c>
      <c r="CQ181" s="102">
        <f>CQ120</f>
        <v>2030</v>
      </c>
      <c r="CT181" s="84"/>
      <c r="CU181" s="101">
        <f>CU120</f>
        <v>2026</v>
      </c>
      <c r="CV181" s="101">
        <f t="shared" ref="CV181:CX181" si="368">CV120</f>
        <v>2027</v>
      </c>
      <c r="CW181" s="101">
        <f t="shared" si="368"/>
        <v>2028</v>
      </c>
      <c r="CX181" s="101">
        <f t="shared" si="368"/>
        <v>2029</v>
      </c>
      <c r="CY181" s="102">
        <f>CY120</f>
        <v>2030</v>
      </c>
      <c r="DB181" s="84"/>
      <c r="DC181" s="101">
        <f>DC120</f>
        <v>2026</v>
      </c>
      <c r="DD181" s="101">
        <f t="shared" ref="DD181:DF181" si="369">DD120</f>
        <v>2027</v>
      </c>
      <c r="DE181" s="101">
        <f t="shared" si="369"/>
        <v>2028</v>
      </c>
      <c r="DF181" s="101">
        <f t="shared" si="369"/>
        <v>2029</v>
      </c>
      <c r="DG181" s="102">
        <f>DG120</f>
        <v>2030</v>
      </c>
    </row>
    <row r="182" spans="2:111">
      <c r="B182" s="87" t="s">
        <v>170</v>
      </c>
      <c r="C182" s="109">
        <f ca="1">(C58*ci_int1)+(C58*ct_int1*'Time on treatment'!$D$12)</f>
        <v>0</v>
      </c>
      <c r="D182" s="109">
        <f ca="1">(D58*ct_int1*'Time on treatment'!$E$12)</f>
        <v>0</v>
      </c>
      <c r="E182" s="109">
        <f ca="1">(E58*ct_int1*'Time on treatment'!$F$12)</f>
        <v>0</v>
      </c>
      <c r="F182" s="109">
        <f ca="1">(F58*ct_int1*'Time on treatment'!$G$12)</f>
        <v>0</v>
      </c>
      <c r="G182" s="110">
        <f ca="1">(G58*ct_int1*'Time on treatment'!$H$12)</f>
        <v>0</v>
      </c>
      <c r="J182" s="87" t="s">
        <v>170</v>
      </c>
      <c r="K182" s="109">
        <f ca="1">(K58*ci_int2)+(K58*ct_int2*'Time on treatment'!$D$13)</f>
        <v>0</v>
      </c>
      <c r="L182" s="109">
        <f ca="1">(L58*ct_int2*'Time on treatment'!$E$13)</f>
        <v>0</v>
      </c>
      <c r="M182" s="109">
        <f ca="1">(M58*ct_int2*'Time on treatment'!$F$13)</f>
        <v>0</v>
      </c>
      <c r="N182" s="109">
        <f ca="1">(N58*ct_int2*'Time on treatment'!$G$13)</f>
        <v>0</v>
      </c>
      <c r="O182" s="110">
        <f ca="1">(O58*ct_int2*'Time on treatment'!$H$13)</f>
        <v>0</v>
      </c>
      <c r="R182" s="87" t="s">
        <v>170</v>
      </c>
      <c r="S182" s="109">
        <f ca="1">(S58*ci_int3)+(S58*ct_int3*'Time on treatment'!$D$14)</f>
        <v>29769516.979841314</v>
      </c>
      <c r="T182" s="109">
        <f ca="1">(T58*ct_int3*'Time on treatment'!$E$14)</f>
        <v>29769516.979841314</v>
      </c>
      <c r="U182" s="109">
        <f ca="1">(U58*ct_int3*'Time on treatment'!$F$14)</f>
        <v>29769516.979841314</v>
      </c>
      <c r="V182" s="109">
        <f ca="1">(V58*ct_int3*'Time on treatment'!$G$14)</f>
        <v>29769516.979841314</v>
      </c>
      <c r="W182" s="110">
        <f ca="1">(W58*ct_int3*'Time on treatment'!$H$14)</f>
        <v>29769516.979841314</v>
      </c>
      <c r="Z182" s="87" t="s">
        <v>170</v>
      </c>
      <c r="AA182" s="109">
        <f ca="1">(AA58*ci_int4)+(AA58*ct_int4*'Time on treatment'!$D$15)</f>
        <v>33024473.029880863</v>
      </c>
      <c r="AB182" s="109">
        <f ca="1">(AB58*ct_int4*'Time on treatment'!$E$15)</f>
        <v>33024473.029880863</v>
      </c>
      <c r="AC182" s="109">
        <f ca="1">(AC58*ct_int4*'Time on treatment'!$F$15)</f>
        <v>33024473.029880863</v>
      </c>
      <c r="AD182" s="109">
        <f ca="1">(AD58*ct_int4*'Time on treatment'!$G$15)</f>
        <v>33024473.029880863</v>
      </c>
      <c r="AE182" s="110">
        <f ca="1">(AE58*ct_int4*'Time on treatment'!$H$15)</f>
        <v>33024473.029880863</v>
      </c>
      <c r="AH182" s="87" t="s">
        <v>170</v>
      </c>
      <c r="AI182" s="109">
        <f ca="1">(AI58*ci_comp1)+(AI58*ct_comp1*'Time on treatment'!$D$19)</f>
        <v>1311279.6090853959</v>
      </c>
      <c r="AJ182" s="109">
        <f ca="1">(AJ58*ct_comp1*'Time on treatment'!$E$19)</f>
        <v>1311279.6090853959</v>
      </c>
      <c r="AK182" s="109">
        <f ca="1">(AK58*ct_comp1*'Time on treatment'!$F$19)</f>
        <v>1311279.6090853959</v>
      </c>
      <c r="AL182" s="109">
        <f ca="1">(AL58*ct_comp1*'Time on treatment'!$G$19)</f>
        <v>1311279.6090853959</v>
      </c>
      <c r="AM182" s="110">
        <f ca="1">(AM58*ct_comp1*'Time on treatment'!$H$19)</f>
        <v>1311279.6090853959</v>
      </c>
      <c r="AP182" s="87" t="s">
        <v>170</v>
      </c>
      <c r="AQ182" s="109">
        <f ca="1">(AQ58*ci_comp2)+(AQ58*ct_comp2*'Time on treatment'!$D$20)</f>
        <v>9865489.4497679938</v>
      </c>
      <c r="AR182" s="109">
        <f ca="1">(AR58*ct_comp2*'Time on treatment'!$E$20)</f>
        <v>9865489.4497679938</v>
      </c>
      <c r="AS182" s="109">
        <f ca="1">(AS58*ct_comp2*'Time on treatment'!$F$20)</f>
        <v>9865489.4497679938</v>
      </c>
      <c r="AT182" s="109">
        <f ca="1">(AT58*ct_comp2*'Time on treatment'!$G$20)</f>
        <v>9865489.4497679938</v>
      </c>
      <c r="AU182" s="110">
        <f ca="1">(AU58*ct_comp2*'Time on treatment'!$H$20)</f>
        <v>9865489.4497679938</v>
      </c>
      <c r="AX182" s="87" t="s">
        <v>170</v>
      </c>
      <c r="AY182" s="109">
        <f ca="1">(AY58*ci_comp3)+(AY58*ct_comp3*'Time on treatment'!$D$21)</f>
        <v>54317817.638895214</v>
      </c>
      <c r="AZ182" s="109">
        <f ca="1">(AZ58*ct_comp3*'Time on treatment'!$E$21)</f>
        <v>54317817.638895214</v>
      </c>
      <c r="BA182" s="109">
        <f ca="1">(BA58*ct_comp3*'Time on treatment'!$F$21)</f>
        <v>54317817.638895214</v>
      </c>
      <c r="BB182" s="109">
        <f ca="1">(BB58*ct_comp3*'Time on treatment'!$G$21)</f>
        <v>54317817.638895214</v>
      </c>
      <c r="BC182" s="110">
        <f ca="1">(BC58*ct_comp3*'Time on treatment'!$H$21)</f>
        <v>54317817.638895214</v>
      </c>
      <c r="BF182" s="87" t="s">
        <v>170</v>
      </c>
      <c r="BG182" s="109">
        <f ca="1">(BG58*ci_comp4)+(BG58*ct_comp4*'Time on treatment'!$D$22)</f>
        <v>10352103.395284122</v>
      </c>
      <c r="BH182" s="109">
        <f ca="1">(BH58*ct_comp4*'Time on treatment'!$E$22)</f>
        <v>10352103.395284122</v>
      </c>
      <c r="BI182" s="109">
        <f ca="1">(BI58*ct_comp4*'Time on treatment'!$F$22)</f>
        <v>10352103.395284122</v>
      </c>
      <c r="BJ182" s="109">
        <f ca="1">(BJ58*ct_comp4*'Time on treatment'!$G$22)</f>
        <v>10352103.395284122</v>
      </c>
      <c r="BK182" s="110">
        <f ca="1">(BK58*ct_comp4*'Time on treatment'!$H$22)</f>
        <v>10352103.395284122</v>
      </c>
      <c r="BN182" s="87" t="s">
        <v>170</v>
      </c>
      <c r="BO182" s="109">
        <f ca="1">(BO58*ci_comp5)+(BO58*ct_comp5*'Time on treatment'!$D$23)</f>
        <v>1042638.2635894753</v>
      </c>
      <c r="BP182" s="109">
        <f ca="1">(BP58*ct_comp5*'Time on treatment'!$E$23)</f>
        <v>1042638.2635894753</v>
      </c>
      <c r="BQ182" s="109">
        <f ca="1">(BQ58*ct_comp5*'Time on treatment'!$F$23)</f>
        <v>1042638.2635894753</v>
      </c>
      <c r="BR182" s="109">
        <f ca="1">(BR58*ct_comp5*'Time on treatment'!$G$23)</f>
        <v>1042638.2635894753</v>
      </c>
      <c r="BS182" s="110">
        <f ca="1">(BS58*ct_comp5*'Time on treatment'!$H$23)</f>
        <v>1042638.2635894753</v>
      </c>
      <c r="BV182" s="87" t="s">
        <v>170</v>
      </c>
      <c r="BW182" s="109">
        <f ca="1">(BW58*ci_comp6)+(BW58*ct_comp6*'Time on treatment'!$D$24)</f>
        <v>38488.78478449375</v>
      </c>
      <c r="BX182" s="109">
        <f ca="1">(BX58*ct_comp6*'Time on treatment'!$E$24)</f>
        <v>38488.78478449375</v>
      </c>
      <c r="BY182" s="109">
        <f ca="1">(BY58*ct_comp6*'Time on treatment'!$F$24)</f>
        <v>38488.78478449375</v>
      </c>
      <c r="BZ182" s="109">
        <f ca="1">(BZ58*ct_comp6*'Time on treatment'!$G$24)</f>
        <v>38488.78478449375</v>
      </c>
      <c r="CA182" s="110">
        <f ca="1">(CA58*ct_comp6*'Time on treatment'!$H$24)</f>
        <v>38488.78478449375</v>
      </c>
      <c r="CD182" s="87" t="s">
        <v>170</v>
      </c>
      <c r="CE182" s="109">
        <f ca="1">(CE58*ci_comp7)+(CE58*ct_comp7*'Time on treatment'!$D$25)</f>
        <v>2779199.1467679399</v>
      </c>
      <c r="CF182" s="109">
        <f ca="1">(CF58*ct_comp7*'Time on treatment'!$E$25)</f>
        <v>2779199.1467679399</v>
      </c>
      <c r="CG182" s="109">
        <f ca="1">(CG58*ct_comp7*'Time on treatment'!$F$25)</f>
        <v>2779199.1467679399</v>
      </c>
      <c r="CH182" s="109">
        <f ca="1">(CH58*ct_comp7*'Time on treatment'!$G$25)</f>
        <v>2779199.1467679399</v>
      </c>
      <c r="CI182" s="110">
        <f ca="1">(CI58*ct_comp7*'Time on treatment'!$H$25)</f>
        <v>2779199.1467679399</v>
      </c>
      <c r="CL182" s="87" t="s">
        <v>170</v>
      </c>
      <c r="CM182" s="109">
        <f ca="1">(CM58*ci_comp8)+(CM58*ct_comp8*'Time on treatment'!$D$26)</f>
        <v>11908604.566659126</v>
      </c>
      <c r="CN182" s="109">
        <f ca="1">(CN58*ct_comp8*'Time on treatment'!$E$26)</f>
        <v>11908604.566659126</v>
      </c>
      <c r="CO182" s="109">
        <f ca="1">(CO58*ct_comp8*'Time on treatment'!$F$26)</f>
        <v>11908604.566659126</v>
      </c>
      <c r="CP182" s="109">
        <f ca="1">(CP58*ct_comp8*'Time on treatment'!$G$26)</f>
        <v>11908604.566659126</v>
      </c>
      <c r="CQ182" s="110">
        <f ca="1">(CQ58*ct_comp8*'Time on treatment'!$H$26)</f>
        <v>11908604.566659126</v>
      </c>
      <c r="CT182" s="87" t="s">
        <v>170</v>
      </c>
      <c r="CU182" s="109">
        <f ca="1">(CU58*ci_comp9)+(CU58*ct_comp9*'Time on treatment'!$D$27)</f>
        <v>25400559.249601152</v>
      </c>
      <c r="CV182" s="109">
        <f ca="1">(CV58*ct_comp9*'Time on treatment'!$E$27)</f>
        <v>25400559.249601152</v>
      </c>
      <c r="CW182" s="109">
        <f ca="1">(CW58*ct_comp9*'Time on treatment'!$F$27)</f>
        <v>25400559.249601152</v>
      </c>
      <c r="CX182" s="109">
        <f ca="1">(CX58*ct_comp9*'Time on treatment'!$G$27)</f>
        <v>25400559.249601152</v>
      </c>
      <c r="CY182" s="110">
        <f ca="1">(CY58*ct_comp9*'Time on treatment'!$H$27)</f>
        <v>25400559.249601152</v>
      </c>
      <c r="DB182" s="87" t="s">
        <v>170</v>
      </c>
      <c r="DC182" s="109">
        <f ca="1">(DC58*ci_comp10)+(DC58*ct_comp10*'Time on treatment'!$D$28)</f>
        <v>0</v>
      </c>
      <c r="DD182" s="109">
        <f ca="1">(DD58*ct_comp10*'Time on treatment'!$E$28)</f>
        <v>0</v>
      </c>
      <c r="DE182" s="109">
        <f ca="1">(DE58*ct_comp10*'Time on treatment'!$F$28)</f>
        <v>0</v>
      </c>
      <c r="DF182" s="109">
        <f ca="1">(DF58*ct_comp10*'Time on treatment'!$G$28)</f>
        <v>0</v>
      </c>
      <c r="DG182" s="110">
        <f ca="1">(DG58*ct_comp10*'Time on treatment'!$H$28)</f>
        <v>0</v>
      </c>
    </row>
    <row r="183" spans="2:111">
      <c r="B183" s="87" t="s">
        <v>175</v>
      </c>
      <c r="C183" s="109"/>
      <c r="D183" s="109"/>
      <c r="E183" s="109"/>
      <c r="F183" s="109"/>
      <c r="G183" s="110"/>
      <c r="J183" s="87" t="s">
        <v>175</v>
      </c>
      <c r="K183" s="109"/>
      <c r="L183" s="109"/>
      <c r="M183" s="109"/>
      <c r="N183" s="109"/>
      <c r="O183" s="110"/>
      <c r="R183" s="87" t="s">
        <v>175</v>
      </c>
      <c r="S183" s="109"/>
      <c r="T183" s="109"/>
      <c r="U183" s="109"/>
      <c r="V183" s="109"/>
      <c r="W183" s="110"/>
      <c r="Z183" s="87" t="s">
        <v>175</v>
      </c>
      <c r="AA183" s="109"/>
      <c r="AB183" s="109"/>
      <c r="AC183" s="109"/>
      <c r="AD183" s="109"/>
      <c r="AE183" s="110"/>
      <c r="AH183" s="87" t="s">
        <v>175</v>
      </c>
      <c r="AI183" s="109"/>
      <c r="AJ183" s="109"/>
      <c r="AK183" s="109"/>
      <c r="AL183" s="109"/>
      <c r="AM183" s="110"/>
      <c r="AP183" s="87" t="s">
        <v>175</v>
      </c>
      <c r="AQ183" s="109"/>
      <c r="AR183" s="109"/>
      <c r="AS183" s="109"/>
      <c r="AT183" s="109"/>
      <c r="AU183" s="110"/>
      <c r="AX183" s="87" t="s">
        <v>175</v>
      </c>
      <c r="AY183" s="109"/>
      <c r="AZ183" s="109"/>
      <c r="BA183" s="109"/>
      <c r="BB183" s="109"/>
      <c r="BC183" s="110"/>
      <c r="BF183" s="87" t="s">
        <v>175</v>
      </c>
      <c r="BG183" s="109"/>
      <c r="BH183" s="109"/>
      <c r="BI183" s="109"/>
      <c r="BJ183" s="109"/>
      <c r="BK183" s="110"/>
      <c r="BN183" s="87" t="s">
        <v>175</v>
      </c>
      <c r="BO183" s="109"/>
      <c r="BP183" s="109"/>
      <c r="BQ183" s="109"/>
      <c r="BR183" s="109"/>
      <c r="BS183" s="110"/>
      <c r="BV183" s="87" t="s">
        <v>175</v>
      </c>
      <c r="BW183" s="109"/>
      <c r="BX183" s="109"/>
      <c r="BY183" s="109"/>
      <c r="BZ183" s="109"/>
      <c r="CA183" s="110"/>
      <c r="CD183" s="87" t="s">
        <v>175</v>
      </c>
      <c r="CE183" s="109"/>
      <c r="CF183" s="109"/>
      <c r="CG183" s="109"/>
      <c r="CH183" s="109"/>
      <c r="CI183" s="110"/>
      <c r="CL183" s="87" t="s">
        <v>175</v>
      </c>
      <c r="CM183" s="109"/>
      <c r="CN183" s="109"/>
      <c r="CO183" s="109"/>
      <c r="CP183" s="109"/>
      <c r="CQ183" s="110"/>
      <c r="CT183" s="87" t="s">
        <v>175</v>
      </c>
      <c r="CU183" s="109"/>
      <c r="CV183" s="109"/>
      <c r="CW183" s="109"/>
      <c r="CX183" s="109"/>
      <c r="CY183" s="110"/>
      <c r="DB183" s="87" t="s">
        <v>175</v>
      </c>
      <c r="DC183" s="109"/>
      <c r="DD183" s="109"/>
      <c r="DE183" s="109"/>
      <c r="DF183" s="109"/>
      <c r="DG183" s="110"/>
    </row>
    <row r="184" spans="2:111">
      <c r="B184" s="87" t="s">
        <v>171</v>
      </c>
      <c r="C184" s="111"/>
      <c r="D184" s="109">
        <f ca="1">(D60*ci_int1)+(D60*ct_int1*'Time on treatment'!$D$12)</f>
        <v>0</v>
      </c>
      <c r="E184" s="109">
        <f ca="1">(E60*ct_int1*'Time on treatment'!$E$12)</f>
        <v>0</v>
      </c>
      <c r="F184" s="109">
        <f ca="1">(F60*ct_int1*'Time on treatment'!$F$12)</f>
        <v>0</v>
      </c>
      <c r="G184" s="110">
        <f ca="1">(G60*ct_int1*'Time on treatment'!$G$12)</f>
        <v>0</v>
      </c>
      <c r="J184" s="87" t="s">
        <v>171</v>
      </c>
      <c r="K184" s="111"/>
      <c r="L184" s="109">
        <f ca="1">(L60*ci_int2)+(L60*ct_int2*'Time on treatment'!$D$13)</f>
        <v>0</v>
      </c>
      <c r="M184" s="109">
        <f ca="1">(M60*ct_int2*'Time on treatment'!$E$13)</f>
        <v>0</v>
      </c>
      <c r="N184" s="109">
        <f ca="1">(N60*ct_int2*'Time on treatment'!$F$13)</f>
        <v>0</v>
      </c>
      <c r="O184" s="110">
        <f ca="1">(O60*ct_int2*'Time on treatment'!$G$13)</f>
        <v>0</v>
      </c>
      <c r="R184" s="87" t="s">
        <v>171</v>
      </c>
      <c r="S184" s="111"/>
      <c r="T184" s="109">
        <f ca="1">(T60*ci_int3)+(T60*ct_int3*'Time on treatment'!$D$14)</f>
        <v>488339.18469047447</v>
      </c>
      <c r="U184" s="109">
        <f ca="1">(U60*ct_int3*'Time on treatment'!$E$14)</f>
        <v>488339.18469047447</v>
      </c>
      <c r="V184" s="109">
        <f ca="1">(V60*ct_int3*'Time on treatment'!$F$14)</f>
        <v>488339.18469047447</v>
      </c>
      <c r="W184" s="110">
        <f ca="1">(W60*ct_int3*'Time on treatment'!$G$14)</f>
        <v>488339.18469047447</v>
      </c>
      <c r="Z184" s="87" t="s">
        <v>171</v>
      </c>
      <c r="AA184" s="111"/>
      <c r="AB184" s="109">
        <f ca="1">(AB60*ci_int4)+(AB60*ct_int4*'Time on treatment'!$D$15)</f>
        <v>541733.48681354895</v>
      </c>
      <c r="AC184" s="109">
        <f ca="1">(AC60*ct_int4*'Time on treatment'!$E$15)</f>
        <v>541733.48681354895</v>
      </c>
      <c r="AD184" s="109">
        <f ca="1">(AD60*ct_int4*'Time on treatment'!$F$15)</f>
        <v>541733.48681354895</v>
      </c>
      <c r="AE184" s="110">
        <f ca="1">(AE60*ct_int4*'Time on treatment'!$G$15)</f>
        <v>541733.48681354895</v>
      </c>
      <c r="AH184" s="87" t="s">
        <v>171</v>
      </c>
      <c r="AI184" s="111"/>
      <c r="AJ184" s="109">
        <f ca="1">(AJ60*ci_comp1)+(AJ60*ct_comp1*'Time on treatment'!$D$19)</f>
        <v>9560.1030877864359</v>
      </c>
      <c r="AK184" s="109">
        <f ca="1">(AK60*ct_comp1*'Time on treatment'!$E$19)</f>
        <v>9560.1030877864359</v>
      </c>
      <c r="AL184" s="109">
        <f ca="1">(AL60*ct_comp1*'Time on treatment'!$F$19)</f>
        <v>9560.1030877864359</v>
      </c>
      <c r="AM184" s="110">
        <f ca="1">(AM60*ct_comp1*'Time on treatment'!$G$19)</f>
        <v>9560.1030877864359</v>
      </c>
      <c r="AP184" s="87" t="s">
        <v>171</v>
      </c>
      <c r="AQ184" s="111"/>
      <c r="AR184" s="109">
        <f ca="1">(AR60*ci_comp2)+(AR60*ct_comp2*'Time on treatment'!$D$20)</f>
        <v>71925.999228368484</v>
      </c>
      <c r="AS184" s="109">
        <f ca="1">(AS60*ct_comp2*'Time on treatment'!$E$20)</f>
        <v>71925.999228368484</v>
      </c>
      <c r="AT184" s="109">
        <f ca="1">(AT60*ct_comp2*'Time on treatment'!$F$20)</f>
        <v>71925.999228368484</v>
      </c>
      <c r="AU184" s="110">
        <f ca="1">(AU60*ct_comp2*'Time on treatment'!$G$20)</f>
        <v>71925.999228368484</v>
      </c>
      <c r="AX184" s="87" t="s">
        <v>171</v>
      </c>
      <c r="AY184" s="111"/>
      <c r="AZ184" s="109">
        <f ca="1">(AZ60*ci_comp3)+(AZ60*ct_comp3*'Time on treatment'!$D$21)</f>
        <v>396013.12529645604</v>
      </c>
      <c r="BA184" s="109">
        <f ca="1">(BA60*ct_comp3*'Time on treatment'!$E$21)</f>
        <v>396013.12529645604</v>
      </c>
      <c r="BB184" s="109">
        <f ca="1">(BB60*ct_comp3*'Time on treatment'!$F$21)</f>
        <v>396013.12529645604</v>
      </c>
      <c r="BC184" s="110">
        <f ca="1">(BC60*ct_comp3*'Time on treatment'!$G$21)</f>
        <v>396013.12529645604</v>
      </c>
      <c r="BF184" s="87" t="s">
        <v>171</v>
      </c>
      <c r="BG184" s="111"/>
      <c r="BH184" s="109">
        <f ca="1">(BH60*ci_comp4)+(BH60*ct_comp4*'Time on treatment'!$D$22)</f>
        <v>75473.739505008227</v>
      </c>
      <c r="BI184" s="109">
        <f ca="1">(BI60*ct_comp4*'Time on treatment'!$E$22)</f>
        <v>75473.739505008227</v>
      </c>
      <c r="BJ184" s="109">
        <f ca="1">(BJ60*ct_comp4*'Time on treatment'!$F$22)</f>
        <v>75473.739505008227</v>
      </c>
      <c r="BK184" s="110">
        <f ca="1">(BK60*ct_comp4*'Time on treatment'!$G$22)</f>
        <v>75473.739505008227</v>
      </c>
      <c r="BN184" s="87" t="s">
        <v>171</v>
      </c>
      <c r="BO184" s="111"/>
      <c r="BP184" s="109">
        <f ca="1">(BP60*ci_comp5)+(BP60*ct_comp5*'Time on treatment'!$D$23)</f>
        <v>8551.7195309745748</v>
      </c>
      <c r="BQ184" s="109">
        <f ca="1">(BQ60*ct_comp5*'Time on treatment'!$E$23)</f>
        <v>8551.7195309745748</v>
      </c>
      <c r="BR184" s="109">
        <f ca="1">(BR60*ct_comp5*'Time on treatment'!$F$23)</f>
        <v>8551.7195309745748</v>
      </c>
      <c r="BS184" s="110">
        <f ca="1">(BS60*ct_comp5*'Time on treatment'!$G$23)</f>
        <v>8551.7195309745748</v>
      </c>
      <c r="BV184" s="87" t="s">
        <v>171</v>
      </c>
      <c r="BW184" s="111"/>
      <c r="BX184" s="109">
        <f ca="1">(BX60*ci_comp6)+(BX60*ct_comp6*'Time on treatment'!$D$24)</f>
        <v>280.6089164461518</v>
      </c>
      <c r="BY184" s="109">
        <f ca="1">(BY60*ct_comp6*'Time on treatment'!$E$24)</f>
        <v>280.6089164461518</v>
      </c>
      <c r="BZ184" s="109">
        <f ca="1">(BZ60*ct_comp6*'Time on treatment'!$F$24)</f>
        <v>280.6089164461518</v>
      </c>
      <c r="CA184" s="110">
        <f ca="1">(CA60*ct_comp6*'Time on treatment'!$G$24)</f>
        <v>280.6089164461518</v>
      </c>
      <c r="CD184" s="87" t="s">
        <v>171</v>
      </c>
      <c r="CE184" s="111"/>
      <c r="CF184" s="109">
        <f ca="1">(CF60*ci_comp7)+(CF60*ct_comp7*'Time on treatment'!$D$25)</f>
        <v>20262.215747502949</v>
      </c>
      <c r="CG184" s="109">
        <f ca="1">(CG60*ct_comp7*'Time on treatment'!$E$25)</f>
        <v>20262.215747502949</v>
      </c>
      <c r="CH184" s="109">
        <f ca="1">(CH60*ct_comp7*'Time on treatment'!$F$25)</f>
        <v>20262.215747502949</v>
      </c>
      <c r="CI184" s="110">
        <f ca="1">(CI60*ct_comp7*'Time on treatment'!$G$25)</f>
        <v>20262.215747502949</v>
      </c>
      <c r="CL184" s="87" t="s">
        <v>171</v>
      </c>
      <c r="CM184" s="111"/>
      <c r="CN184" s="109">
        <f ca="1">(CN60*ci_comp8)+(CN60*ct_comp8*'Time on treatment'!$D$26)</f>
        <v>86821.67136599723</v>
      </c>
      <c r="CO184" s="109">
        <f ca="1">(CO60*ct_comp8*'Time on treatment'!$E$26)</f>
        <v>86821.67136599723</v>
      </c>
      <c r="CP184" s="109">
        <f ca="1">(CP60*ct_comp8*'Time on treatment'!$F$26)</f>
        <v>86821.67136599723</v>
      </c>
      <c r="CQ184" s="110">
        <f ca="1">(CQ60*ct_comp8*'Time on treatment'!$G$26)</f>
        <v>86821.67136599723</v>
      </c>
      <c r="CT184" s="87" t="s">
        <v>171</v>
      </c>
      <c r="CU184" s="111"/>
      <c r="CV184" s="109">
        <f ca="1">(CV60*ci_comp9)+(CV60*ct_comp9*'Time on treatment'!$D$27)</f>
        <v>185158.47847448502</v>
      </c>
      <c r="CW184" s="109">
        <f ca="1">(CW60*ct_comp9*'Time on treatment'!$E$27)</f>
        <v>185158.47847448502</v>
      </c>
      <c r="CX184" s="109">
        <f ca="1">(CX60*ct_comp9*'Time on treatment'!$F$27)</f>
        <v>185158.47847448502</v>
      </c>
      <c r="CY184" s="110">
        <f ca="1">(CY60*ct_comp9*'Time on treatment'!$G$27)</f>
        <v>185158.47847448502</v>
      </c>
      <c r="DB184" s="87" t="s">
        <v>171</v>
      </c>
      <c r="DC184" s="111"/>
      <c r="DD184" s="109">
        <f ca="1">(DD60*ci_comp10)+(DD60*ct_comp10*'Time on treatment'!$D$28)</f>
        <v>0</v>
      </c>
      <c r="DE184" s="109">
        <f ca="1">(DE60*ct_comp10*'Time on treatment'!$E$28)</f>
        <v>0</v>
      </c>
      <c r="DF184" s="109">
        <f ca="1">(DF60*ct_comp10*'Time on treatment'!$F$28)</f>
        <v>0</v>
      </c>
      <c r="DG184" s="110">
        <f ca="1">(DG60*ct_comp10*'Time on treatment'!$G$28)</f>
        <v>0</v>
      </c>
    </row>
    <row r="185" spans="2:111">
      <c r="B185" s="87" t="s">
        <v>176</v>
      </c>
      <c r="C185" s="111"/>
      <c r="D185" s="109"/>
      <c r="E185" s="109"/>
      <c r="F185" s="109"/>
      <c r="G185" s="110"/>
      <c r="J185" s="87" t="s">
        <v>176</v>
      </c>
      <c r="K185" s="111"/>
      <c r="L185" s="109"/>
      <c r="M185" s="109"/>
      <c r="N185" s="109"/>
      <c r="O185" s="110"/>
      <c r="R185" s="87" t="s">
        <v>176</v>
      </c>
      <c r="S185" s="111"/>
      <c r="T185" s="109"/>
      <c r="U185" s="109"/>
      <c r="V185" s="109"/>
      <c r="W185" s="110"/>
      <c r="Z185" s="87" t="s">
        <v>176</v>
      </c>
      <c r="AA185" s="111"/>
      <c r="AB185" s="109"/>
      <c r="AC185" s="109"/>
      <c r="AD185" s="109"/>
      <c r="AE185" s="110"/>
      <c r="AH185" s="87" t="s">
        <v>176</v>
      </c>
      <c r="AI185" s="111"/>
      <c r="AJ185" s="109"/>
      <c r="AK185" s="109"/>
      <c r="AL185" s="109"/>
      <c r="AM185" s="110"/>
      <c r="AP185" s="87" t="s">
        <v>176</v>
      </c>
      <c r="AQ185" s="111"/>
      <c r="AR185" s="109"/>
      <c r="AS185" s="109"/>
      <c r="AT185" s="109"/>
      <c r="AU185" s="110"/>
      <c r="AX185" s="87" t="s">
        <v>176</v>
      </c>
      <c r="AY185" s="111"/>
      <c r="AZ185" s="109"/>
      <c r="BA185" s="109"/>
      <c r="BB185" s="109"/>
      <c r="BC185" s="110"/>
      <c r="BF185" s="87" t="s">
        <v>176</v>
      </c>
      <c r="BG185" s="111"/>
      <c r="BH185" s="109"/>
      <c r="BI185" s="109"/>
      <c r="BJ185" s="109"/>
      <c r="BK185" s="110"/>
      <c r="BN185" s="87" t="s">
        <v>176</v>
      </c>
      <c r="BO185" s="111"/>
      <c r="BP185" s="109"/>
      <c r="BQ185" s="109"/>
      <c r="BR185" s="109"/>
      <c r="BS185" s="110"/>
      <c r="BV185" s="87" t="s">
        <v>176</v>
      </c>
      <c r="BW185" s="111"/>
      <c r="BX185" s="109"/>
      <c r="BY185" s="109"/>
      <c r="BZ185" s="109"/>
      <c r="CA185" s="110"/>
      <c r="CD185" s="87" t="s">
        <v>176</v>
      </c>
      <c r="CE185" s="111"/>
      <c r="CF185" s="109"/>
      <c r="CG185" s="109"/>
      <c r="CH185" s="109"/>
      <c r="CI185" s="110"/>
      <c r="CL185" s="87" t="s">
        <v>176</v>
      </c>
      <c r="CM185" s="111"/>
      <c r="CN185" s="109"/>
      <c r="CO185" s="109"/>
      <c r="CP185" s="109"/>
      <c r="CQ185" s="110"/>
      <c r="CT185" s="87" t="s">
        <v>176</v>
      </c>
      <c r="CU185" s="111"/>
      <c r="CV185" s="109"/>
      <c r="CW185" s="109"/>
      <c r="CX185" s="109"/>
      <c r="CY185" s="110"/>
      <c r="DB185" s="87" t="s">
        <v>176</v>
      </c>
      <c r="DC185" s="111"/>
      <c r="DD185" s="109"/>
      <c r="DE185" s="109"/>
      <c r="DF185" s="109"/>
      <c r="DG185" s="110"/>
    </row>
    <row r="186" spans="2:111">
      <c r="B186" s="87" t="s">
        <v>172</v>
      </c>
      <c r="C186" s="111"/>
      <c r="D186" s="111"/>
      <c r="E186" s="109">
        <f ca="1">(E62*ci_int1)+(E62*ct_int1*'Time on treatment'!$D$12)</f>
        <v>0</v>
      </c>
      <c r="F186" s="109">
        <f ca="1">(F62*ct_int1*'Time on treatment'!$E$12)</f>
        <v>0</v>
      </c>
      <c r="G186" s="110">
        <f ca="1">(G62*ct_int1*'Time on treatment'!$F$12)</f>
        <v>0</v>
      </c>
      <c r="J186" s="87" t="s">
        <v>172</v>
      </c>
      <c r="K186" s="111"/>
      <c r="L186" s="111"/>
      <c r="M186" s="109">
        <f ca="1">(M62*ci_int2)+(M62*ct_int2*'Time on treatment'!$D$13)</f>
        <v>0</v>
      </c>
      <c r="N186" s="109">
        <f ca="1">(N62*ct_int2*'Time on treatment'!$E$13)</f>
        <v>0</v>
      </c>
      <c r="O186" s="110">
        <f ca="1">(O62*ct_int2*'Time on treatment'!$F$13)</f>
        <v>0</v>
      </c>
      <c r="R186" s="87" t="s">
        <v>172</v>
      </c>
      <c r="S186" s="111"/>
      <c r="T186" s="111"/>
      <c r="U186" s="109">
        <f ca="1">(U62*ci_int3)+(U62*ct_int3*'Time on treatment'!$D$14)</f>
        <v>701815.58952368284</v>
      </c>
      <c r="V186" s="109">
        <f ca="1">(V62*ct_int3*'Time on treatment'!$E$14)</f>
        <v>701815.58952368284</v>
      </c>
      <c r="W186" s="110">
        <f ca="1">(W62*ct_int3*'Time on treatment'!$F$14)</f>
        <v>701815.58952368284</v>
      </c>
      <c r="Z186" s="87" t="s">
        <v>172</v>
      </c>
      <c r="AA186" s="111"/>
      <c r="AB186" s="111"/>
      <c r="AC186" s="109">
        <f ca="1">(AC62*ci_int4)+(AC62*ct_int4*'Time on treatment'!$D$15)</f>
        <v>778551.09385447437</v>
      </c>
      <c r="AD186" s="109">
        <f ca="1">(AD62*ct_int4*'Time on treatment'!$E$15)</f>
        <v>778551.09385447437</v>
      </c>
      <c r="AE186" s="110">
        <f ca="1">(AE62*ct_int4*'Time on treatment'!$F$15)</f>
        <v>778551.09385447437</v>
      </c>
      <c r="AH186" s="87" t="s">
        <v>172</v>
      </c>
      <c r="AI186" s="111"/>
      <c r="AJ186" s="111"/>
      <c r="AK186" s="109">
        <f ca="1">(AK62*ci_comp1)+(AK62*ct_comp1*'Time on treatment'!$D$19)</f>
        <v>8014.5807059975359</v>
      </c>
      <c r="AL186" s="109">
        <f ca="1">(AL62*ct_comp1*'Time on treatment'!$E$19)</f>
        <v>8014.5807059975359</v>
      </c>
      <c r="AM186" s="110">
        <f ca="1">(AM62*ct_comp1*'Time on treatment'!$F$19)</f>
        <v>8014.5807059975359</v>
      </c>
      <c r="AP186" s="87" t="s">
        <v>172</v>
      </c>
      <c r="AQ186" s="111"/>
      <c r="AR186" s="111"/>
      <c r="AS186" s="109">
        <f ca="1">(AS62*ci_comp2)+(AS62*ct_comp2*'Time on treatment'!$D$20)</f>
        <v>60298.170467610464</v>
      </c>
      <c r="AT186" s="109">
        <f ca="1">(AT62*ct_comp2*'Time on treatment'!$E$20)</f>
        <v>60298.170467610464</v>
      </c>
      <c r="AU186" s="110">
        <f ca="1">(AU62*ct_comp2*'Time on treatment'!$F$20)</f>
        <v>60298.170467610464</v>
      </c>
      <c r="AX186" s="87" t="s">
        <v>172</v>
      </c>
      <c r="AY186" s="111"/>
      <c r="AZ186" s="111"/>
      <c r="BA186" s="109">
        <f ca="1">(BA62*ci_comp3)+(BA62*ct_comp3*'Time on treatment'!$D$21)</f>
        <v>331992.14738359553</v>
      </c>
      <c r="BB186" s="109">
        <f ca="1">(BB62*ct_comp3*'Time on treatment'!$E$21)</f>
        <v>331992.14738359553</v>
      </c>
      <c r="BC186" s="110">
        <f ca="1">(BC62*ct_comp3*'Time on treatment'!$F$21)</f>
        <v>331992.14738359553</v>
      </c>
      <c r="BF186" s="87" t="s">
        <v>172</v>
      </c>
      <c r="BG186" s="111"/>
      <c r="BH186" s="111"/>
      <c r="BI186" s="109">
        <f ca="1">(BI62*ci_comp4)+(BI62*ct_comp4*'Time on treatment'!$D$22)</f>
        <v>63272.369648304739</v>
      </c>
      <c r="BJ186" s="109">
        <f ca="1">(BJ62*ct_comp4*'Time on treatment'!$E$22)</f>
        <v>63272.369648304739</v>
      </c>
      <c r="BK186" s="110">
        <f ca="1">(BK62*ct_comp4*'Time on treatment'!$F$22)</f>
        <v>63272.369648304739</v>
      </c>
      <c r="BN186" s="87" t="s">
        <v>172</v>
      </c>
      <c r="BO186" s="111"/>
      <c r="BP186" s="111"/>
      <c r="BQ186" s="109">
        <f ca="1">(BQ62*ci_comp5)+(BQ62*ct_comp5*'Time on treatment'!$D$23)</f>
        <v>8193.3899937140486</v>
      </c>
      <c r="BR186" s="109">
        <f ca="1">(BR62*ct_comp5*'Time on treatment'!$E$23)</f>
        <v>8193.3899937140486</v>
      </c>
      <c r="BS186" s="110">
        <f ca="1">(BS62*ct_comp5*'Time on treatment'!$F$23)</f>
        <v>8193.3899937140486</v>
      </c>
      <c r="BV186" s="87" t="s">
        <v>172</v>
      </c>
      <c r="BW186" s="111"/>
      <c r="BX186" s="111"/>
      <c r="BY186" s="109">
        <f ca="1">(BY62*ci_comp6)+(BY62*ct_comp6*'Time on treatment'!$D$24)</f>
        <v>235.2446189156033</v>
      </c>
      <c r="BZ186" s="109">
        <f ca="1">(BZ62*ct_comp6*'Time on treatment'!$E$24)</f>
        <v>235.2446189156033</v>
      </c>
      <c r="CA186" s="110">
        <f ca="1">(CA62*ct_comp6*'Time on treatment'!$F$24)</f>
        <v>235.2446189156033</v>
      </c>
      <c r="CD186" s="87" t="s">
        <v>172</v>
      </c>
      <c r="CE186" s="111"/>
      <c r="CF186" s="111"/>
      <c r="CG186" s="109">
        <f ca="1">(CG62*ci_comp7)+(CG62*ct_comp7*'Time on treatment'!$D$25)</f>
        <v>16986.549402188233</v>
      </c>
      <c r="CH186" s="109">
        <f ca="1">(CH62*ct_comp7*'Time on treatment'!$E$25)</f>
        <v>16986.549402188233</v>
      </c>
      <c r="CI186" s="110">
        <f ca="1">(CI62*ct_comp7*'Time on treatment'!$F$25)</f>
        <v>16986.549402188233</v>
      </c>
      <c r="CL186" s="87" t="s">
        <v>172</v>
      </c>
      <c r="CM186" s="111"/>
      <c r="CN186" s="111"/>
      <c r="CO186" s="109">
        <f ca="1">(CO62*ci_comp8)+(CO62*ct_comp8*'Time on treatment'!$D$26)</f>
        <v>72785.75197388338</v>
      </c>
      <c r="CP186" s="109">
        <f ca="1">(CP62*ct_comp8*'Time on treatment'!$E$26)</f>
        <v>72785.75197388338</v>
      </c>
      <c r="CQ186" s="110">
        <f ca="1">(CQ62*ct_comp8*'Time on treatment'!$F$26)</f>
        <v>72785.75197388338</v>
      </c>
      <c r="CT186" s="87" t="s">
        <v>172</v>
      </c>
      <c r="CU186" s="111"/>
      <c r="CV186" s="111"/>
      <c r="CW186" s="109">
        <f ca="1">(CW62*ci_comp9)+(CW62*ct_comp9*'Time on treatment'!$D$27)</f>
        <v>155194.2941364469</v>
      </c>
      <c r="CX186" s="109">
        <f ca="1">(CX62*ct_comp9*'Time on treatment'!$E$27)</f>
        <v>155194.2941364469</v>
      </c>
      <c r="CY186" s="110">
        <f ca="1">(CY62*ct_comp9*'Time on treatment'!$F$27)</f>
        <v>155194.2941364469</v>
      </c>
      <c r="DB186" s="87" t="s">
        <v>172</v>
      </c>
      <c r="DC186" s="111"/>
      <c r="DD186" s="111"/>
      <c r="DE186" s="109">
        <f ca="1">(DE62*ci_comp10)+(DE62*ct_comp10*'Time on treatment'!$D$28)</f>
        <v>0</v>
      </c>
      <c r="DF186" s="109">
        <f ca="1">(DF62*ct_comp10*'Time on treatment'!$E$28)</f>
        <v>0</v>
      </c>
      <c r="DG186" s="110">
        <f ca="1">(DG62*ct_comp10*'Time on treatment'!$F$28)</f>
        <v>0</v>
      </c>
    </row>
    <row r="187" spans="2:111">
      <c r="B187" s="87" t="s">
        <v>177</v>
      </c>
      <c r="C187" s="111"/>
      <c r="D187" s="111"/>
      <c r="E187" s="109"/>
      <c r="F187" s="109"/>
      <c r="G187" s="110"/>
      <c r="J187" s="87" t="s">
        <v>177</v>
      </c>
      <c r="K187" s="111"/>
      <c r="L187" s="111"/>
      <c r="M187" s="109"/>
      <c r="N187" s="109"/>
      <c r="O187" s="110"/>
      <c r="R187" s="87" t="s">
        <v>177</v>
      </c>
      <c r="S187" s="111"/>
      <c r="T187" s="111"/>
      <c r="U187" s="109"/>
      <c r="V187" s="109"/>
      <c r="W187" s="110"/>
      <c r="Z187" s="87" t="s">
        <v>177</v>
      </c>
      <c r="AA187" s="111"/>
      <c r="AB187" s="111"/>
      <c r="AC187" s="109"/>
      <c r="AD187" s="109"/>
      <c r="AE187" s="110"/>
      <c r="AH187" s="87" t="s">
        <v>177</v>
      </c>
      <c r="AI187" s="111"/>
      <c r="AJ187" s="111"/>
      <c r="AK187" s="109"/>
      <c r="AL187" s="109"/>
      <c r="AM187" s="110"/>
      <c r="AP187" s="87" t="s">
        <v>177</v>
      </c>
      <c r="AQ187" s="111"/>
      <c r="AR187" s="111"/>
      <c r="AS187" s="109"/>
      <c r="AT187" s="109"/>
      <c r="AU187" s="110"/>
      <c r="AX187" s="87" t="s">
        <v>177</v>
      </c>
      <c r="AY187" s="111"/>
      <c r="AZ187" s="111"/>
      <c r="BA187" s="109"/>
      <c r="BB187" s="109"/>
      <c r="BC187" s="110"/>
      <c r="BF187" s="87" t="s">
        <v>177</v>
      </c>
      <c r="BG187" s="111"/>
      <c r="BH187" s="111"/>
      <c r="BI187" s="109"/>
      <c r="BJ187" s="109"/>
      <c r="BK187" s="110"/>
      <c r="BN187" s="87" t="s">
        <v>177</v>
      </c>
      <c r="BO187" s="111"/>
      <c r="BP187" s="111"/>
      <c r="BQ187" s="109"/>
      <c r="BR187" s="109"/>
      <c r="BS187" s="110"/>
      <c r="BV187" s="87" t="s">
        <v>177</v>
      </c>
      <c r="BW187" s="111"/>
      <c r="BX187" s="111"/>
      <c r="BY187" s="109"/>
      <c r="BZ187" s="109"/>
      <c r="CA187" s="110"/>
      <c r="CD187" s="87" t="s">
        <v>177</v>
      </c>
      <c r="CE187" s="111"/>
      <c r="CF187" s="111"/>
      <c r="CG187" s="109"/>
      <c r="CH187" s="109"/>
      <c r="CI187" s="110"/>
      <c r="CL187" s="87" t="s">
        <v>177</v>
      </c>
      <c r="CM187" s="111"/>
      <c r="CN187" s="111"/>
      <c r="CO187" s="109"/>
      <c r="CP187" s="109"/>
      <c r="CQ187" s="110"/>
      <c r="CT187" s="87" t="s">
        <v>177</v>
      </c>
      <c r="CU187" s="111"/>
      <c r="CV187" s="111"/>
      <c r="CW187" s="109"/>
      <c r="CX187" s="109"/>
      <c r="CY187" s="110"/>
      <c r="DB187" s="87" t="s">
        <v>177</v>
      </c>
      <c r="DC187" s="111"/>
      <c r="DD187" s="111"/>
      <c r="DE187" s="109"/>
      <c r="DF187" s="109"/>
      <c r="DG187" s="110"/>
    </row>
    <row r="188" spans="2:111">
      <c r="B188" s="87" t="s">
        <v>173</v>
      </c>
      <c r="C188" s="111"/>
      <c r="D188" s="111"/>
      <c r="E188" s="111"/>
      <c r="F188" s="109">
        <f ca="1">(F64*ci_int1)+(F64*ct_int1*'Time on treatment'!$D$12)</f>
        <v>0</v>
      </c>
      <c r="G188" s="110">
        <f ca="1">(G64*ct_int1*'Time on treatment'!$E$12)</f>
        <v>0</v>
      </c>
      <c r="J188" s="87" t="s">
        <v>173</v>
      </c>
      <c r="K188" s="111"/>
      <c r="L188" s="111"/>
      <c r="M188" s="111"/>
      <c r="N188" s="109">
        <f ca="1">(N64*ci_int2)+(N64*ct_int2*'Time on treatment'!$D$13)</f>
        <v>0</v>
      </c>
      <c r="O188" s="110">
        <f ca="1">(O64*ct_int2*'Time on treatment'!$E$13)</f>
        <v>0</v>
      </c>
      <c r="R188" s="87" t="s">
        <v>173</v>
      </c>
      <c r="S188" s="111"/>
      <c r="T188" s="111"/>
      <c r="U188" s="111"/>
      <c r="V188" s="109">
        <f ca="1">(V64*ci_int3)+(V64*ct_int3*'Time on treatment'!$D$14)</f>
        <v>937977.72820776748</v>
      </c>
      <c r="W188" s="110">
        <f ca="1">(W64*ct_int3*'Time on treatment'!$E$14)</f>
        <v>937977.72820776748</v>
      </c>
      <c r="Z188" s="87" t="s">
        <v>173</v>
      </c>
      <c r="AA188" s="111"/>
      <c r="AB188" s="111"/>
      <c r="AC188" s="111"/>
      <c r="AD188" s="109">
        <f ca="1">(AD64*ci_int4)+(AD64*ct_int4*'Time on treatment'!$D$15)</f>
        <v>1040534.8601659259</v>
      </c>
      <c r="AE188" s="110">
        <f ca="1">(AE64*ct_int4*'Time on treatment'!$E$15)</f>
        <v>1040534.8601659259</v>
      </c>
      <c r="AH188" s="87" t="s">
        <v>173</v>
      </c>
      <c r="AI188" s="111"/>
      <c r="AJ188" s="111"/>
      <c r="AK188" s="111"/>
      <c r="AL188" s="109">
        <f ca="1">(AL64*ci_comp1)+(AL64*ct_comp1*'Time on treatment'!$D$19)</f>
        <v>6885.9647583351853</v>
      </c>
      <c r="AM188" s="110">
        <f ca="1">(AM64*ct_comp1*'Time on treatment'!$E$19)</f>
        <v>6885.9647583351853</v>
      </c>
      <c r="AP188" s="87" t="s">
        <v>173</v>
      </c>
      <c r="AQ188" s="111"/>
      <c r="AR188" s="111"/>
      <c r="AS188" s="111"/>
      <c r="AT188" s="109">
        <f ca="1">(AT64*ci_comp2)+(AT64*ct_comp2*'Time on treatment'!$D$20)</f>
        <v>51806.961844097335</v>
      </c>
      <c r="AU188" s="110">
        <f ca="1">(AU64*ct_comp2*'Time on treatment'!$E$20)</f>
        <v>51806.961844097335</v>
      </c>
      <c r="AX188" s="87" t="s">
        <v>173</v>
      </c>
      <c r="AY188" s="111"/>
      <c r="AZ188" s="111"/>
      <c r="BA188" s="111"/>
      <c r="BB188" s="109">
        <f ca="1">(BB64*ci_comp3)+(BB64*ct_comp3*'Time on treatment'!$D$21)</f>
        <v>285240.9016502531</v>
      </c>
      <c r="BC188" s="110">
        <f ca="1">(BC64*ct_comp3*'Time on treatment'!$E$21)</f>
        <v>285240.9016502531</v>
      </c>
      <c r="BF188" s="87" t="s">
        <v>173</v>
      </c>
      <c r="BG188" s="111"/>
      <c r="BH188" s="111"/>
      <c r="BI188" s="111"/>
      <c r="BJ188" s="109">
        <f ca="1">(BJ64*ci_comp4)+(BJ64*ct_comp4*'Time on treatment'!$D$22)</f>
        <v>54362.333296930068</v>
      </c>
      <c r="BK188" s="110">
        <f ca="1">(BK64*ct_comp4*'Time on treatment'!$E$22)</f>
        <v>54362.333296930068</v>
      </c>
      <c r="BN188" s="87" t="s">
        <v>173</v>
      </c>
      <c r="BO188" s="111"/>
      <c r="BP188" s="111"/>
      <c r="BQ188" s="111"/>
      <c r="BR188" s="109">
        <f ca="1">(BR64*ci_comp5)+(BR64*ct_comp5*'Time on treatment'!$D$23)</f>
        <v>8212.8597390947707</v>
      </c>
      <c r="BS188" s="110">
        <f ca="1">(BS64*ct_comp5*'Time on treatment'!$E$23)</f>
        <v>8212.8597390947707</v>
      </c>
      <c r="BV188" s="87" t="s">
        <v>173</v>
      </c>
      <c r="BW188" s="111"/>
      <c r="BX188" s="111"/>
      <c r="BY188" s="111"/>
      <c r="BZ188" s="109">
        <f ca="1">(BZ64*ci_comp6)+(BZ64*ct_comp6*'Time on treatment'!$D$24)</f>
        <v>202.11739264521083</v>
      </c>
      <c r="CA188" s="110">
        <f ca="1">(CA64*ct_comp6*'Time on treatment'!$E$24)</f>
        <v>202.11739264521083</v>
      </c>
      <c r="CD188" s="87" t="s">
        <v>173</v>
      </c>
      <c r="CE188" s="111"/>
      <c r="CF188" s="111"/>
      <c r="CG188" s="111"/>
      <c r="CH188" s="109">
        <f ca="1">(CH64*ci_comp7)+(CH64*ct_comp7*'Time on treatment'!$D$25)</f>
        <v>14594.497808432665</v>
      </c>
      <c r="CI188" s="110">
        <f ca="1">(CI64*ct_comp7*'Time on treatment'!$E$25)</f>
        <v>14594.497808432665</v>
      </c>
      <c r="CL188" s="87" t="s">
        <v>173</v>
      </c>
      <c r="CM188" s="111"/>
      <c r="CN188" s="111"/>
      <c r="CO188" s="111"/>
      <c r="CP188" s="109">
        <f ca="1">(CP64*ci_comp8)+(CP64*ct_comp8*'Time on treatment'!$D$26)</f>
        <v>62536.037927227349</v>
      </c>
      <c r="CQ188" s="110">
        <f ca="1">(CQ64*ct_comp8*'Time on treatment'!$E$26)</f>
        <v>62536.037927227349</v>
      </c>
      <c r="CT188" s="87" t="s">
        <v>173</v>
      </c>
      <c r="CU188" s="111"/>
      <c r="CV188" s="111"/>
      <c r="CW188" s="111"/>
      <c r="CX188" s="109">
        <f ca="1">(CX64*ci_comp9)+(CX64*ct_comp9*'Time on treatment'!$D$27)</f>
        <v>133304.53770858003</v>
      </c>
      <c r="CY188" s="110">
        <f ca="1">(CY64*ct_comp9*'Time on treatment'!$E$27)</f>
        <v>133304.53770858003</v>
      </c>
      <c r="DB188" s="87" t="s">
        <v>173</v>
      </c>
      <c r="DC188" s="111"/>
      <c r="DD188" s="111"/>
      <c r="DE188" s="111"/>
      <c r="DF188" s="109">
        <f ca="1">(DF64*ci_comp10)+(DF64*ct_comp10*'Time on treatment'!$D$28)</f>
        <v>0</v>
      </c>
      <c r="DG188" s="110">
        <f ca="1">(DG64*ct_comp10*'Time on treatment'!$E$28)</f>
        <v>0</v>
      </c>
    </row>
    <row r="189" spans="2:111">
      <c r="B189" s="87" t="s">
        <v>178</v>
      </c>
      <c r="C189" s="111"/>
      <c r="D189" s="111"/>
      <c r="E189" s="111"/>
      <c r="F189" s="109"/>
      <c r="G189" s="110"/>
      <c r="J189" s="87" t="s">
        <v>178</v>
      </c>
      <c r="K189" s="111"/>
      <c r="L189" s="111"/>
      <c r="M189" s="111"/>
      <c r="N189" s="109"/>
      <c r="O189" s="110"/>
      <c r="R189" s="87" t="s">
        <v>178</v>
      </c>
      <c r="S189" s="111"/>
      <c r="T189" s="111"/>
      <c r="U189" s="111"/>
      <c r="V189" s="109"/>
      <c r="W189" s="110"/>
      <c r="Z189" s="87" t="s">
        <v>178</v>
      </c>
      <c r="AA189" s="111"/>
      <c r="AB189" s="111"/>
      <c r="AC189" s="111"/>
      <c r="AD189" s="109"/>
      <c r="AE189" s="110"/>
      <c r="AH189" s="87" t="s">
        <v>178</v>
      </c>
      <c r="AI189" s="111"/>
      <c r="AJ189" s="111"/>
      <c r="AK189" s="111"/>
      <c r="AL189" s="109"/>
      <c r="AM189" s="110"/>
      <c r="AP189" s="87" t="s">
        <v>178</v>
      </c>
      <c r="AQ189" s="111"/>
      <c r="AR189" s="111"/>
      <c r="AS189" s="111"/>
      <c r="AT189" s="109"/>
      <c r="AU189" s="110"/>
      <c r="AX189" s="87" t="s">
        <v>178</v>
      </c>
      <c r="AY189" s="111"/>
      <c r="AZ189" s="111"/>
      <c r="BA189" s="111"/>
      <c r="BB189" s="109"/>
      <c r="BC189" s="110"/>
      <c r="BF189" s="87" t="s">
        <v>178</v>
      </c>
      <c r="BG189" s="111"/>
      <c r="BH189" s="111"/>
      <c r="BI189" s="111"/>
      <c r="BJ189" s="109"/>
      <c r="BK189" s="110"/>
      <c r="BN189" s="87" t="s">
        <v>178</v>
      </c>
      <c r="BO189" s="111"/>
      <c r="BP189" s="111"/>
      <c r="BQ189" s="111"/>
      <c r="BR189" s="109"/>
      <c r="BS189" s="110"/>
      <c r="BV189" s="87" t="s">
        <v>178</v>
      </c>
      <c r="BW189" s="111"/>
      <c r="BX189" s="111"/>
      <c r="BY189" s="111"/>
      <c r="BZ189" s="109"/>
      <c r="CA189" s="110"/>
      <c r="CD189" s="87" t="s">
        <v>178</v>
      </c>
      <c r="CE189" s="111"/>
      <c r="CF189" s="111"/>
      <c r="CG189" s="111"/>
      <c r="CH189" s="109"/>
      <c r="CI189" s="110"/>
      <c r="CL189" s="87" t="s">
        <v>178</v>
      </c>
      <c r="CM189" s="111"/>
      <c r="CN189" s="111"/>
      <c r="CO189" s="111"/>
      <c r="CP189" s="109"/>
      <c r="CQ189" s="110"/>
      <c r="CT189" s="87" t="s">
        <v>178</v>
      </c>
      <c r="CU189" s="111"/>
      <c r="CV189" s="111"/>
      <c r="CW189" s="111"/>
      <c r="CX189" s="109"/>
      <c r="CY189" s="110"/>
      <c r="DB189" s="87" t="s">
        <v>178</v>
      </c>
      <c r="DC189" s="111"/>
      <c r="DD189" s="111"/>
      <c r="DE189" s="111"/>
      <c r="DF189" s="109"/>
      <c r="DG189" s="110"/>
    </row>
    <row r="190" spans="2:111">
      <c r="B190" s="87" t="s">
        <v>174</v>
      </c>
      <c r="C190" s="111"/>
      <c r="D190" s="111"/>
      <c r="E190" s="111"/>
      <c r="F190" s="111"/>
      <c r="G190" s="110">
        <f ca="1">(G66*ci_int1)+(G66*ct_int1*'Time on treatment'!$D$12)</f>
        <v>0</v>
      </c>
      <c r="J190" s="87" t="s">
        <v>174</v>
      </c>
      <c r="K190" s="111"/>
      <c r="L190" s="111"/>
      <c r="M190" s="111"/>
      <c r="N190" s="111"/>
      <c r="O190" s="110">
        <f ca="1">(O66*ci_int2)+(O66*ct_int2*'Time on treatment'!$D$13)</f>
        <v>0</v>
      </c>
      <c r="R190" s="87" t="s">
        <v>174</v>
      </c>
      <c r="S190" s="111"/>
      <c r="T190" s="111"/>
      <c r="U190" s="111"/>
      <c r="V190" s="111"/>
      <c r="W190" s="110">
        <f ca="1">(W66*ci_int3)+(W66*ct_int3*'Time on treatment'!$D$14)</f>
        <v>1178893.7268260645</v>
      </c>
      <c r="Z190" s="87" t="s">
        <v>174</v>
      </c>
      <c r="AA190" s="111"/>
      <c r="AB190" s="111"/>
      <c r="AC190" s="111"/>
      <c r="AD190" s="111"/>
      <c r="AE190" s="110">
        <f ca="1">(AE66*ci_int4)+(AE66*ct_int4*'Time on treatment'!$D$15)</f>
        <v>1307792.266600311</v>
      </c>
      <c r="AH190" s="87" t="s">
        <v>174</v>
      </c>
      <c r="AI190" s="111"/>
      <c r="AJ190" s="111"/>
      <c r="AK190" s="111"/>
      <c r="AL190" s="111"/>
      <c r="AM190" s="110">
        <f ca="1">(AM66*ci_comp1)+(AM66*ct_comp1*'Time on treatment'!$D$19)</f>
        <v>5769.732345534303</v>
      </c>
      <c r="AP190" s="87" t="s">
        <v>174</v>
      </c>
      <c r="AQ190" s="111"/>
      <c r="AR190" s="111"/>
      <c r="AS190" s="111"/>
      <c r="AT190" s="111"/>
      <c r="AU190" s="110">
        <f ca="1">(AU66*ci_comp2)+(AU66*ct_comp2*'Time on treatment'!$D$20)</f>
        <v>43408.921475226627</v>
      </c>
      <c r="AX190" s="87" t="s">
        <v>174</v>
      </c>
      <c r="AY190" s="111"/>
      <c r="AZ190" s="111"/>
      <c r="BA190" s="111"/>
      <c r="BB190" s="111"/>
      <c r="BC190" s="110">
        <f ca="1">(BC66*ci_comp3)+(BC66*ct_comp3*'Time on treatment'!$D$21)</f>
        <v>239002.62552588631</v>
      </c>
      <c r="BF190" s="87" t="s">
        <v>174</v>
      </c>
      <c r="BG190" s="111"/>
      <c r="BH190" s="111"/>
      <c r="BI190" s="111"/>
      <c r="BJ190" s="111"/>
      <c r="BK190" s="110">
        <f ca="1">(BK66*ci_comp4)+(BK66*ct_comp4*'Time on treatment'!$D$22)</f>
        <v>45550.060711877115</v>
      </c>
      <c r="BN190" s="87" t="s">
        <v>174</v>
      </c>
      <c r="BO190" s="111"/>
      <c r="BP190" s="111"/>
      <c r="BQ190" s="111"/>
      <c r="BR190" s="111"/>
      <c r="BS190" s="110">
        <f ca="1">(BS66*ci_comp5)+(BS66*ct_comp5*'Time on treatment'!$D$23)</f>
        <v>8257.8411273974634</v>
      </c>
      <c r="BV190" s="87" t="s">
        <v>174</v>
      </c>
      <c r="BW190" s="111"/>
      <c r="BX190" s="111"/>
      <c r="BY190" s="111"/>
      <c r="BZ190" s="111"/>
      <c r="CA190" s="110">
        <f ca="1">(CA66*ci_comp6)+(CA66*ct_comp6*'Time on treatment'!$D$24)</f>
        <v>169.35364888827465</v>
      </c>
      <c r="CD190" s="87" t="s">
        <v>174</v>
      </c>
      <c r="CE190" s="111"/>
      <c r="CF190" s="111"/>
      <c r="CG190" s="111"/>
      <c r="CH190" s="111"/>
      <c r="CI190" s="110">
        <f ca="1">(CI66*ci_comp7)+(CI66*ct_comp7*'Time on treatment'!$D$25)</f>
        <v>12228.692569216977</v>
      </c>
      <c r="CL190" s="87" t="s">
        <v>174</v>
      </c>
      <c r="CM190" s="111"/>
      <c r="CN190" s="111"/>
      <c r="CO190" s="111"/>
      <c r="CP190" s="111"/>
      <c r="CQ190" s="110">
        <f ca="1">(CQ66*ci_comp8)+(CQ66*ct_comp8*'Time on treatment'!$D$26)</f>
        <v>52398.787018700619</v>
      </c>
      <c r="CT190" s="87" t="s">
        <v>174</v>
      </c>
      <c r="CU190" s="111"/>
      <c r="CV190" s="111"/>
      <c r="CW190" s="111"/>
      <c r="CX190" s="111"/>
      <c r="CY190" s="110">
        <f ca="1">(CY66*ci_comp9)+(CY66*ct_comp9*'Time on treatment'!$D$27)</f>
        <v>111654.1899210535</v>
      </c>
      <c r="DB190" s="87" t="s">
        <v>174</v>
      </c>
      <c r="DC190" s="111"/>
      <c r="DD190" s="111"/>
      <c r="DE190" s="111"/>
      <c r="DF190" s="111"/>
      <c r="DG190" s="110">
        <f ca="1">(DG66*ci_comp10)+(DG66*ct_comp10*'Time on treatment'!$D$28)</f>
        <v>0</v>
      </c>
    </row>
    <row r="191" spans="2:111" ht="15" thickBot="1">
      <c r="B191" s="87" t="s">
        <v>179</v>
      </c>
      <c r="C191" s="111"/>
      <c r="D191" s="111"/>
      <c r="E191" s="111"/>
      <c r="F191" s="111"/>
      <c r="G191" s="112"/>
      <c r="J191" s="87" t="s">
        <v>179</v>
      </c>
      <c r="K191" s="111"/>
      <c r="L191" s="111"/>
      <c r="M191" s="111"/>
      <c r="N191" s="111"/>
      <c r="O191" s="112"/>
      <c r="R191" s="87" t="s">
        <v>179</v>
      </c>
      <c r="S191" s="111"/>
      <c r="T191" s="111"/>
      <c r="U191" s="111"/>
      <c r="V191" s="111"/>
      <c r="W191" s="112"/>
      <c r="Z191" s="87" t="s">
        <v>179</v>
      </c>
      <c r="AA191" s="111"/>
      <c r="AB191" s="111"/>
      <c r="AC191" s="111"/>
      <c r="AD191" s="111"/>
      <c r="AE191" s="112"/>
      <c r="AH191" s="87" t="s">
        <v>179</v>
      </c>
      <c r="AI191" s="111"/>
      <c r="AJ191" s="111"/>
      <c r="AK191" s="111"/>
      <c r="AL191" s="111"/>
      <c r="AM191" s="112"/>
      <c r="AP191" s="87" t="s">
        <v>179</v>
      </c>
      <c r="AQ191" s="111"/>
      <c r="AR191" s="111"/>
      <c r="AS191" s="111"/>
      <c r="AT191" s="111"/>
      <c r="AU191" s="112"/>
      <c r="AX191" s="87" t="s">
        <v>179</v>
      </c>
      <c r="AY191" s="111"/>
      <c r="AZ191" s="111"/>
      <c r="BA191" s="111"/>
      <c r="BB191" s="111"/>
      <c r="BC191" s="112"/>
      <c r="BF191" s="87" t="s">
        <v>179</v>
      </c>
      <c r="BG191" s="111"/>
      <c r="BH191" s="111"/>
      <c r="BI191" s="111"/>
      <c r="BJ191" s="111"/>
      <c r="BK191" s="112"/>
      <c r="BN191" s="87" t="s">
        <v>179</v>
      </c>
      <c r="BO191" s="111"/>
      <c r="BP191" s="111"/>
      <c r="BQ191" s="111"/>
      <c r="BR191" s="111"/>
      <c r="BS191" s="112"/>
      <c r="BV191" s="87" t="s">
        <v>179</v>
      </c>
      <c r="BW191" s="111"/>
      <c r="BX191" s="111"/>
      <c r="BY191" s="111"/>
      <c r="BZ191" s="111"/>
      <c r="CA191" s="112"/>
      <c r="CD191" s="87" t="s">
        <v>179</v>
      </c>
      <c r="CE191" s="111"/>
      <c r="CF191" s="111"/>
      <c r="CG191" s="111"/>
      <c r="CH191" s="111"/>
      <c r="CI191" s="112"/>
      <c r="CL191" s="87" t="s">
        <v>179</v>
      </c>
      <c r="CM191" s="111"/>
      <c r="CN191" s="111"/>
      <c r="CO191" s="111"/>
      <c r="CP191" s="111"/>
      <c r="CQ191" s="112"/>
      <c r="CT191" s="87" t="s">
        <v>179</v>
      </c>
      <c r="CU191" s="111"/>
      <c r="CV191" s="111"/>
      <c r="CW191" s="111"/>
      <c r="CX191" s="111"/>
      <c r="CY191" s="112"/>
      <c r="DB191" s="87" t="s">
        <v>179</v>
      </c>
      <c r="DC191" s="111"/>
      <c r="DD191" s="111"/>
      <c r="DE191" s="111"/>
      <c r="DF191" s="111"/>
      <c r="DG191" s="112"/>
    </row>
    <row r="192" spans="2:111" ht="15" thickBot="1">
      <c r="B192" s="85" t="str">
        <f>B164</f>
        <v>Rosuvastatin 5mg</v>
      </c>
      <c r="C192" s="113">
        <f ca="1">SUM(C182:C190)</f>
        <v>0</v>
      </c>
      <c r="D192" s="113">
        <f ca="1">SUM(D182:D190)</f>
        <v>0</v>
      </c>
      <c r="E192" s="113">
        <f ca="1">SUM(E182:E190)</f>
        <v>0</v>
      </c>
      <c r="F192" s="113">
        <f ca="1">SUM(F182:F190)</f>
        <v>0</v>
      </c>
      <c r="G192" s="114">
        <f ca="1">SUM(G182:G190)</f>
        <v>0</v>
      </c>
      <c r="J192" s="85" t="str">
        <f>J164</f>
        <v>Rosuvastatin 10mg</v>
      </c>
      <c r="K192" s="113">
        <f ca="1">SUM(K182:K190)</f>
        <v>0</v>
      </c>
      <c r="L192" s="113">
        <f ca="1">SUM(L182:L190)</f>
        <v>0</v>
      </c>
      <c r="M192" s="113">
        <f ca="1">SUM(M182:M190)</f>
        <v>0</v>
      </c>
      <c r="N192" s="113">
        <f ca="1">SUM(N182:N190)</f>
        <v>0</v>
      </c>
      <c r="O192" s="114">
        <f ca="1">SUM(O182:O190)</f>
        <v>0</v>
      </c>
      <c r="R192" s="85" t="str">
        <f>R164</f>
        <v>Rosuvastatin 20mg</v>
      </c>
      <c r="S192" s="113">
        <f ca="1">SUM(S182:S190)</f>
        <v>29769516.979841314</v>
      </c>
      <c r="T192" s="113">
        <f ca="1">SUM(T182:T190)</f>
        <v>30257856.16453179</v>
      </c>
      <c r="U192" s="113">
        <f ca="1">SUM(U182:U190)</f>
        <v>30959671.754055474</v>
      </c>
      <c r="V192" s="113">
        <f ca="1">SUM(V182:V190)</f>
        <v>31897649.482263241</v>
      </c>
      <c r="W192" s="114">
        <f ca="1">SUM(W182:W190)</f>
        <v>33076543.209089305</v>
      </c>
      <c r="Z192" s="85" t="str">
        <f>Z164</f>
        <v>Rosuvastatin 40mg</v>
      </c>
      <c r="AA192" s="113">
        <f ca="1">SUM(AA182:AA190)</f>
        <v>33024473.029880863</v>
      </c>
      <c r="AB192" s="113">
        <f ca="1">SUM(AB182:AB190)</f>
        <v>33566206.516694412</v>
      </c>
      <c r="AC192" s="113">
        <f ca="1">SUM(AC182:AC190)</f>
        <v>34344757.610548884</v>
      </c>
      <c r="AD192" s="113">
        <f ca="1">SUM(AD182:AD190)</f>
        <v>35385292.470714808</v>
      </c>
      <c r="AE192" s="114">
        <f ca="1">SUM(AE182:AE190)</f>
        <v>36693084.737315118</v>
      </c>
      <c r="AH192" s="85" t="str">
        <f>AH164</f>
        <v>Atorvastatin 10mg</v>
      </c>
      <c r="AI192" s="113">
        <f ca="1">SUM(AI182:AI190)</f>
        <v>1311279.6090853959</v>
      </c>
      <c r="AJ192" s="113">
        <f ca="1">SUM(AJ182:AJ190)</f>
        <v>1320839.7121731823</v>
      </c>
      <c r="AK192" s="113">
        <f ca="1">SUM(AK182:AK190)</f>
        <v>1328854.2928791798</v>
      </c>
      <c r="AL192" s="113">
        <f ca="1">SUM(AL182:AL190)</f>
        <v>1335740.257637515</v>
      </c>
      <c r="AM192" s="114">
        <f ca="1">SUM(AM182:AM190)</f>
        <v>1341509.9899830492</v>
      </c>
      <c r="AP192" s="85" t="str">
        <f>AP164</f>
        <v>Atorvastatin 20mg</v>
      </c>
      <c r="AQ192" s="113">
        <f ca="1">SUM(AQ182:AQ190)</f>
        <v>9865489.4497679938</v>
      </c>
      <c r="AR192" s="113">
        <f ca="1">SUM(AR182:AR190)</f>
        <v>9937415.4489963613</v>
      </c>
      <c r="AS192" s="113">
        <f ca="1">SUM(AS182:AS190)</f>
        <v>9997713.6194639709</v>
      </c>
      <c r="AT192" s="113">
        <f ca="1">SUM(AT182:AT190)</f>
        <v>10049520.581308069</v>
      </c>
      <c r="AU192" s="114">
        <f ca="1">SUM(AU182:AU190)</f>
        <v>10092929.502783295</v>
      </c>
      <c r="AX192" s="85" t="str">
        <f>AX164</f>
        <v>Atorvastatin 40mg</v>
      </c>
      <c r="AY192" s="113">
        <f ca="1">SUM(AY182:AY190)</f>
        <v>54317817.638895214</v>
      </c>
      <c r="AZ192" s="113">
        <f ca="1">SUM(AZ182:AZ190)</f>
        <v>54713830.764191672</v>
      </c>
      <c r="BA192" s="113">
        <f ca="1">SUM(BA182:BA190)</f>
        <v>55045822.911575265</v>
      </c>
      <c r="BB192" s="113">
        <f ca="1">SUM(BB182:BB190)</f>
        <v>55331063.813225515</v>
      </c>
      <c r="BC192" s="114">
        <f ca="1">SUM(BC182:BC190)</f>
        <v>55570066.4387514</v>
      </c>
      <c r="BF192" s="85" t="str">
        <f>BF164</f>
        <v>Atorvastatin 80mg</v>
      </c>
      <c r="BG192" s="113">
        <f ca="1">SUM(BG182:BG190)</f>
        <v>10352103.395284122</v>
      </c>
      <c r="BH192" s="113">
        <f ca="1">SUM(BH182:BH190)</f>
        <v>10427577.13478913</v>
      </c>
      <c r="BI192" s="113">
        <f ca="1">SUM(BI182:BI190)</f>
        <v>10490849.504437434</v>
      </c>
      <c r="BJ192" s="113">
        <f ca="1">SUM(BJ182:BJ190)</f>
        <v>10545211.837734364</v>
      </c>
      <c r="BK192" s="114">
        <f ca="1">SUM(BK182:BK190)</f>
        <v>10590761.898446241</v>
      </c>
      <c r="BN192" s="85" t="str">
        <f>BN164</f>
        <v>Pravastatin</v>
      </c>
      <c r="BO192" s="113">
        <f ca="1">SUM(BO182:BO190)</f>
        <v>1042638.2635894753</v>
      </c>
      <c r="BP192" s="113">
        <f ca="1">SUM(BP182:BP190)</f>
        <v>1051189.9831204498</v>
      </c>
      <c r="BQ192" s="113">
        <f ca="1">SUM(BQ182:BQ190)</f>
        <v>1059383.3731141638</v>
      </c>
      <c r="BR192" s="113">
        <f ca="1">SUM(BR182:BR190)</f>
        <v>1067596.2328532585</v>
      </c>
      <c r="BS192" s="114">
        <f ca="1">SUM(BS182:BS190)</f>
        <v>1075854.073980656</v>
      </c>
      <c r="BV192" s="85" t="str">
        <f>BV164</f>
        <v>Simvastatin 5mg</v>
      </c>
      <c r="BW192" s="113">
        <f ca="1">SUM(BW182:BW190)</f>
        <v>38488.78478449375</v>
      </c>
      <c r="BX192" s="113">
        <f ca="1">SUM(BX182:BX190)</f>
        <v>38769.393700939901</v>
      </c>
      <c r="BY192" s="113">
        <f ca="1">SUM(BY182:BY190)</f>
        <v>39004.638319855505</v>
      </c>
      <c r="BZ192" s="113">
        <f ca="1">SUM(BZ182:BZ190)</f>
        <v>39206.755712500715</v>
      </c>
      <c r="CA192" s="114">
        <f ca="1">SUM(CA182:CA190)</f>
        <v>39376.10936138899</v>
      </c>
      <c r="CD192" s="85" t="str">
        <f>CD164</f>
        <v>Simvastatin 10mg</v>
      </c>
      <c r="CE192" s="113">
        <f ca="1">SUM(CE182:CE190)</f>
        <v>2779199.1467679399</v>
      </c>
      <c r="CF192" s="113">
        <f ca="1">SUM(CF182:CF190)</f>
        <v>2799461.362515443</v>
      </c>
      <c r="CG192" s="113">
        <f ca="1">SUM(CG182:CG190)</f>
        <v>2816447.911917631</v>
      </c>
      <c r="CH192" s="113">
        <f ca="1">SUM(CH182:CH190)</f>
        <v>2831042.4097260637</v>
      </c>
      <c r="CI192" s="114">
        <f ca="1">SUM(CI182:CI190)</f>
        <v>2843271.1022952809</v>
      </c>
      <c r="CL192" s="85" t="str">
        <f>CL164</f>
        <v>Simvastatin 20mg</v>
      </c>
      <c r="CM192" s="113">
        <f ca="1">SUM(CM182:CM190)</f>
        <v>11908604.566659126</v>
      </c>
      <c r="CN192" s="113">
        <f ca="1">SUM(CN182:CN190)</f>
        <v>11995426.238025123</v>
      </c>
      <c r="CO192" s="113">
        <f ca="1">SUM(CO182:CO190)</f>
        <v>12068211.989999007</v>
      </c>
      <c r="CP192" s="113">
        <f ca="1">SUM(CP182:CP190)</f>
        <v>12130748.027926235</v>
      </c>
      <c r="CQ192" s="114">
        <f ca="1">SUM(CQ182:CQ190)</f>
        <v>12183146.814944936</v>
      </c>
      <c r="CT192" s="85" t="str">
        <f>CT164</f>
        <v>Simvastatin 40mg</v>
      </c>
      <c r="CU192" s="113">
        <f ca="1">SUM(CU182:CU190)</f>
        <v>25400559.249601152</v>
      </c>
      <c r="CV192" s="113">
        <f ca="1">SUM(CV182:CV190)</f>
        <v>25585717.728075638</v>
      </c>
      <c r="CW192" s="113">
        <f ca="1">SUM(CW182:CW190)</f>
        <v>25740912.022212084</v>
      </c>
      <c r="CX192" s="113">
        <f ca="1">SUM(CX182:CX190)</f>
        <v>25874216.559920665</v>
      </c>
      <c r="CY192" s="114">
        <f ca="1">SUM(CY182:CY190)</f>
        <v>25985870.74984172</v>
      </c>
      <c r="DB192" s="85">
        <f>DB164</f>
        <v>0</v>
      </c>
      <c r="DC192" s="113">
        <f ca="1">SUM(DC182:DC190)</f>
        <v>0</v>
      </c>
      <c r="DD192" s="113">
        <f ca="1">SUM(DD182:DD190)</f>
        <v>0</v>
      </c>
      <c r="DE192" s="113">
        <f ca="1">SUM(DE182:DE190)</f>
        <v>0</v>
      </c>
      <c r="DF192" s="113">
        <f ca="1">SUM(DF182:DF190)</f>
        <v>0</v>
      </c>
      <c r="DG192" s="114">
        <f ca="1">SUM(DG182:DG190)</f>
        <v>0</v>
      </c>
    </row>
    <row r="193" spans="2:111" ht="15" thickBot="1">
      <c r="B193" s="83"/>
      <c r="C193" s="83"/>
      <c r="D193" s="83"/>
      <c r="E193" s="83"/>
      <c r="F193" s="83"/>
      <c r="G193" s="83"/>
      <c r="J193" s="83"/>
      <c r="K193" s="83"/>
      <c r="L193" s="83"/>
      <c r="M193" s="83"/>
      <c r="N193" s="83"/>
      <c r="O193" s="83"/>
      <c r="R193" s="83"/>
      <c r="S193" s="83"/>
      <c r="T193" s="83"/>
      <c r="U193" s="83"/>
      <c r="V193" s="83"/>
      <c r="W193" s="83"/>
      <c r="Z193" s="83"/>
      <c r="AA193" s="83"/>
      <c r="AB193" s="83"/>
      <c r="AC193" s="83"/>
      <c r="AD193" s="83"/>
      <c r="AE193" s="83"/>
      <c r="AH193" s="83"/>
      <c r="AI193" s="83"/>
      <c r="AJ193" s="83"/>
      <c r="AK193" s="83"/>
      <c r="AL193" s="83"/>
      <c r="AM193" s="83"/>
      <c r="AP193" s="83"/>
      <c r="AQ193" s="83"/>
      <c r="AR193" s="83"/>
      <c r="AS193" s="83"/>
      <c r="AT193" s="83"/>
      <c r="AU193" s="83"/>
      <c r="AX193" s="83"/>
      <c r="AY193" s="83"/>
      <c r="AZ193" s="83"/>
      <c r="BA193" s="83"/>
      <c r="BB193" s="83"/>
      <c r="BC193" s="83"/>
      <c r="BF193" s="83"/>
      <c r="BG193" s="83"/>
      <c r="BH193" s="83"/>
      <c r="BI193" s="83"/>
      <c r="BJ193" s="83"/>
      <c r="BK193" s="83"/>
      <c r="BN193" s="83"/>
      <c r="BO193" s="83"/>
      <c r="BP193" s="83"/>
      <c r="BQ193" s="83"/>
      <c r="BR193" s="83"/>
      <c r="BS193" s="83"/>
      <c r="BV193" s="83"/>
      <c r="BW193" s="83"/>
      <c r="BX193" s="83"/>
      <c r="BY193" s="83"/>
      <c r="BZ193" s="83"/>
      <c r="CA193" s="83"/>
      <c r="CD193" s="83"/>
      <c r="CE193" s="83"/>
      <c r="CF193" s="83"/>
      <c r="CG193" s="83"/>
      <c r="CH193" s="83"/>
      <c r="CI193" s="83"/>
      <c r="CL193" s="83"/>
      <c r="CM193" s="83"/>
      <c r="CN193" s="83"/>
      <c r="CO193" s="83"/>
      <c r="CP193" s="83"/>
      <c r="CQ193" s="83"/>
      <c r="CT193" s="83"/>
      <c r="CU193" s="83"/>
      <c r="CV193" s="83"/>
      <c r="CW193" s="83"/>
      <c r="CX193" s="83"/>
      <c r="CY193" s="83"/>
      <c r="DB193" s="83"/>
      <c r="DC193" s="83"/>
      <c r="DD193" s="83"/>
      <c r="DE193" s="83"/>
      <c r="DF193" s="83"/>
      <c r="DG193" s="83"/>
    </row>
    <row r="194" spans="2:111" ht="15" thickBot="1">
      <c r="B194" s="507" t="str">
        <f>B133</f>
        <v>moderate intensity only</v>
      </c>
      <c r="C194" s="505"/>
      <c r="D194" s="505"/>
      <c r="E194" s="505"/>
      <c r="F194" s="505"/>
      <c r="G194" s="506"/>
      <c r="J194" s="507" t="str">
        <f>J133</f>
        <v>moderate intensity only</v>
      </c>
      <c r="K194" s="505"/>
      <c r="L194" s="505"/>
      <c r="M194" s="505"/>
      <c r="N194" s="505"/>
      <c r="O194" s="506"/>
      <c r="R194" s="507" t="str">
        <f>R133</f>
        <v>moderate intensity only</v>
      </c>
      <c r="S194" s="505"/>
      <c r="T194" s="505"/>
      <c r="U194" s="505"/>
      <c r="V194" s="505"/>
      <c r="W194" s="506"/>
      <c r="Z194" s="507" t="str">
        <f>Z133</f>
        <v>moderate intensity only</v>
      </c>
      <c r="AA194" s="505"/>
      <c r="AB194" s="505"/>
      <c r="AC194" s="505"/>
      <c r="AD194" s="505"/>
      <c r="AE194" s="506"/>
      <c r="AH194" s="507" t="str">
        <f>AH133</f>
        <v>moderate intensity only</v>
      </c>
      <c r="AI194" s="505"/>
      <c r="AJ194" s="505"/>
      <c r="AK194" s="505"/>
      <c r="AL194" s="505"/>
      <c r="AM194" s="506"/>
      <c r="AP194" s="507" t="str">
        <f>AP133</f>
        <v>moderate intensity only</v>
      </c>
      <c r="AQ194" s="505"/>
      <c r="AR194" s="505"/>
      <c r="AS194" s="505"/>
      <c r="AT194" s="505"/>
      <c r="AU194" s="506"/>
      <c r="AX194" s="507" t="str">
        <f>AX133</f>
        <v>moderate intensity only</v>
      </c>
      <c r="AY194" s="505"/>
      <c r="AZ194" s="505"/>
      <c r="BA194" s="505"/>
      <c r="BB194" s="505"/>
      <c r="BC194" s="506"/>
      <c r="BF194" s="507" t="str">
        <f>BF133</f>
        <v>moderate intensity only</v>
      </c>
      <c r="BG194" s="505"/>
      <c r="BH194" s="505"/>
      <c r="BI194" s="505"/>
      <c r="BJ194" s="505"/>
      <c r="BK194" s="506"/>
      <c r="BN194" s="507" t="str">
        <f>BN133</f>
        <v>moderate intensity only</v>
      </c>
      <c r="BO194" s="505"/>
      <c r="BP194" s="505"/>
      <c r="BQ194" s="505"/>
      <c r="BR194" s="505"/>
      <c r="BS194" s="506"/>
      <c r="BV194" s="507" t="str">
        <f>BV133</f>
        <v>moderate intensity only</v>
      </c>
      <c r="BW194" s="505"/>
      <c r="BX194" s="505"/>
      <c r="BY194" s="505"/>
      <c r="BZ194" s="505"/>
      <c r="CA194" s="506"/>
      <c r="CD194" s="507" t="str">
        <f>CD133</f>
        <v>moderate intensity only</v>
      </c>
      <c r="CE194" s="505"/>
      <c r="CF194" s="505"/>
      <c r="CG194" s="505"/>
      <c r="CH194" s="505"/>
      <c r="CI194" s="506"/>
      <c r="CL194" s="507" t="str">
        <f>CL133</f>
        <v>moderate intensity only</v>
      </c>
      <c r="CM194" s="505"/>
      <c r="CN194" s="505"/>
      <c r="CO194" s="505"/>
      <c r="CP194" s="505"/>
      <c r="CQ194" s="506"/>
      <c r="CT194" s="507" t="str">
        <f>CT133</f>
        <v>moderate intensity only</v>
      </c>
      <c r="CU194" s="505"/>
      <c r="CV194" s="505"/>
      <c r="CW194" s="505"/>
      <c r="CX194" s="505"/>
      <c r="CY194" s="506"/>
      <c r="DB194" s="507" t="str">
        <f>DB133</f>
        <v>moderate intensity only</v>
      </c>
      <c r="DC194" s="505"/>
      <c r="DD194" s="505"/>
      <c r="DE194" s="505"/>
      <c r="DF194" s="505"/>
      <c r="DG194" s="506"/>
    </row>
    <row r="195" spans="2:111">
      <c r="B195" s="84"/>
      <c r="C195" s="101">
        <f>C134</f>
        <v>2026</v>
      </c>
      <c r="D195" s="101">
        <f t="shared" ref="D195:F195" si="370">D134</f>
        <v>2027</v>
      </c>
      <c r="E195" s="101">
        <f t="shared" si="370"/>
        <v>2028</v>
      </c>
      <c r="F195" s="101">
        <f t="shared" si="370"/>
        <v>2029</v>
      </c>
      <c r="G195" s="102">
        <f>G134</f>
        <v>2030</v>
      </c>
      <c r="J195" s="84"/>
      <c r="K195" s="101">
        <f>K134</f>
        <v>2026</v>
      </c>
      <c r="L195" s="101">
        <f t="shared" ref="L195:N195" si="371">L134</f>
        <v>2027</v>
      </c>
      <c r="M195" s="101">
        <f t="shared" si="371"/>
        <v>2028</v>
      </c>
      <c r="N195" s="101">
        <f t="shared" si="371"/>
        <v>2029</v>
      </c>
      <c r="O195" s="102">
        <f>O134</f>
        <v>2030</v>
      </c>
      <c r="R195" s="84"/>
      <c r="S195" s="101">
        <f>S134</f>
        <v>2026</v>
      </c>
      <c r="T195" s="101">
        <f t="shared" ref="T195:V195" si="372">T134</f>
        <v>2027</v>
      </c>
      <c r="U195" s="101">
        <f t="shared" si="372"/>
        <v>2028</v>
      </c>
      <c r="V195" s="101">
        <f t="shared" si="372"/>
        <v>2029</v>
      </c>
      <c r="W195" s="102">
        <f>W134</f>
        <v>2030</v>
      </c>
      <c r="Z195" s="84"/>
      <c r="AA195" s="101">
        <f>AA134</f>
        <v>2026</v>
      </c>
      <c r="AB195" s="101">
        <f t="shared" ref="AB195:AD195" si="373">AB134</f>
        <v>2027</v>
      </c>
      <c r="AC195" s="101">
        <f t="shared" si="373"/>
        <v>2028</v>
      </c>
      <c r="AD195" s="101">
        <f t="shared" si="373"/>
        <v>2029</v>
      </c>
      <c r="AE195" s="102">
        <f>AE134</f>
        <v>2030</v>
      </c>
      <c r="AH195" s="84"/>
      <c r="AI195" s="101">
        <f>AI134</f>
        <v>2026</v>
      </c>
      <c r="AJ195" s="101">
        <f t="shared" ref="AJ195:AL195" si="374">AJ134</f>
        <v>2027</v>
      </c>
      <c r="AK195" s="101">
        <f t="shared" si="374"/>
        <v>2028</v>
      </c>
      <c r="AL195" s="101">
        <f t="shared" si="374"/>
        <v>2029</v>
      </c>
      <c r="AM195" s="102">
        <f>AM134</f>
        <v>2030</v>
      </c>
      <c r="AP195" s="84"/>
      <c r="AQ195" s="101">
        <f>AQ134</f>
        <v>2026</v>
      </c>
      <c r="AR195" s="101">
        <f t="shared" ref="AR195:AT195" si="375">AR134</f>
        <v>2027</v>
      </c>
      <c r="AS195" s="101">
        <f t="shared" si="375"/>
        <v>2028</v>
      </c>
      <c r="AT195" s="101">
        <f t="shared" si="375"/>
        <v>2029</v>
      </c>
      <c r="AU195" s="102">
        <f>AU134</f>
        <v>2030</v>
      </c>
      <c r="AX195" s="84"/>
      <c r="AY195" s="101">
        <f>AY134</f>
        <v>2026</v>
      </c>
      <c r="AZ195" s="101">
        <f t="shared" ref="AZ195:BB195" si="376">AZ134</f>
        <v>2027</v>
      </c>
      <c r="BA195" s="101">
        <f t="shared" si="376"/>
        <v>2028</v>
      </c>
      <c r="BB195" s="101">
        <f t="shared" si="376"/>
        <v>2029</v>
      </c>
      <c r="BC195" s="102">
        <f>BC134</f>
        <v>2030</v>
      </c>
      <c r="BF195" s="84"/>
      <c r="BG195" s="101">
        <f>BG134</f>
        <v>2026</v>
      </c>
      <c r="BH195" s="101">
        <f t="shared" ref="BH195:BJ195" si="377">BH134</f>
        <v>2027</v>
      </c>
      <c r="BI195" s="101">
        <f t="shared" si="377"/>
        <v>2028</v>
      </c>
      <c r="BJ195" s="101">
        <f t="shared" si="377"/>
        <v>2029</v>
      </c>
      <c r="BK195" s="102">
        <f>BK134</f>
        <v>2030</v>
      </c>
      <c r="BN195" s="84"/>
      <c r="BO195" s="101">
        <f>BO134</f>
        <v>2026</v>
      </c>
      <c r="BP195" s="101">
        <f t="shared" ref="BP195:BR195" si="378">BP134</f>
        <v>2027</v>
      </c>
      <c r="BQ195" s="101">
        <f t="shared" si="378"/>
        <v>2028</v>
      </c>
      <c r="BR195" s="101">
        <f t="shared" si="378"/>
        <v>2029</v>
      </c>
      <c r="BS195" s="102">
        <f>BS134</f>
        <v>2030</v>
      </c>
      <c r="BV195" s="84"/>
      <c r="BW195" s="101">
        <f>BW134</f>
        <v>2026</v>
      </c>
      <c r="BX195" s="101">
        <f t="shared" ref="BX195:BZ195" si="379">BX134</f>
        <v>2027</v>
      </c>
      <c r="BY195" s="101">
        <f t="shared" si="379"/>
        <v>2028</v>
      </c>
      <c r="BZ195" s="101">
        <f t="shared" si="379"/>
        <v>2029</v>
      </c>
      <c r="CA195" s="102">
        <f>CA134</f>
        <v>2030</v>
      </c>
      <c r="CD195" s="84"/>
      <c r="CE195" s="101">
        <f>CE134</f>
        <v>2026</v>
      </c>
      <c r="CF195" s="101">
        <f t="shared" ref="CF195:CH195" si="380">CF134</f>
        <v>2027</v>
      </c>
      <c r="CG195" s="101">
        <f t="shared" si="380"/>
        <v>2028</v>
      </c>
      <c r="CH195" s="101">
        <f t="shared" si="380"/>
        <v>2029</v>
      </c>
      <c r="CI195" s="102">
        <f>CI134</f>
        <v>2030</v>
      </c>
      <c r="CL195" s="84"/>
      <c r="CM195" s="101">
        <f>CM134</f>
        <v>2026</v>
      </c>
      <c r="CN195" s="101">
        <f t="shared" ref="CN195:CP195" si="381">CN134</f>
        <v>2027</v>
      </c>
      <c r="CO195" s="101">
        <f t="shared" si="381"/>
        <v>2028</v>
      </c>
      <c r="CP195" s="101">
        <f t="shared" si="381"/>
        <v>2029</v>
      </c>
      <c r="CQ195" s="102">
        <f>CQ134</f>
        <v>2030</v>
      </c>
      <c r="CT195" s="84"/>
      <c r="CU195" s="101">
        <f>CU134</f>
        <v>2026</v>
      </c>
      <c r="CV195" s="101">
        <f t="shared" ref="CV195:CX195" si="382">CV134</f>
        <v>2027</v>
      </c>
      <c r="CW195" s="101">
        <f t="shared" si="382"/>
        <v>2028</v>
      </c>
      <c r="CX195" s="101">
        <f t="shared" si="382"/>
        <v>2029</v>
      </c>
      <c r="CY195" s="102">
        <f>CY134</f>
        <v>2030</v>
      </c>
      <c r="DB195" s="84"/>
      <c r="DC195" s="101">
        <f>DC134</f>
        <v>2026</v>
      </c>
      <c r="DD195" s="101">
        <f t="shared" ref="DD195:DF195" si="383">DD134</f>
        <v>2027</v>
      </c>
      <c r="DE195" s="101">
        <f t="shared" si="383"/>
        <v>2028</v>
      </c>
      <c r="DF195" s="101">
        <f t="shared" si="383"/>
        <v>2029</v>
      </c>
      <c r="DG195" s="102">
        <f>DG134</f>
        <v>2030</v>
      </c>
    </row>
    <row r="196" spans="2:111">
      <c r="B196" s="87" t="s">
        <v>170</v>
      </c>
      <c r="C196" s="109">
        <f ca="1">(C73*ci_int1)+(C73*ct_int1*'Time on treatment'!$D$12)</f>
        <v>13156420.811297385</v>
      </c>
      <c r="D196" s="109">
        <f ca="1">(D73*ct_int1*'Time on treatment'!$E$12)</f>
        <v>13156420.811297385</v>
      </c>
      <c r="E196" s="109">
        <f ca="1">(E73*ct_int1*'Time on treatment'!$F$12)</f>
        <v>13156420.811297385</v>
      </c>
      <c r="F196" s="109">
        <f ca="1">(F73*ct_int1*'Time on treatment'!$G$12)</f>
        <v>13156420.811297385</v>
      </c>
      <c r="G196" s="110">
        <f ca="1">(G73*ct_int1*'Time on treatment'!$H$12)</f>
        <v>13156420.811297385</v>
      </c>
      <c r="J196" s="87" t="s">
        <v>170</v>
      </c>
      <c r="K196" s="109">
        <f ca="1">(K73*ci_int2)+(K73*ct_int2*'Time on treatment'!$D$13)</f>
        <v>26183204.453482121</v>
      </c>
      <c r="L196" s="109">
        <f ca="1">(L73*ct_int2*'Time on treatment'!$E$13)</f>
        <v>26183204.453482121</v>
      </c>
      <c r="M196" s="109">
        <f ca="1">(M73*ct_int2*'Time on treatment'!$F$13)</f>
        <v>26183204.453482121</v>
      </c>
      <c r="N196" s="109">
        <f ca="1">(N73*ct_int2*'Time on treatment'!$G$13)</f>
        <v>26183204.453482121</v>
      </c>
      <c r="O196" s="110">
        <f ca="1">(O73*ct_int2*'Time on treatment'!$H$13)</f>
        <v>26183204.453482121</v>
      </c>
      <c r="R196" s="87" t="s">
        <v>170</v>
      </c>
      <c r="S196" s="109">
        <f ca="1">(S73*ci_int3)+(S73*ct_int3*'Time on treatment'!$D$14)</f>
        <v>0</v>
      </c>
      <c r="T196" s="109">
        <f ca="1">(T73*ct_int3*'Time on treatment'!$E$14)</f>
        <v>0</v>
      </c>
      <c r="U196" s="109">
        <f ca="1">(U73*ct_int3*'Time on treatment'!$F$14)</f>
        <v>0</v>
      </c>
      <c r="V196" s="109">
        <f ca="1">(V73*ct_int3*'Time on treatment'!$G$14)</f>
        <v>0</v>
      </c>
      <c r="W196" s="110">
        <f ca="1">(W73*ct_int3*'Time on treatment'!$H$14)</f>
        <v>0</v>
      </c>
      <c r="Z196" s="87" t="s">
        <v>170</v>
      </c>
      <c r="AA196" s="109">
        <f ca="1">(AA73*ci_int4)+(AA73*ct_int4*'Time on treatment'!$D$15)</f>
        <v>0</v>
      </c>
      <c r="AB196" s="109">
        <f ca="1">(AB73*ct_int4*'Time on treatment'!$E$15)</f>
        <v>0</v>
      </c>
      <c r="AC196" s="109">
        <f ca="1">(AC73*ct_int4*'Time on treatment'!$F$15)</f>
        <v>0</v>
      </c>
      <c r="AD196" s="109">
        <f ca="1">(AD73*ct_int4*'Time on treatment'!$G$15)</f>
        <v>0</v>
      </c>
      <c r="AE196" s="110">
        <f ca="1">(AE73*ct_int4*'Time on treatment'!$H$15)</f>
        <v>0</v>
      </c>
      <c r="AH196" s="87" t="s">
        <v>170</v>
      </c>
      <c r="AI196" s="109">
        <f ca="1">(AI73*ci_comp1)+(AI73*ct_comp1*'Time on treatment'!$D$19)</f>
        <v>1311279.6090853959</v>
      </c>
      <c r="AJ196" s="109">
        <f ca="1">(AJ73*ct_comp1*'Time on treatment'!$E$19)</f>
        <v>1311279.6090853959</v>
      </c>
      <c r="AK196" s="109">
        <f ca="1">(AK73*ct_comp1*'Time on treatment'!$F$19)</f>
        <v>1311279.6090853959</v>
      </c>
      <c r="AL196" s="109">
        <f ca="1">(AL73*ct_comp1*'Time on treatment'!$G$19)</f>
        <v>1311279.6090853959</v>
      </c>
      <c r="AM196" s="110">
        <f ca="1">(AM73*ct_comp1*'Time on treatment'!$H$19)</f>
        <v>1311279.6090853959</v>
      </c>
      <c r="AP196" s="87" t="s">
        <v>170</v>
      </c>
      <c r="AQ196" s="109">
        <f ca="1">(AQ73*ci_comp2)+(AQ73*ct_comp2*'Time on treatment'!$D$20)</f>
        <v>9865489.4497679938</v>
      </c>
      <c r="AR196" s="109">
        <f ca="1">(AR73*ct_comp2*'Time on treatment'!$E$20)</f>
        <v>9865489.4497679938</v>
      </c>
      <c r="AS196" s="109">
        <f ca="1">(AS73*ct_comp2*'Time on treatment'!$F$20)</f>
        <v>9865489.4497679938</v>
      </c>
      <c r="AT196" s="109">
        <f ca="1">(AT73*ct_comp2*'Time on treatment'!$G$20)</f>
        <v>9865489.4497679938</v>
      </c>
      <c r="AU196" s="110">
        <f ca="1">(AU73*ct_comp2*'Time on treatment'!$H$20)</f>
        <v>9865489.4497679938</v>
      </c>
      <c r="AX196" s="87" t="s">
        <v>170</v>
      </c>
      <c r="AY196" s="109">
        <f ca="1">(AY73*ci_comp3)+(AY73*ct_comp3*'Time on treatment'!$D$21)</f>
        <v>54317817.638895214</v>
      </c>
      <c r="AZ196" s="109">
        <f ca="1">(AZ73*ct_comp3*'Time on treatment'!$E$21)</f>
        <v>54317817.638895214</v>
      </c>
      <c r="BA196" s="109">
        <f ca="1">(BA73*ct_comp3*'Time on treatment'!$F$21)</f>
        <v>54317817.638895214</v>
      </c>
      <c r="BB196" s="109">
        <f ca="1">(BB73*ct_comp3*'Time on treatment'!$G$21)</f>
        <v>54317817.638895214</v>
      </c>
      <c r="BC196" s="110">
        <f ca="1">(BC73*ct_comp3*'Time on treatment'!$H$21)</f>
        <v>54317817.638895214</v>
      </c>
      <c r="BF196" s="87" t="s">
        <v>170</v>
      </c>
      <c r="BG196" s="109">
        <f ca="1">(BG73*ci_comp4)+(BG73*ct_comp4*'Time on treatment'!$D$22)</f>
        <v>10352103.395284122</v>
      </c>
      <c r="BH196" s="109">
        <f ca="1">(BH73*ct_comp4*'Time on treatment'!$E$22)</f>
        <v>10352103.395284122</v>
      </c>
      <c r="BI196" s="109">
        <f ca="1">(BI73*ct_comp4*'Time on treatment'!$F$22)</f>
        <v>10352103.395284122</v>
      </c>
      <c r="BJ196" s="109">
        <f ca="1">(BJ73*ct_comp4*'Time on treatment'!$G$22)</f>
        <v>10352103.395284122</v>
      </c>
      <c r="BK196" s="110">
        <f ca="1">(BK73*ct_comp4*'Time on treatment'!$H$22)</f>
        <v>10352103.395284122</v>
      </c>
      <c r="BN196" s="87" t="s">
        <v>170</v>
      </c>
      <c r="BO196" s="109">
        <f ca="1">(BO73*ci_comp5)+(BO73*ct_comp5*'Time on treatment'!$D$23)</f>
        <v>1042638.2635894753</v>
      </c>
      <c r="BP196" s="109">
        <f ca="1">(BP73*ct_comp5*'Time on treatment'!$E$23)</f>
        <v>1042638.2635894753</v>
      </c>
      <c r="BQ196" s="109">
        <f ca="1">(BQ73*ct_comp5*'Time on treatment'!$F$23)</f>
        <v>1042638.2635894753</v>
      </c>
      <c r="BR196" s="109">
        <f ca="1">(BR73*ct_comp5*'Time on treatment'!$G$23)</f>
        <v>1042638.2635894753</v>
      </c>
      <c r="BS196" s="110">
        <f ca="1">(BS73*ct_comp5*'Time on treatment'!$H$23)</f>
        <v>1042638.2635894753</v>
      </c>
      <c r="BV196" s="87" t="s">
        <v>170</v>
      </c>
      <c r="BW196" s="109">
        <f ca="1">(BW73*ci_comp6)+(BW73*ct_comp6*'Time on treatment'!$D$24)</f>
        <v>38488.78478449375</v>
      </c>
      <c r="BX196" s="109">
        <f ca="1">(BX73*ct_comp6*'Time on treatment'!$E$24)</f>
        <v>38488.78478449375</v>
      </c>
      <c r="BY196" s="109">
        <f ca="1">(BY73*ct_comp6*'Time on treatment'!$F$24)</f>
        <v>38488.78478449375</v>
      </c>
      <c r="BZ196" s="109">
        <f ca="1">(BZ73*ct_comp6*'Time on treatment'!$G$24)</f>
        <v>38488.78478449375</v>
      </c>
      <c r="CA196" s="110">
        <f ca="1">(CA73*ct_comp6*'Time on treatment'!$H$24)</f>
        <v>38488.78478449375</v>
      </c>
      <c r="CD196" s="87" t="s">
        <v>170</v>
      </c>
      <c r="CE196" s="109">
        <f ca="1">(CE73*ci_comp7)+(CE73*ct_comp7*'Time on treatment'!$D$25)</f>
        <v>2779199.1467679399</v>
      </c>
      <c r="CF196" s="109">
        <f ca="1">(CF73*ct_comp7*'Time on treatment'!$E$25)</f>
        <v>2779199.1467679399</v>
      </c>
      <c r="CG196" s="109">
        <f ca="1">(CG73*ct_comp7*'Time on treatment'!$F$25)</f>
        <v>2779199.1467679399</v>
      </c>
      <c r="CH196" s="109">
        <f ca="1">(CH73*ct_comp7*'Time on treatment'!$G$25)</f>
        <v>2779199.1467679399</v>
      </c>
      <c r="CI196" s="110">
        <f ca="1">(CI73*ct_comp7*'Time on treatment'!$H$25)</f>
        <v>2779199.1467679399</v>
      </c>
      <c r="CL196" s="87" t="s">
        <v>170</v>
      </c>
      <c r="CM196" s="109">
        <f ca="1">(CM73*ci_comp8)+(CM73*ct_comp8*'Time on treatment'!$D$26)</f>
        <v>11908604.566659126</v>
      </c>
      <c r="CN196" s="109">
        <f ca="1">(CN73*ct_comp8*'Time on treatment'!$E$26)</f>
        <v>11908604.566659126</v>
      </c>
      <c r="CO196" s="109">
        <f ca="1">(CO73*ct_comp8*'Time on treatment'!$F$26)</f>
        <v>11908604.566659126</v>
      </c>
      <c r="CP196" s="109">
        <f ca="1">(CP73*ct_comp8*'Time on treatment'!$G$26)</f>
        <v>11908604.566659126</v>
      </c>
      <c r="CQ196" s="110">
        <f ca="1">(CQ73*ct_comp8*'Time on treatment'!$H$26)</f>
        <v>11908604.566659126</v>
      </c>
      <c r="CT196" s="87" t="s">
        <v>170</v>
      </c>
      <c r="CU196" s="109">
        <f ca="1">(CU73*ci_comp9)+(CU73*ct_comp9*'Time on treatment'!$D$27)</f>
        <v>25400559.249601152</v>
      </c>
      <c r="CV196" s="109">
        <f ca="1">(CV73*ct_comp9*'Time on treatment'!$E$27)</f>
        <v>25400559.249601152</v>
      </c>
      <c r="CW196" s="109">
        <f ca="1">(CW73*ct_comp9*'Time on treatment'!$F$27)</f>
        <v>25400559.249601152</v>
      </c>
      <c r="CX196" s="109">
        <f ca="1">(CX73*ct_comp9*'Time on treatment'!$G$27)</f>
        <v>25400559.249601152</v>
      </c>
      <c r="CY196" s="110">
        <f ca="1">(CY73*ct_comp9*'Time on treatment'!$H$27)</f>
        <v>25400559.249601152</v>
      </c>
      <c r="DB196" s="87" t="s">
        <v>170</v>
      </c>
      <c r="DC196" s="109">
        <f ca="1">(DC73*ci_comp10)+(DC73*ct_comp10*'Time on treatment'!$D$28)</f>
        <v>0</v>
      </c>
      <c r="DD196" s="109">
        <f ca="1">(DD73*ct_comp10*'Time on treatment'!$E$28)</f>
        <v>0</v>
      </c>
      <c r="DE196" s="109">
        <f ca="1">(DE73*ct_comp10*'Time on treatment'!$F$28)</f>
        <v>0</v>
      </c>
      <c r="DF196" s="109">
        <f ca="1">(DF73*ct_comp10*'Time on treatment'!$G$28)</f>
        <v>0</v>
      </c>
      <c r="DG196" s="110">
        <f ca="1">(DG73*ct_comp10*'Time on treatment'!$H$28)</f>
        <v>0</v>
      </c>
    </row>
    <row r="197" spans="2:111">
      <c r="B197" s="87" t="s">
        <v>175</v>
      </c>
      <c r="C197" s="109"/>
      <c r="D197" s="109"/>
      <c r="E197" s="109"/>
      <c r="F197" s="109"/>
      <c r="G197" s="110"/>
      <c r="J197" s="87" t="s">
        <v>175</v>
      </c>
      <c r="K197" s="109"/>
      <c r="L197" s="109"/>
      <c r="M197" s="109"/>
      <c r="N197" s="109"/>
      <c r="O197" s="110"/>
      <c r="R197" s="87" t="s">
        <v>175</v>
      </c>
      <c r="S197" s="109"/>
      <c r="T197" s="109"/>
      <c r="U197" s="109"/>
      <c r="V197" s="109"/>
      <c r="W197" s="110"/>
      <c r="Z197" s="87" t="s">
        <v>175</v>
      </c>
      <c r="AA197" s="109"/>
      <c r="AB197" s="109"/>
      <c r="AC197" s="109"/>
      <c r="AD197" s="109"/>
      <c r="AE197" s="110"/>
      <c r="AH197" s="87" t="s">
        <v>175</v>
      </c>
      <c r="AI197" s="109"/>
      <c r="AJ197" s="109"/>
      <c r="AK197" s="109"/>
      <c r="AL197" s="109"/>
      <c r="AM197" s="110"/>
      <c r="AP197" s="87" t="s">
        <v>175</v>
      </c>
      <c r="AQ197" s="109"/>
      <c r="AR197" s="109"/>
      <c r="AS197" s="109"/>
      <c r="AT197" s="109"/>
      <c r="AU197" s="110"/>
      <c r="AX197" s="87" t="s">
        <v>175</v>
      </c>
      <c r="AY197" s="109"/>
      <c r="AZ197" s="109"/>
      <c r="BA197" s="109"/>
      <c r="BB197" s="109"/>
      <c r="BC197" s="110"/>
      <c r="BF197" s="87" t="s">
        <v>175</v>
      </c>
      <c r="BG197" s="109"/>
      <c r="BH197" s="109"/>
      <c r="BI197" s="109"/>
      <c r="BJ197" s="109"/>
      <c r="BK197" s="110"/>
      <c r="BN197" s="87" t="s">
        <v>175</v>
      </c>
      <c r="BO197" s="109"/>
      <c r="BP197" s="109"/>
      <c r="BQ197" s="109"/>
      <c r="BR197" s="109"/>
      <c r="BS197" s="110"/>
      <c r="BV197" s="87" t="s">
        <v>175</v>
      </c>
      <c r="BW197" s="109"/>
      <c r="BX197" s="109"/>
      <c r="BY197" s="109"/>
      <c r="BZ197" s="109"/>
      <c r="CA197" s="110"/>
      <c r="CD197" s="87" t="s">
        <v>175</v>
      </c>
      <c r="CE197" s="109"/>
      <c r="CF197" s="109"/>
      <c r="CG197" s="109"/>
      <c r="CH197" s="109"/>
      <c r="CI197" s="110"/>
      <c r="CL197" s="87" t="s">
        <v>175</v>
      </c>
      <c r="CM197" s="109"/>
      <c r="CN197" s="109"/>
      <c r="CO197" s="109"/>
      <c r="CP197" s="109"/>
      <c r="CQ197" s="110"/>
      <c r="CT197" s="87" t="s">
        <v>175</v>
      </c>
      <c r="CU197" s="109"/>
      <c r="CV197" s="109"/>
      <c r="CW197" s="109"/>
      <c r="CX197" s="109"/>
      <c r="CY197" s="110"/>
      <c r="DB197" s="87" t="s">
        <v>175</v>
      </c>
      <c r="DC197" s="109"/>
      <c r="DD197" s="109"/>
      <c r="DE197" s="109"/>
      <c r="DF197" s="109"/>
      <c r="DG197" s="110"/>
    </row>
    <row r="198" spans="2:111">
      <c r="B198" s="87" t="s">
        <v>171</v>
      </c>
      <c r="C198" s="111"/>
      <c r="D198" s="109">
        <f ca="1">(D75*ci_int1)+(D75*ct_int1*'Time on treatment'!$D$12)</f>
        <v>215817.93943060489</v>
      </c>
      <c r="E198" s="109">
        <f ca="1">(E75*ct_int1*'Time on treatment'!$E$12)</f>
        <v>215817.93943060489</v>
      </c>
      <c r="F198" s="109">
        <f ca="1">(F75*ct_int1*'Time on treatment'!$F$12)</f>
        <v>215817.93943060489</v>
      </c>
      <c r="G198" s="110">
        <f ca="1">(G75*ct_int1*'Time on treatment'!$G$12)</f>
        <v>215817.93943060489</v>
      </c>
      <c r="J198" s="87" t="s">
        <v>171</v>
      </c>
      <c r="K198" s="111"/>
      <c r="L198" s="109">
        <f ca="1">(L75*ci_int2)+(L75*ct_int2*'Time on treatment'!$D$13)</f>
        <v>429509.3106164874</v>
      </c>
      <c r="M198" s="109">
        <f ca="1">(M75*ct_int2*'Time on treatment'!$E$13)</f>
        <v>429509.3106164874</v>
      </c>
      <c r="N198" s="109">
        <f ca="1">(N75*ct_int2*'Time on treatment'!$F$13)</f>
        <v>429509.3106164874</v>
      </c>
      <c r="O198" s="110">
        <f ca="1">(O75*ct_int2*'Time on treatment'!$G$13)</f>
        <v>429509.3106164874</v>
      </c>
      <c r="R198" s="87" t="s">
        <v>171</v>
      </c>
      <c r="S198" s="111"/>
      <c r="T198" s="109">
        <f ca="1">(T75*ci_int3)+(T75*ct_int3*'Time on treatment'!$D$14)</f>
        <v>0</v>
      </c>
      <c r="U198" s="109">
        <f ca="1">(U75*ct_int3*'Time on treatment'!$E$14)</f>
        <v>0</v>
      </c>
      <c r="V198" s="109">
        <f ca="1">(V75*ct_int3*'Time on treatment'!$F$14)</f>
        <v>0</v>
      </c>
      <c r="W198" s="110">
        <f ca="1">(W75*ct_int3*'Time on treatment'!$G$14)</f>
        <v>0</v>
      </c>
      <c r="Z198" s="87" t="s">
        <v>171</v>
      </c>
      <c r="AA198" s="111"/>
      <c r="AB198" s="109">
        <f ca="1">(AB75*ci_int4)+(AB75*ct_int4*'Time on treatment'!$D$15)</f>
        <v>0</v>
      </c>
      <c r="AC198" s="109">
        <f ca="1">(AC75*ct_int4*'Time on treatment'!$E$15)</f>
        <v>0</v>
      </c>
      <c r="AD198" s="109">
        <f ca="1">(AD75*ct_int4*'Time on treatment'!$F$15)</f>
        <v>0</v>
      </c>
      <c r="AE198" s="110">
        <f ca="1">(AE75*ct_int4*'Time on treatment'!$G$15)</f>
        <v>0</v>
      </c>
      <c r="AH198" s="87" t="s">
        <v>171</v>
      </c>
      <c r="AI198" s="111"/>
      <c r="AJ198" s="109">
        <f ca="1">(AJ75*ci_comp1)+(AJ75*ct_comp1*'Time on treatment'!$D$19)</f>
        <v>9560.1030877864359</v>
      </c>
      <c r="AK198" s="109">
        <f ca="1">(AK75*ct_comp1*'Time on treatment'!$E$19)</f>
        <v>9560.1030877864359</v>
      </c>
      <c r="AL198" s="109">
        <f ca="1">(AL75*ct_comp1*'Time on treatment'!$F$19)</f>
        <v>9560.1030877864359</v>
      </c>
      <c r="AM198" s="110">
        <f ca="1">(AM75*ct_comp1*'Time on treatment'!$G$19)</f>
        <v>9560.1030877864359</v>
      </c>
      <c r="AP198" s="87" t="s">
        <v>171</v>
      </c>
      <c r="AQ198" s="111"/>
      <c r="AR198" s="109">
        <f ca="1">(AR75*ci_comp2)+(AR75*ct_comp2*'Time on treatment'!$D$20)</f>
        <v>71925.999228368484</v>
      </c>
      <c r="AS198" s="109">
        <f ca="1">(AS75*ct_comp2*'Time on treatment'!$E$20)</f>
        <v>71925.999228368484</v>
      </c>
      <c r="AT198" s="109">
        <f ca="1">(AT75*ct_comp2*'Time on treatment'!$F$20)</f>
        <v>71925.999228368484</v>
      </c>
      <c r="AU198" s="110">
        <f ca="1">(AU75*ct_comp2*'Time on treatment'!$G$20)</f>
        <v>71925.999228368484</v>
      </c>
      <c r="AX198" s="87" t="s">
        <v>171</v>
      </c>
      <c r="AY198" s="111"/>
      <c r="AZ198" s="109">
        <f ca="1">(AZ75*ci_comp3)+(AZ75*ct_comp3*'Time on treatment'!$D$21)</f>
        <v>396013.12529645604</v>
      </c>
      <c r="BA198" s="109">
        <f ca="1">(BA75*ct_comp3*'Time on treatment'!$E$21)</f>
        <v>396013.12529645604</v>
      </c>
      <c r="BB198" s="109">
        <f ca="1">(BB75*ct_comp3*'Time on treatment'!$F$21)</f>
        <v>396013.12529645604</v>
      </c>
      <c r="BC198" s="110">
        <f ca="1">(BC75*ct_comp3*'Time on treatment'!$G$21)</f>
        <v>396013.12529645604</v>
      </c>
      <c r="BF198" s="87" t="s">
        <v>171</v>
      </c>
      <c r="BG198" s="111"/>
      <c r="BH198" s="109">
        <f ca="1">(BH75*ci_comp4)+(BH75*ct_comp4*'Time on treatment'!$D$22)</f>
        <v>75473.739505008227</v>
      </c>
      <c r="BI198" s="109">
        <f ca="1">(BI75*ct_comp4*'Time on treatment'!$E$22)</f>
        <v>75473.739505008227</v>
      </c>
      <c r="BJ198" s="109">
        <f ca="1">(BJ75*ct_comp4*'Time on treatment'!$F$22)</f>
        <v>75473.739505008227</v>
      </c>
      <c r="BK198" s="110">
        <f ca="1">(BK75*ct_comp4*'Time on treatment'!$G$22)</f>
        <v>75473.739505008227</v>
      </c>
      <c r="BN198" s="87" t="s">
        <v>171</v>
      </c>
      <c r="BO198" s="111"/>
      <c r="BP198" s="109">
        <f ca="1">(BP75*ci_comp5)+(BP75*ct_comp5*'Time on treatment'!$D$23)</f>
        <v>8551.7195309745748</v>
      </c>
      <c r="BQ198" s="109">
        <f ca="1">(BQ75*ct_comp5*'Time on treatment'!$E$23)</f>
        <v>8551.7195309745748</v>
      </c>
      <c r="BR198" s="109">
        <f ca="1">(BR75*ct_comp5*'Time on treatment'!$F$23)</f>
        <v>8551.7195309745748</v>
      </c>
      <c r="BS198" s="110">
        <f ca="1">(BS75*ct_comp5*'Time on treatment'!$G$23)</f>
        <v>8551.7195309745748</v>
      </c>
      <c r="BV198" s="87" t="s">
        <v>171</v>
      </c>
      <c r="BW198" s="111"/>
      <c r="BX198" s="109">
        <f ca="1">(BX75*ci_comp6)+(BX75*ct_comp6*'Time on treatment'!$D$24)</f>
        <v>280.6089164461518</v>
      </c>
      <c r="BY198" s="109">
        <f ca="1">(BY75*ct_comp6*'Time on treatment'!$E$24)</f>
        <v>280.6089164461518</v>
      </c>
      <c r="BZ198" s="109">
        <f ca="1">(BZ75*ct_comp6*'Time on treatment'!$F$24)</f>
        <v>280.6089164461518</v>
      </c>
      <c r="CA198" s="110">
        <f ca="1">(CA75*ct_comp6*'Time on treatment'!$G$24)</f>
        <v>280.6089164461518</v>
      </c>
      <c r="CD198" s="87" t="s">
        <v>171</v>
      </c>
      <c r="CE198" s="111"/>
      <c r="CF198" s="109">
        <f ca="1">(CF75*ci_comp7)+(CF75*ct_comp7*'Time on treatment'!$D$25)</f>
        <v>20262.215747502949</v>
      </c>
      <c r="CG198" s="109">
        <f ca="1">(CG75*ct_comp7*'Time on treatment'!$E$25)</f>
        <v>20262.215747502949</v>
      </c>
      <c r="CH198" s="109">
        <f ca="1">(CH75*ct_comp7*'Time on treatment'!$F$25)</f>
        <v>20262.215747502949</v>
      </c>
      <c r="CI198" s="110">
        <f ca="1">(CI75*ct_comp7*'Time on treatment'!$G$25)</f>
        <v>20262.215747502949</v>
      </c>
      <c r="CL198" s="87" t="s">
        <v>171</v>
      </c>
      <c r="CM198" s="111"/>
      <c r="CN198" s="109">
        <f ca="1">(CN75*ci_comp8)+(CN75*ct_comp8*'Time on treatment'!$D$26)</f>
        <v>86821.67136599723</v>
      </c>
      <c r="CO198" s="109">
        <f ca="1">(CO75*ct_comp8*'Time on treatment'!$E$26)</f>
        <v>86821.67136599723</v>
      </c>
      <c r="CP198" s="109">
        <f ca="1">(CP75*ct_comp8*'Time on treatment'!$F$26)</f>
        <v>86821.67136599723</v>
      </c>
      <c r="CQ198" s="110">
        <f ca="1">(CQ75*ct_comp8*'Time on treatment'!$G$26)</f>
        <v>86821.67136599723</v>
      </c>
      <c r="CT198" s="87" t="s">
        <v>171</v>
      </c>
      <c r="CU198" s="111"/>
      <c r="CV198" s="109">
        <f ca="1">(CV75*ci_comp9)+(CV75*ct_comp9*'Time on treatment'!$D$27)</f>
        <v>185158.47847448502</v>
      </c>
      <c r="CW198" s="109">
        <f ca="1">(CW75*ct_comp9*'Time on treatment'!$E$27)</f>
        <v>185158.47847448502</v>
      </c>
      <c r="CX198" s="109">
        <f ca="1">(CX75*ct_comp9*'Time on treatment'!$F$27)</f>
        <v>185158.47847448502</v>
      </c>
      <c r="CY198" s="110">
        <f ca="1">(CY75*ct_comp9*'Time on treatment'!$G$27)</f>
        <v>185158.47847448502</v>
      </c>
      <c r="DB198" s="87" t="s">
        <v>171</v>
      </c>
      <c r="DC198" s="111"/>
      <c r="DD198" s="109">
        <f ca="1">(DD75*ci_comp10)+(DD75*ct_comp10*'Time on treatment'!$D$28)</f>
        <v>0</v>
      </c>
      <c r="DE198" s="109">
        <f ca="1">(DE75*ct_comp10*'Time on treatment'!$E$28)</f>
        <v>0</v>
      </c>
      <c r="DF198" s="109">
        <f ca="1">(DF75*ct_comp10*'Time on treatment'!$F$28)</f>
        <v>0</v>
      </c>
      <c r="DG198" s="110">
        <f ca="1">(DG75*ct_comp10*'Time on treatment'!$G$28)</f>
        <v>0</v>
      </c>
    </row>
    <row r="199" spans="2:111">
      <c r="B199" s="87" t="s">
        <v>176</v>
      </c>
      <c r="C199" s="111"/>
      <c r="D199" s="109"/>
      <c r="E199" s="109"/>
      <c r="F199" s="109"/>
      <c r="G199" s="110"/>
      <c r="J199" s="87" t="s">
        <v>176</v>
      </c>
      <c r="K199" s="111"/>
      <c r="L199" s="109"/>
      <c r="M199" s="109"/>
      <c r="N199" s="109"/>
      <c r="O199" s="110"/>
      <c r="R199" s="87" t="s">
        <v>176</v>
      </c>
      <c r="S199" s="111"/>
      <c r="T199" s="109"/>
      <c r="U199" s="109"/>
      <c r="V199" s="109"/>
      <c r="W199" s="110"/>
      <c r="Z199" s="87" t="s">
        <v>176</v>
      </c>
      <c r="AA199" s="111"/>
      <c r="AB199" s="109"/>
      <c r="AC199" s="109"/>
      <c r="AD199" s="109"/>
      <c r="AE199" s="110"/>
      <c r="AH199" s="87" t="s">
        <v>176</v>
      </c>
      <c r="AI199" s="111"/>
      <c r="AJ199" s="109"/>
      <c r="AK199" s="109"/>
      <c r="AL199" s="109"/>
      <c r="AM199" s="110"/>
      <c r="AP199" s="87" t="s">
        <v>176</v>
      </c>
      <c r="AQ199" s="111"/>
      <c r="AR199" s="109"/>
      <c r="AS199" s="109"/>
      <c r="AT199" s="109"/>
      <c r="AU199" s="110"/>
      <c r="AX199" s="87" t="s">
        <v>176</v>
      </c>
      <c r="AY199" s="111"/>
      <c r="AZ199" s="109"/>
      <c r="BA199" s="109"/>
      <c r="BB199" s="109"/>
      <c r="BC199" s="110"/>
      <c r="BF199" s="87" t="s">
        <v>176</v>
      </c>
      <c r="BG199" s="111"/>
      <c r="BH199" s="109"/>
      <c r="BI199" s="109"/>
      <c r="BJ199" s="109"/>
      <c r="BK199" s="110"/>
      <c r="BN199" s="87" t="s">
        <v>176</v>
      </c>
      <c r="BO199" s="111"/>
      <c r="BP199" s="109"/>
      <c r="BQ199" s="109"/>
      <c r="BR199" s="109"/>
      <c r="BS199" s="110"/>
      <c r="BV199" s="87" t="s">
        <v>176</v>
      </c>
      <c r="BW199" s="111"/>
      <c r="BX199" s="109"/>
      <c r="BY199" s="109"/>
      <c r="BZ199" s="109"/>
      <c r="CA199" s="110"/>
      <c r="CD199" s="87" t="s">
        <v>176</v>
      </c>
      <c r="CE199" s="111"/>
      <c r="CF199" s="109"/>
      <c r="CG199" s="109"/>
      <c r="CH199" s="109"/>
      <c r="CI199" s="110"/>
      <c r="CL199" s="87" t="s">
        <v>176</v>
      </c>
      <c r="CM199" s="111"/>
      <c r="CN199" s="109"/>
      <c r="CO199" s="109"/>
      <c r="CP199" s="109"/>
      <c r="CQ199" s="110"/>
      <c r="CT199" s="87" t="s">
        <v>176</v>
      </c>
      <c r="CU199" s="111"/>
      <c r="CV199" s="109"/>
      <c r="CW199" s="109"/>
      <c r="CX199" s="109"/>
      <c r="CY199" s="110"/>
      <c r="DB199" s="87" t="s">
        <v>176</v>
      </c>
      <c r="DC199" s="111"/>
      <c r="DD199" s="109"/>
      <c r="DE199" s="109"/>
      <c r="DF199" s="109"/>
      <c r="DG199" s="110"/>
    </row>
    <row r="200" spans="2:111">
      <c r="B200" s="87" t="s">
        <v>172</v>
      </c>
      <c r="C200" s="111"/>
      <c r="D200" s="111"/>
      <c r="E200" s="109">
        <f ca="1">(E77*ci_int1)+(E77*ct_int1*'Time on treatment'!$D$12)</f>
        <v>310162.27888261637</v>
      </c>
      <c r="F200" s="109">
        <f ca="1">(F77*ct_int1*'Time on treatment'!$E$12)</f>
        <v>310162.27888261637</v>
      </c>
      <c r="G200" s="110">
        <f ca="1">(G77*ct_int1*'Time on treatment'!$F$12)</f>
        <v>310162.27888261637</v>
      </c>
      <c r="J200" s="87" t="s">
        <v>172</v>
      </c>
      <c r="K200" s="111"/>
      <c r="L200" s="111"/>
      <c r="M200" s="109">
        <f ca="1">(M77*ci_int2)+(M77*ct_int2*'Time on treatment'!$D$13)</f>
        <v>617268.36487078341</v>
      </c>
      <c r="N200" s="109">
        <f ca="1">(N77*ct_int2*'Time on treatment'!$E$13)</f>
        <v>617268.36487078341</v>
      </c>
      <c r="O200" s="110">
        <f ca="1">(O77*ct_int2*'Time on treatment'!$F$13)</f>
        <v>617268.36487078341</v>
      </c>
      <c r="R200" s="87" t="s">
        <v>172</v>
      </c>
      <c r="S200" s="111"/>
      <c r="T200" s="111"/>
      <c r="U200" s="109">
        <f ca="1">(U77*ci_int3)+(U77*ct_int3*'Time on treatment'!$D$14)</f>
        <v>0</v>
      </c>
      <c r="V200" s="109">
        <f ca="1">(V77*ct_int3*'Time on treatment'!$E$14)</f>
        <v>0</v>
      </c>
      <c r="W200" s="110">
        <f ca="1">(W77*ct_int3*'Time on treatment'!$F$14)</f>
        <v>0</v>
      </c>
      <c r="Z200" s="87" t="s">
        <v>172</v>
      </c>
      <c r="AA200" s="111"/>
      <c r="AB200" s="111"/>
      <c r="AC200" s="109">
        <f ca="1">(AC77*ci_int4)+(AC77*ct_int4*'Time on treatment'!$D$15)</f>
        <v>0</v>
      </c>
      <c r="AD200" s="109">
        <f ca="1">(AD77*ct_int4*'Time on treatment'!$E$15)</f>
        <v>0</v>
      </c>
      <c r="AE200" s="110">
        <f ca="1">(AE77*ct_int4*'Time on treatment'!$F$15)</f>
        <v>0</v>
      </c>
      <c r="AH200" s="87" t="s">
        <v>172</v>
      </c>
      <c r="AI200" s="111"/>
      <c r="AJ200" s="111"/>
      <c r="AK200" s="109">
        <f ca="1">(AK77*ci_comp1)+(AK77*ct_comp1*'Time on treatment'!$D$19)</f>
        <v>8014.5807059975359</v>
      </c>
      <c r="AL200" s="109">
        <f ca="1">(AL77*ct_comp1*'Time on treatment'!$E$19)</f>
        <v>8014.5807059975359</v>
      </c>
      <c r="AM200" s="110">
        <f ca="1">(AM77*ct_comp1*'Time on treatment'!$F$19)</f>
        <v>8014.5807059975359</v>
      </c>
      <c r="AP200" s="87" t="s">
        <v>172</v>
      </c>
      <c r="AQ200" s="111"/>
      <c r="AR200" s="111"/>
      <c r="AS200" s="109">
        <f ca="1">(AS77*ci_comp2)+(AS77*ct_comp2*'Time on treatment'!$D$20)</f>
        <v>60298.170467610464</v>
      </c>
      <c r="AT200" s="109">
        <f ca="1">(AT77*ct_comp2*'Time on treatment'!$E$20)</f>
        <v>60298.170467610464</v>
      </c>
      <c r="AU200" s="110">
        <f ca="1">(AU77*ct_comp2*'Time on treatment'!$F$20)</f>
        <v>60298.170467610464</v>
      </c>
      <c r="AX200" s="87" t="s">
        <v>172</v>
      </c>
      <c r="AY200" s="111"/>
      <c r="AZ200" s="111"/>
      <c r="BA200" s="109">
        <f ca="1">(BA77*ci_comp3)+(BA77*ct_comp3*'Time on treatment'!$D$21)</f>
        <v>331992.14738359553</v>
      </c>
      <c r="BB200" s="109">
        <f ca="1">(BB77*ct_comp3*'Time on treatment'!$E$21)</f>
        <v>331992.14738359553</v>
      </c>
      <c r="BC200" s="110">
        <f ca="1">(BC77*ct_comp3*'Time on treatment'!$F$21)</f>
        <v>331992.14738359553</v>
      </c>
      <c r="BF200" s="87" t="s">
        <v>172</v>
      </c>
      <c r="BG200" s="111"/>
      <c r="BH200" s="111"/>
      <c r="BI200" s="109">
        <f ca="1">(BI77*ci_comp4)+(BI77*ct_comp4*'Time on treatment'!$D$22)</f>
        <v>63272.369648304739</v>
      </c>
      <c r="BJ200" s="109">
        <f ca="1">(BJ77*ct_comp4*'Time on treatment'!$E$22)</f>
        <v>63272.369648304739</v>
      </c>
      <c r="BK200" s="110">
        <f ca="1">(BK77*ct_comp4*'Time on treatment'!$F$22)</f>
        <v>63272.369648304739</v>
      </c>
      <c r="BN200" s="87" t="s">
        <v>172</v>
      </c>
      <c r="BO200" s="111"/>
      <c r="BP200" s="111"/>
      <c r="BQ200" s="109">
        <f ca="1">(BQ77*ci_comp5)+(BQ77*ct_comp5*'Time on treatment'!$D$23)</f>
        <v>8193.3899937140486</v>
      </c>
      <c r="BR200" s="109">
        <f ca="1">(BR77*ct_comp5*'Time on treatment'!$E$23)</f>
        <v>8193.3899937140486</v>
      </c>
      <c r="BS200" s="110">
        <f ca="1">(BS77*ct_comp5*'Time on treatment'!$F$23)</f>
        <v>8193.3899937140486</v>
      </c>
      <c r="BV200" s="87" t="s">
        <v>172</v>
      </c>
      <c r="BW200" s="111"/>
      <c r="BX200" s="111"/>
      <c r="BY200" s="109">
        <f ca="1">(BY77*ci_comp6)+(BY77*ct_comp6*'Time on treatment'!$D$24)</f>
        <v>235.2446189156033</v>
      </c>
      <c r="BZ200" s="109">
        <f ca="1">(BZ77*ct_comp6*'Time on treatment'!$E$24)</f>
        <v>235.2446189156033</v>
      </c>
      <c r="CA200" s="110">
        <f ca="1">(CA77*ct_comp6*'Time on treatment'!$F$24)</f>
        <v>235.2446189156033</v>
      </c>
      <c r="CD200" s="87" t="s">
        <v>172</v>
      </c>
      <c r="CE200" s="111"/>
      <c r="CF200" s="111"/>
      <c r="CG200" s="109">
        <f ca="1">(CG77*ci_comp7)+(CG77*ct_comp7*'Time on treatment'!$D$25)</f>
        <v>16986.549402188233</v>
      </c>
      <c r="CH200" s="109">
        <f ca="1">(CH77*ct_comp7*'Time on treatment'!$E$25)</f>
        <v>16986.549402188233</v>
      </c>
      <c r="CI200" s="110">
        <f ca="1">(CI77*ct_comp7*'Time on treatment'!$F$25)</f>
        <v>16986.549402188233</v>
      </c>
      <c r="CL200" s="87" t="s">
        <v>172</v>
      </c>
      <c r="CM200" s="111"/>
      <c r="CN200" s="111"/>
      <c r="CO200" s="109">
        <f ca="1">(CO77*ci_comp8)+(CO77*ct_comp8*'Time on treatment'!$D$26)</f>
        <v>72785.75197388338</v>
      </c>
      <c r="CP200" s="109">
        <f ca="1">(CP77*ct_comp8*'Time on treatment'!$E$26)</f>
        <v>72785.75197388338</v>
      </c>
      <c r="CQ200" s="110">
        <f ca="1">(CQ77*ct_comp8*'Time on treatment'!$F$26)</f>
        <v>72785.75197388338</v>
      </c>
      <c r="CT200" s="87" t="s">
        <v>172</v>
      </c>
      <c r="CU200" s="111"/>
      <c r="CV200" s="111"/>
      <c r="CW200" s="109">
        <f ca="1">(CW77*ci_comp9)+(CW77*ct_comp9*'Time on treatment'!$D$27)</f>
        <v>155194.29413644708</v>
      </c>
      <c r="CX200" s="109">
        <f ca="1">(CX77*ct_comp9*'Time on treatment'!$E$27)</f>
        <v>155194.29413644708</v>
      </c>
      <c r="CY200" s="110">
        <f ca="1">(CY77*ct_comp9*'Time on treatment'!$F$27)</f>
        <v>155194.29413644708</v>
      </c>
      <c r="DB200" s="87" t="s">
        <v>172</v>
      </c>
      <c r="DC200" s="111"/>
      <c r="DD200" s="111"/>
      <c r="DE200" s="109">
        <f ca="1">(DE77*ci_comp10)+(DE77*ct_comp10*'Time on treatment'!$D$28)</f>
        <v>0</v>
      </c>
      <c r="DF200" s="109">
        <f ca="1">(DF77*ct_comp10*'Time on treatment'!$E$28)</f>
        <v>0</v>
      </c>
      <c r="DG200" s="110">
        <f ca="1">(DG77*ct_comp10*'Time on treatment'!$F$28)</f>
        <v>0</v>
      </c>
    </row>
    <row r="201" spans="2:111">
      <c r="B201" s="87" t="s">
        <v>177</v>
      </c>
      <c r="C201" s="111"/>
      <c r="D201" s="111"/>
      <c r="E201" s="109"/>
      <c r="F201" s="109"/>
      <c r="G201" s="110"/>
      <c r="J201" s="87" t="s">
        <v>177</v>
      </c>
      <c r="K201" s="111"/>
      <c r="L201" s="111"/>
      <c r="M201" s="109"/>
      <c r="N201" s="109"/>
      <c r="O201" s="110"/>
      <c r="R201" s="87" t="s">
        <v>177</v>
      </c>
      <c r="S201" s="111"/>
      <c r="T201" s="111"/>
      <c r="U201" s="109"/>
      <c r="V201" s="109"/>
      <c r="W201" s="110"/>
      <c r="Z201" s="87" t="s">
        <v>177</v>
      </c>
      <c r="AA201" s="111"/>
      <c r="AB201" s="111"/>
      <c r="AC201" s="109"/>
      <c r="AD201" s="109"/>
      <c r="AE201" s="110"/>
      <c r="AH201" s="87" t="s">
        <v>177</v>
      </c>
      <c r="AI201" s="111"/>
      <c r="AJ201" s="111"/>
      <c r="AK201" s="109"/>
      <c r="AL201" s="109"/>
      <c r="AM201" s="110"/>
      <c r="AP201" s="87" t="s">
        <v>177</v>
      </c>
      <c r="AQ201" s="111"/>
      <c r="AR201" s="111"/>
      <c r="AS201" s="109"/>
      <c r="AT201" s="109"/>
      <c r="AU201" s="110"/>
      <c r="AX201" s="87" t="s">
        <v>177</v>
      </c>
      <c r="AY201" s="111"/>
      <c r="AZ201" s="111"/>
      <c r="BA201" s="109"/>
      <c r="BB201" s="109"/>
      <c r="BC201" s="110"/>
      <c r="BF201" s="87" t="s">
        <v>177</v>
      </c>
      <c r="BG201" s="111"/>
      <c r="BH201" s="111"/>
      <c r="BI201" s="109"/>
      <c r="BJ201" s="109"/>
      <c r="BK201" s="110"/>
      <c r="BN201" s="87" t="s">
        <v>177</v>
      </c>
      <c r="BO201" s="111"/>
      <c r="BP201" s="111"/>
      <c r="BQ201" s="109"/>
      <c r="BR201" s="109"/>
      <c r="BS201" s="110"/>
      <c r="BV201" s="87" t="s">
        <v>177</v>
      </c>
      <c r="BW201" s="111"/>
      <c r="BX201" s="111"/>
      <c r="BY201" s="109"/>
      <c r="BZ201" s="109"/>
      <c r="CA201" s="110"/>
      <c r="CD201" s="87" t="s">
        <v>177</v>
      </c>
      <c r="CE201" s="111"/>
      <c r="CF201" s="111"/>
      <c r="CG201" s="109"/>
      <c r="CH201" s="109"/>
      <c r="CI201" s="110"/>
      <c r="CL201" s="87" t="s">
        <v>177</v>
      </c>
      <c r="CM201" s="111"/>
      <c r="CN201" s="111"/>
      <c r="CO201" s="109"/>
      <c r="CP201" s="109"/>
      <c r="CQ201" s="110"/>
      <c r="CT201" s="87" t="s">
        <v>177</v>
      </c>
      <c r="CU201" s="111"/>
      <c r="CV201" s="111"/>
      <c r="CW201" s="109"/>
      <c r="CX201" s="109"/>
      <c r="CY201" s="110"/>
      <c r="DB201" s="87" t="s">
        <v>177</v>
      </c>
      <c r="DC201" s="111"/>
      <c r="DD201" s="111"/>
      <c r="DE201" s="109"/>
      <c r="DF201" s="109"/>
      <c r="DG201" s="110"/>
    </row>
    <row r="202" spans="2:111">
      <c r="B202" s="87" t="s">
        <v>173</v>
      </c>
      <c r="C202" s="111"/>
      <c r="D202" s="111"/>
      <c r="E202" s="111"/>
      <c r="F202" s="109">
        <f ca="1">(F79*ci_int1)+(F79*ct_int1*'Time on treatment'!$D$12)</f>
        <v>414532.4128800123</v>
      </c>
      <c r="G202" s="110">
        <f ca="1">(G79*ct_int1*'Time on treatment'!$E$12)</f>
        <v>414532.4128800123</v>
      </c>
      <c r="J202" s="87" t="s">
        <v>173</v>
      </c>
      <c r="K202" s="111"/>
      <c r="L202" s="111"/>
      <c r="M202" s="111"/>
      <c r="N202" s="109">
        <f ca="1">(N79*ci_int2)+(N79*ct_int2*'Time on treatment'!$D$13)</f>
        <v>824980.21876227215</v>
      </c>
      <c r="O202" s="110">
        <f ca="1">(O79*ct_int2*'Time on treatment'!$E$13)</f>
        <v>824980.21876227215</v>
      </c>
      <c r="R202" s="87" t="s">
        <v>173</v>
      </c>
      <c r="S202" s="111"/>
      <c r="T202" s="111"/>
      <c r="U202" s="111"/>
      <c r="V202" s="109">
        <f ca="1">(V79*ci_int3)+(V79*ct_int3*'Time on treatment'!$D$14)</f>
        <v>0</v>
      </c>
      <c r="W202" s="110">
        <f ca="1">(W79*ct_int3*'Time on treatment'!$E$14)</f>
        <v>0</v>
      </c>
      <c r="Z202" s="87" t="s">
        <v>173</v>
      </c>
      <c r="AA202" s="111"/>
      <c r="AB202" s="111"/>
      <c r="AC202" s="111"/>
      <c r="AD202" s="109">
        <f ca="1">(AD79*ci_int4)+(AD79*ct_int4*'Time on treatment'!$D$15)</f>
        <v>0</v>
      </c>
      <c r="AE202" s="110">
        <f ca="1">(AE79*ct_int4*'Time on treatment'!$E$15)</f>
        <v>0</v>
      </c>
      <c r="AH202" s="87" t="s">
        <v>173</v>
      </c>
      <c r="AI202" s="111"/>
      <c r="AJ202" s="111"/>
      <c r="AK202" s="111"/>
      <c r="AL202" s="109">
        <f ca="1">(AL79*ci_comp1)+(AL79*ct_comp1*'Time on treatment'!$D$19)</f>
        <v>6885.9647583351853</v>
      </c>
      <c r="AM202" s="110">
        <f ca="1">(AM79*ct_comp1*'Time on treatment'!$E$19)</f>
        <v>6885.9647583351853</v>
      </c>
      <c r="AP202" s="87" t="s">
        <v>173</v>
      </c>
      <c r="AQ202" s="111"/>
      <c r="AR202" s="111"/>
      <c r="AS202" s="111"/>
      <c r="AT202" s="109">
        <f ca="1">(AT79*ci_comp2)+(AT79*ct_comp2*'Time on treatment'!$D$20)</f>
        <v>51806.961844097335</v>
      </c>
      <c r="AU202" s="110">
        <f ca="1">(AU79*ct_comp2*'Time on treatment'!$E$20)</f>
        <v>51806.961844097335</v>
      </c>
      <c r="AX202" s="87" t="s">
        <v>173</v>
      </c>
      <c r="AY202" s="111"/>
      <c r="AZ202" s="111"/>
      <c r="BA202" s="111"/>
      <c r="BB202" s="109">
        <f ca="1">(BB79*ci_comp3)+(BB79*ct_comp3*'Time on treatment'!$D$21)</f>
        <v>285240.9016502531</v>
      </c>
      <c r="BC202" s="110">
        <f ca="1">(BC79*ct_comp3*'Time on treatment'!$E$21)</f>
        <v>285240.9016502531</v>
      </c>
      <c r="BF202" s="87" t="s">
        <v>173</v>
      </c>
      <c r="BG202" s="111"/>
      <c r="BH202" s="111"/>
      <c r="BI202" s="111"/>
      <c r="BJ202" s="109">
        <f ca="1">(BJ79*ci_comp4)+(BJ79*ct_comp4*'Time on treatment'!$D$22)</f>
        <v>54362.333296930068</v>
      </c>
      <c r="BK202" s="110">
        <f ca="1">(BK79*ct_comp4*'Time on treatment'!$E$22)</f>
        <v>54362.333296930068</v>
      </c>
      <c r="BN202" s="87" t="s">
        <v>173</v>
      </c>
      <c r="BO202" s="111"/>
      <c r="BP202" s="111"/>
      <c r="BQ202" s="111"/>
      <c r="BR202" s="109">
        <f ca="1">(BR79*ci_comp5)+(BR79*ct_comp5*'Time on treatment'!$D$23)</f>
        <v>8212.8597390947707</v>
      </c>
      <c r="BS202" s="110">
        <f ca="1">(BS79*ct_comp5*'Time on treatment'!$E$23)</f>
        <v>8212.8597390947707</v>
      </c>
      <c r="BV202" s="87" t="s">
        <v>173</v>
      </c>
      <c r="BW202" s="111"/>
      <c r="BX202" s="111"/>
      <c r="BY202" s="111"/>
      <c r="BZ202" s="109">
        <f ca="1">(BZ79*ci_comp6)+(BZ79*ct_comp6*'Time on treatment'!$D$24)</f>
        <v>202.11739264521083</v>
      </c>
      <c r="CA202" s="110">
        <f ca="1">(CA79*ct_comp6*'Time on treatment'!$E$24)</f>
        <v>202.11739264521083</v>
      </c>
      <c r="CD202" s="87" t="s">
        <v>173</v>
      </c>
      <c r="CE202" s="111"/>
      <c r="CF202" s="111"/>
      <c r="CG202" s="111"/>
      <c r="CH202" s="109">
        <f ca="1">(CH79*ci_comp7)+(CH79*ct_comp7*'Time on treatment'!$D$25)</f>
        <v>14594.497808432665</v>
      </c>
      <c r="CI202" s="110">
        <f ca="1">(CI79*ct_comp7*'Time on treatment'!$E$25)</f>
        <v>14594.497808432665</v>
      </c>
      <c r="CL202" s="87" t="s">
        <v>173</v>
      </c>
      <c r="CM202" s="111"/>
      <c r="CN202" s="111"/>
      <c r="CO202" s="111"/>
      <c r="CP202" s="109">
        <f ca="1">(CP79*ci_comp8)+(CP79*ct_comp8*'Time on treatment'!$D$26)</f>
        <v>62536.037927227349</v>
      </c>
      <c r="CQ202" s="110">
        <f ca="1">(CQ79*ct_comp8*'Time on treatment'!$E$26)</f>
        <v>62536.037927227349</v>
      </c>
      <c r="CT202" s="87" t="s">
        <v>173</v>
      </c>
      <c r="CU202" s="111"/>
      <c r="CV202" s="111"/>
      <c r="CW202" s="111"/>
      <c r="CX202" s="109">
        <f ca="1">(CX79*ci_comp9)+(CX79*ct_comp9*'Time on treatment'!$D$27)</f>
        <v>133304.53770858003</v>
      </c>
      <c r="CY202" s="110">
        <f ca="1">(CY79*ct_comp9*'Time on treatment'!$E$27)</f>
        <v>133304.53770858003</v>
      </c>
      <c r="DB202" s="87" t="s">
        <v>173</v>
      </c>
      <c r="DC202" s="111"/>
      <c r="DD202" s="111"/>
      <c r="DE202" s="111"/>
      <c r="DF202" s="109">
        <f ca="1">(DF79*ci_comp10)+(DF79*ct_comp10*'Time on treatment'!$D$28)</f>
        <v>0</v>
      </c>
      <c r="DG202" s="110">
        <f ca="1">(DG79*ct_comp10*'Time on treatment'!$E$28)</f>
        <v>0</v>
      </c>
    </row>
    <row r="203" spans="2:111">
      <c r="B203" s="87" t="s">
        <v>178</v>
      </c>
      <c r="C203" s="111"/>
      <c r="D203" s="111"/>
      <c r="E203" s="111"/>
      <c r="F203" s="109"/>
      <c r="G203" s="110"/>
      <c r="J203" s="87" t="s">
        <v>178</v>
      </c>
      <c r="K203" s="111"/>
      <c r="L203" s="111"/>
      <c r="M203" s="111"/>
      <c r="N203" s="109"/>
      <c r="O203" s="110"/>
      <c r="R203" s="87" t="s">
        <v>178</v>
      </c>
      <c r="S203" s="111"/>
      <c r="T203" s="111"/>
      <c r="U203" s="111"/>
      <c r="V203" s="109"/>
      <c r="W203" s="110"/>
      <c r="Z203" s="87" t="s">
        <v>178</v>
      </c>
      <c r="AA203" s="111"/>
      <c r="AB203" s="111"/>
      <c r="AC203" s="111"/>
      <c r="AD203" s="109"/>
      <c r="AE203" s="110"/>
      <c r="AH203" s="87" t="s">
        <v>178</v>
      </c>
      <c r="AI203" s="111"/>
      <c r="AJ203" s="111"/>
      <c r="AK203" s="111"/>
      <c r="AL203" s="109"/>
      <c r="AM203" s="110"/>
      <c r="AP203" s="87" t="s">
        <v>178</v>
      </c>
      <c r="AQ203" s="111"/>
      <c r="AR203" s="111"/>
      <c r="AS203" s="111"/>
      <c r="AT203" s="109"/>
      <c r="AU203" s="110"/>
      <c r="AX203" s="87" t="s">
        <v>178</v>
      </c>
      <c r="AY203" s="111"/>
      <c r="AZ203" s="111"/>
      <c r="BA203" s="111"/>
      <c r="BB203" s="109"/>
      <c r="BC203" s="110"/>
      <c r="BF203" s="87" t="s">
        <v>178</v>
      </c>
      <c r="BG203" s="111"/>
      <c r="BH203" s="111"/>
      <c r="BI203" s="111"/>
      <c r="BJ203" s="109"/>
      <c r="BK203" s="110"/>
      <c r="BN203" s="87" t="s">
        <v>178</v>
      </c>
      <c r="BO203" s="111"/>
      <c r="BP203" s="111"/>
      <c r="BQ203" s="111"/>
      <c r="BR203" s="109"/>
      <c r="BS203" s="110"/>
      <c r="BV203" s="87" t="s">
        <v>178</v>
      </c>
      <c r="BW203" s="111"/>
      <c r="BX203" s="111"/>
      <c r="BY203" s="111"/>
      <c r="BZ203" s="109"/>
      <c r="CA203" s="110"/>
      <c r="CD203" s="87" t="s">
        <v>178</v>
      </c>
      <c r="CE203" s="111"/>
      <c r="CF203" s="111"/>
      <c r="CG203" s="111"/>
      <c r="CH203" s="109"/>
      <c r="CI203" s="110"/>
      <c r="CL203" s="87" t="s">
        <v>178</v>
      </c>
      <c r="CM203" s="111"/>
      <c r="CN203" s="111"/>
      <c r="CO203" s="111"/>
      <c r="CP203" s="109"/>
      <c r="CQ203" s="110"/>
      <c r="CT203" s="87" t="s">
        <v>178</v>
      </c>
      <c r="CU203" s="111"/>
      <c r="CV203" s="111"/>
      <c r="CW203" s="111"/>
      <c r="CX203" s="109"/>
      <c r="CY203" s="110"/>
      <c r="DB203" s="87" t="s">
        <v>178</v>
      </c>
      <c r="DC203" s="111"/>
      <c r="DD203" s="111"/>
      <c r="DE203" s="111"/>
      <c r="DF203" s="109"/>
      <c r="DG203" s="110"/>
    </row>
    <row r="204" spans="2:111">
      <c r="B204" s="87" t="s">
        <v>174</v>
      </c>
      <c r="C204" s="111"/>
      <c r="D204" s="111"/>
      <c r="E204" s="111"/>
      <c r="F204" s="111"/>
      <c r="G204" s="110">
        <f ca="1">(G81*ci_int1)+(G81*ct_int1*'Time on treatment'!$D$12)</f>
        <v>521003.48058804998</v>
      </c>
      <c r="J204" s="87" t="s">
        <v>174</v>
      </c>
      <c r="K204" s="111"/>
      <c r="L204" s="111"/>
      <c r="M204" s="111"/>
      <c r="N204" s="111"/>
      <c r="O204" s="110">
        <f ca="1">(O81*ci_int2)+(O81*ct_int2*'Time on treatment'!$D$13)</f>
        <v>1036873.2384645796</v>
      </c>
      <c r="R204" s="87" t="s">
        <v>174</v>
      </c>
      <c r="S204" s="111"/>
      <c r="T204" s="111"/>
      <c r="U204" s="111"/>
      <c r="V204" s="111"/>
      <c r="W204" s="110">
        <f ca="1">(W81*ci_int3)+(W81*ct_int3*'Time on treatment'!$D$14)</f>
        <v>0</v>
      </c>
      <c r="Z204" s="87" t="s">
        <v>174</v>
      </c>
      <c r="AA204" s="111"/>
      <c r="AB204" s="111"/>
      <c r="AC204" s="111"/>
      <c r="AD204" s="111"/>
      <c r="AE204" s="110">
        <f ca="1">(AE81*ci_int4)+(AE81*ct_int4*'Time on treatment'!$D$15)</f>
        <v>0</v>
      </c>
      <c r="AH204" s="87" t="s">
        <v>174</v>
      </c>
      <c r="AI204" s="111"/>
      <c r="AJ204" s="111"/>
      <c r="AK204" s="111"/>
      <c r="AL204" s="111"/>
      <c r="AM204" s="110">
        <f ca="1">(AM81*ci_comp1)+(AM81*ct_comp1*'Time on treatment'!$D$19)</f>
        <v>5769.732345534303</v>
      </c>
      <c r="AP204" s="87" t="s">
        <v>174</v>
      </c>
      <c r="AQ204" s="111"/>
      <c r="AR204" s="111"/>
      <c r="AS204" s="111"/>
      <c r="AT204" s="111"/>
      <c r="AU204" s="110">
        <f ca="1">(AU81*ci_comp2)+(AU81*ct_comp2*'Time on treatment'!$D$20)</f>
        <v>43408.921475226627</v>
      </c>
      <c r="AX204" s="87" t="s">
        <v>174</v>
      </c>
      <c r="AY204" s="111"/>
      <c r="AZ204" s="111"/>
      <c r="BA204" s="111"/>
      <c r="BB204" s="111"/>
      <c r="BC204" s="110">
        <f ca="1">(BC81*ci_comp3)+(BC81*ct_comp3*'Time on treatment'!$D$21)</f>
        <v>239002.62552588631</v>
      </c>
      <c r="BF204" s="87" t="s">
        <v>174</v>
      </c>
      <c r="BG204" s="111"/>
      <c r="BH204" s="111"/>
      <c r="BI204" s="111"/>
      <c r="BJ204" s="111"/>
      <c r="BK204" s="110">
        <f ca="1">(BK81*ci_comp4)+(BK81*ct_comp4*'Time on treatment'!$D$22)</f>
        <v>45550.060711877115</v>
      </c>
      <c r="BN204" s="87" t="s">
        <v>174</v>
      </c>
      <c r="BO204" s="111"/>
      <c r="BP204" s="111"/>
      <c r="BQ204" s="111"/>
      <c r="BR204" s="111"/>
      <c r="BS204" s="110">
        <f ca="1">(BS81*ci_comp5)+(BS81*ct_comp5*'Time on treatment'!$D$23)</f>
        <v>8257.8411273974634</v>
      </c>
      <c r="BV204" s="87" t="s">
        <v>174</v>
      </c>
      <c r="BW204" s="111"/>
      <c r="BX204" s="111"/>
      <c r="BY204" s="111"/>
      <c r="BZ204" s="111"/>
      <c r="CA204" s="110">
        <f ca="1">(CA81*ci_comp6)+(CA81*ct_comp6*'Time on treatment'!$D$24)</f>
        <v>169.35364888827465</v>
      </c>
      <c r="CD204" s="87" t="s">
        <v>174</v>
      </c>
      <c r="CE204" s="111"/>
      <c r="CF204" s="111"/>
      <c r="CG204" s="111"/>
      <c r="CH204" s="111"/>
      <c r="CI204" s="110">
        <f ca="1">(CI81*ci_comp7)+(CI81*ct_comp7*'Time on treatment'!$D$25)</f>
        <v>12228.692569216977</v>
      </c>
      <c r="CL204" s="87" t="s">
        <v>174</v>
      </c>
      <c r="CM204" s="111"/>
      <c r="CN204" s="111"/>
      <c r="CO204" s="111"/>
      <c r="CP204" s="111"/>
      <c r="CQ204" s="110">
        <f ca="1">(CQ81*ci_comp8)+(CQ81*ct_comp8*'Time on treatment'!$D$26)</f>
        <v>52398.787018700619</v>
      </c>
      <c r="CT204" s="87" t="s">
        <v>174</v>
      </c>
      <c r="CU204" s="111"/>
      <c r="CV204" s="111"/>
      <c r="CW204" s="111"/>
      <c r="CX204" s="111"/>
      <c r="CY204" s="110">
        <f ca="1">(CY81*ci_comp9)+(CY81*ct_comp9*'Time on treatment'!$D$27)</f>
        <v>111654.1899210535</v>
      </c>
      <c r="DB204" s="87" t="s">
        <v>174</v>
      </c>
      <c r="DC204" s="111"/>
      <c r="DD204" s="111"/>
      <c r="DE204" s="111"/>
      <c r="DF204" s="111"/>
      <c r="DG204" s="110">
        <f ca="1">(DG81*ci_comp10)+(DG81*ct_comp10*'Time on treatment'!$D$28)</f>
        <v>0</v>
      </c>
    </row>
    <row r="205" spans="2:111" ht="15" thickBot="1">
      <c r="B205" s="87" t="s">
        <v>179</v>
      </c>
      <c r="C205" s="111"/>
      <c r="D205" s="111"/>
      <c r="E205" s="111"/>
      <c r="F205" s="111"/>
      <c r="G205" s="112"/>
      <c r="J205" s="87" t="s">
        <v>179</v>
      </c>
      <c r="K205" s="111"/>
      <c r="L205" s="111"/>
      <c r="M205" s="111"/>
      <c r="N205" s="111"/>
      <c r="O205" s="112"/>
      <c r="R205" s="87" t="s">
        <v>179</v>
      </c>
      <c r="S205" s="111"/>
      <c r="T205" s="111"/>
      <c r="U205" s="111"/>
      <c r="V205" s="111"/>
      <c r="W205" s="112"/>
      <c r="Z205" s="87" t="s">
        <v>179</v>
      </c>
      <c r="AA205" s="111"/>
      <c r="AB205" s="111"/>
      <c r="AC205" s="111"/>
      <c r="AD205" s="111"/>
      <c r="AE205" s="112"/>
      <c r="AH205" s="87" t="s">
        <v>179</v>
      </c>
      <c r="AI205" s="111"/>
      <c r="AJ205" s="111"/>
      <c r="AK205" s="111"/>
      <c r="AL205" s="111"/>
      <c r="AM205" s="112"/>
      <c r="AP205" s="87" t="s">
        <v>179</v>
      </c>
      <c r="AQ205" s="111"/>
      <c r="AR205" s="111"/>
      <c r="AS205" s="111"/>
      <c r="AT205" s="111"/>
      <c r="AU205" s="112"/>
      <c r="AX205" s="87" t="s">
        <v>179</v>
      </c>
      <c r="AY205" s="111"/>
      <c r="AZ205" s="111"/>
      <c r="BA205" s="111"/>
      <c r="BB205" s="111"/>
      <c r="BC205" s="112"/>
      <c r="BF205" s="87" t="s">
        <v>179</v>
      </c>
      <c r="BG205" s="111"/>
      <c r="BH205" s="111"/>
      <c r="BI205" s="111"/>
      <c r="BJ205" s="111"/>
      <c r="BK205" s="112"/>
      <c r="BN205" s="87" t="s">
        <v>179</v>
      </c>
      <c r="BO205" s="111"/>
      <c r="BP205" s="111"/>
      <c r="BQ205" s="111"/>
      <c r="BR205" s="111"/>
      <c r="BS205" s="112"/>
      <c r="BV205" s="87" t="s">
        <v>179</v>
      </c>
      <c r="BW205" s="111"/>
      <c r="BX205" s="111"/>
      <c r="BY205" s="111"/>
      <c r="BZ205" s="111"/>
      <c r="CA205" s="112"/>
      <c r="CD205" s="87" t="s">
        <v>179</v>
      </c>
      <c r="CE205" s="111"/>
      <c r="CF205" s="111"/>
      <c r="CG205" s="111"/>
      <c r="CH205" s="111"/>
      <c r="CI205" s="112"/>
      <c r="CL205" s="87" t="s">
        <v>179</v>
      </c>
      <c r="CM205" s="111"/>
      <c r="CN205" s="111"/>
      <c r="CO205" s="111"/>
      <c r="CP205" s="111"/>
      <c r="CQ205" s="112"/>
      <c r="CT205" s="87" t="s">
        <v>179</v>
      </c>
      <c r="CU205" s="111"/>
      <c r="CV205" s="111"/>
      <c r="CW205" s="111"/>
      <c r="CX205" s="111"/>
      <c r="CY205" s="112"/>
      <c r="DB205" s="87" t="s">
        <v>179</v>
      </c>
      <c r="DC205" s="111"/>
      <c r="DD205" s="111"/>
      <c r="DE205" s="111"/>
      <c r="DF205" s="111"/>
      <c r="DG205" s="112"/>
    </row>
    <row r="206" spans="2:111" ht="15" thickBot="1">
      <c r="B206" s="85" t="str">
        <f>B164</f>
        <v>Rosuvastatin 5mg</v>
      </c>
      <c r="C206" s="113">
        <f ca="1">SUM(C196:C204)</f>
        <v>13156420.811297385</v>
      </c>
      <c r="D206" s="113">
        <f ca="1">SUM(D196:D204)</f>
        <v>13372238.750727991</v>
      </c>
      <c r="E206" s="113">
        <f ca="1">SUM(E196:E204)</f>
        <v>13682401.029610608</v>
      </c>
      <c r="F206" s="113">
        <f ca="1">SUM(F196:F204)</f>
        <v>14096933.442490621</v>
      </c>
      <c r="G206" s="114">
        <f ca="1">SUM(G196:G204)</f>
        <v>14617936.923078671</v>
      </c>
      <c r="J206" s="85" t="str">
        <f>J164</f>
        <v>Rosuvastatin 10mg</v>
      </c>
      <c r="K206" s="113">
        <f ca="1">SUM(K196:K204)</f>
        <v>26183204.453482121</v>
      </c>
      <c r="L206" s="113">
        <f ca="1">SUM(L196:L204)</f>
        <v>26612713.764098607</v>
      </c>
      <c r="M206" s="113">
        <f ca="1">SUM(M196:M204)</f>
        <v>27229982.12896939</v>
      </c>
      <c r="N206" s="113">
        <f ca="1">SUM(N196:N204)</f>
        <v>28054962.347731661</v>
      </c>
      <c r="O206" s="114">
        <f ca="1">SUM(O196:O204)</f>
        <v>29091835.58619624</v>
      </c>
      <c r="R206" s="85" t="str">
        <f>R164</f>
        <v>Rosuvastatin 20mg</v>
      </c>
      <c r="S206" s="113">
        <f ca="1">SUM(S196:S204)</f>
        <v>0</v>
      </c>
      <c r="T206" s="113">
        <f ca="1">SUM(T196:T204)</f>
        <v>0</v>
      </c>
      <c r="U206" s="113">
        <f ca="1">SUM(U196:U204)</f>
        <v>0</v>
      </c>
      <c r="V206" s="113">
        <f ca="1">SUM(V196:V204)</f>
        <v>0</v>
      </c>
      <c r="W206" s="114">
        <f ca="1">SUM(W196:W204)</f>
        <v>0</v>
      </c>
      <c r="Z206" s="85" t="str">
        <f>Z164</f>
        <v>Rosuvastatin 40mg</v>
      </c>
      <c r="AA206" s="113">
        <f ca="1">SUM(AA196:AA204)</f>
        <v>0</v>
      </c>
      <c r="AB206" s="113">
        <f ca="1">SUM(AB196:AB204)</f>
        <v>0</v>
      </c>
      <c r="AC206" s="113">
        <f ca="1">SUM(AC196:AC204)</f>
        <v>0</v>
      </c>
      <c r="AD206" s="113">
        <f ca="1">SUM(AD196:AD204)</f>
        <v>0</v>
      </c>
      <c r="AE206" s="114">
        <f ca="1">SUM(AE196:AE204)</f>
        <v>0</v>
      </c>
      <c r="AH206" s="85" t="str">
        <f>AH164</f>
        <v>Atorvastatin 10mg</v>
      </c>
      <c r="AI206" s="113">
        <f ca="1">SUM(AI196:AI204)</f>
        <v>1311279.6090853959</v>
      </c>
      <c r="AJ206" s="113">
        <f ca="1">SUM(AJ196:AJ204)</f>
        <v>1320839.7121731823</v>
      </c>
      <c r="AK206" s="113">
        <f ca="1">SUM(AK196:AK204)</f>
        <v>1328854.2928791798</v>
      </c>
      <c r="AL206" s="113">
        <f ca="1">SUM(AL196:AL204)</f>
        <v>1335740.257637515</v>
      </c>
      <c r="AM206" s="114">
        <f ca="1">SUM(AM196:AM204)</f>
        <v>1341509.9899830492</v>
      </c>
      <c r="AP206" s="85" t="str">
        <f>AP164</f>
        <v>Atorvastatin 20mg</v>
      </c>
      <c r="AQ206" s="113">
        <f ca="1">SUM(AQ196:AQ204)</f>
        <v>9865489.4497679938</v>
      </c>
      <c r="AR206" s="113">
        <f ca="1">SUM(AR196:AR204)</f>
        <v>9937415.4489963613</v>
      </c>
      <c r="AS206" s="113">
        <f ca="1">SUM(AS196:AS204)</f>
        <v>9997713.6194639709</v>
      </c>
      <c r="AT206" s="113">
        <f ca="1">SUM(AT196:AT204)</f>
        <v>10049520.581308069</v>
      </c>
      <c r="AU206" s="114">
        <f ca="1">SUM(AU196:AU204)</f>
        <v>10092929.502783295</v>
      </c>
      <c r="AX206" s="85" t="str">
        <f>AX164</f>
        <v>Atorvastatin 40mg</v>
      </c>
      <c r="AY206" s="113">
        <f ca="1">SUM(AY196:AY204)</f>
        <v>54317817.638895214</v>
      </c>
      <c r="AZ206" s="113">
        <f ca="1">SUM(AZ196:AZ204)</f>
        <v>54713830.764191672</v>
      </c>
      <c r="BA206" s="113">
        <f ca="1">SUM(BA196:BA204)</f>
        <v>55045822.911575265</v>
      </c>
      <c r="BB206" s="113">
        <f ca="1">SUM(BB196:BB204)</f>
        <v>55331063.813225515</v>
      </c>
      <c r="BC206" s="114">
        <f ca="1">SUM(BC196:BC204)</f>
        <v>55570066.4387514</v>
      </c>
      <c r="BF206" s="85" t="str">
        <f>BF164</f>
        <v>Atorvastatin 80mg</v>
      </c>
      <c r="BG206" s="113">
        <f ca="1">SUM(BG196:BG204)</f>
        <v>10352103.395284122</v>
      </c>
      <c r="BH206" s="113">
        <f ca="1">SUM(BH196:BH204)</f>
        <v>10427577.13478913</v>
      </c>
      <c r="BI206" s="113">
        <f ca="1">SUM(BI196:BI204)</f>
        <v>10490849.504437434</v>
      </c>
      <c r="BJ206" s="113">
        <f ca="1">SUM(BJ196:BJ204)</f>
        <v>10545211.837734364</v>
      </c>
      <c r="BK206" s="114">
        <f ca="1">SUM(BK196:BK204)</f>
        <v>10590761.898446241</v>
      </c>
      <c r="BN206" s="85" t="str">
        <f>BN164</f>
        <v>Pravastatin</v>
      </c>
      <c r="BO206" s="113">
        <f ca="1">SUM(BO196:BO204)</f>
        <v>1042638.2635894753</v>
      </c>
      <c r="BP206" s="113">
        <f ca="1">SUM(BP196:BP204)</f>
        <v>1051189.9831204498</v>
      </c>
      <c r="BQ206" s="113">
        <f ca="1">SUM(BQ196:BQ204)</f>
        <v>1059383.3731141638</v>
      </c>
      <c r="BR206" s="113">
        <f ca="1">SUM(BR196:BR204)</f>
        <v>1067596.2328532585</v>
      </c>
      <c r="BS206" s="114">
        <f ca="1">SUM(BS196:BS204)</f>
        <v>1075854.073980656</v>
      </c>
      <c r="BV206" s="85" t="str">
        <f>BV164</f>
        <v>Simvastatin 5mg</v>
      </c>
      <c r="BW206" s="113">
        <f ca="1">SUM(BW196:BW204)</f>
        <v>38488.78478449375</v>
      </c>
      <c r="BX206" s="113">
        <f ca="1">SUM(BX196:BX204)</f>
        <v>38769.393700939901</v>
      </c>
      <c r="BY206" s="113">
        <f ca="1">SUM(BY196:BY204)</f>
        <v>39004.638319855505</v>
      </c>
      <c r="BZ206" s="113">
        <f ca="1">SUM(BZ196:BZ204)</f>
        <v>39206.755712500715</v>
      </c>
      <c r="CA206" s="114">
        <f ca="1">SUM(CA196:CA204)</f>
        <v>39376.10936138899</v>
      </c>
      <c r="CD206" s="85" t="str">
        <f>CD164</f>
        <v>Simvastatin 10mg</v>
      </c>
      <c r="CE206" s="113">
        <f ca="1">SUM(CE196:CE204)</f>
        <v>2779199.1467679399</v>
      </c>
      <c r="CF206" s="113">
        <f ca="1">SUM(CF196:CF204)</f>
        <v>2799461.362515443</v>
      </c>
      <c r="CG206" s="113">
        <f ca="1">SUM(CG196:CG204)</f>
        <v>2816447.911917631</v>
      </c>
      <c r="CH206" s="113">
        <f ca="1">SUM(CH196:CH204)</f>
        <v>2831042.4097260637</v>
      </c>
      <c r="CI206" s="114">
        <f ca="1">SUM(CI196:CI204)</f>
        <v>2843271.1022952809</v>
      </c>
      <c r="CL206" s="85" t="str">
        <f>CL164</f>
        <v>Simvastatin 20mg</v>
      </c>
      <c r="CM206" s="113">
        <f ca="1">SUM(CM196:CM204)</f>
        <v>11908604.566659126</v>
      </c>
      <c r="CN206" s="113">
        <f ca="1">SUM(CN196:CN204)</f>
        <v>11995426.238025123</v>
      </c>
      <c r="CO206" s="113">
        <f ca="1">SUM(CO196:CO204)</f>
        <v>12068211.989999007</v>
      </c>
      <c r="CP206" s="113">
        <f ca="1">SUM(CP196:CP204)</f>
        <v>12130748.027926235</v>
      </c>
      <c r="CQ206" s="114">
        <f ca="1">SUM(CQ196:CQ204)</f>
        <v>12183146.814944936</v>
      </c>
      <c r="CT206" s="85" t="str">
        <f>CT164</f>
        <v>Simvastatin 40mg</v>
      </c>
      <c r="CU206" s="113">
        <f ca="1">SUM(CU196:CU204)</f>
        <v>25400559.249601152</v>
      </c>
      <c r="CV206" s="113">
        <f ca="1">SUM(CV196:CV204)</f>
        <v>25585717.728075638</v>
      </c>
      <c r="CW206" s="113">
        <f ca="1">SUM(CW196:CW204)</f>
        <v>25740912.022212084</v>
      </c>
      <c r="CX206" s="113">
        <f ca="1">SUM(CX196:CX204)</f>
        <v>25874216.559920665</v>
      </c>
      <c r="CY206" s="114">
        <f ca="1">SUM(CY196:CY204)</f>
        <v>25985870.74984172</v>
      </c>
      <c r="DB206" s="85">
        <f>DB164</f>
        <v>0</v>
      </c>
      <c r="DC206" s="113">
        <f ca="1">SUM(DC196:DC204)</f>
        <v>0</v>
      </c>
      <c r="DD206" s="113">
        <f ca="1">SUM(DD196:DD204)</f>
        <v>0</v>
      </c>
      <c r="DE206" s="113">
        <f ca="1">SUM(DE196:DE204)</f>
        <v>0</v>
      </c>
      <c r="DF206" s="113">
        <f ca="1">SUM(DF196:DF204)</f>
        <v>0</v>
      </c>
      <c r="DG206" s="114">
        <f ca="1">SUM(DG196:DG204)</f>
        <v>0</v>
      </c>
    </row>
    <row r="209" spans="2:24" s="3" customFormat="1" ht="13.95" customHeight="1">
      <c r="B209" s="7"/>
      <c r="C209" s="7"/>
      <c r="D209" s="7"/>
      <c r="E209" s="7"/>
      <c r="F209" s="7"/>
      <c r="G209" s="7"/>
      <c r="H209" s="7"/>
      <c r="I209" s="7"/>
      <c r="J209" s="7"/>
      <c r="K209" s="7"/>
      <c r="L209" s="142"/>
      <c r="M209" s="142"/>
      <c r="N209" s="9"/>
      <c r="O209" s="9"/>
      <c r="P209" s="9"/>
      <c r="Q209" s="9"/>
      <c r="R209" s="9"/>
      <c r="S209" s="9"/>
      <c r="T209" s="9"/>
      <c r="U209" s="9"/>
      <c r="V209" s="9"/>
      <c r="W209" s="9"/>
      <c r="X209" s="9"/>
    </row>
    <row r="210" spans="2:24" s="3" customFormat="1">
      <c r="B210" s="65"/>
      <c r="C210" s="65"/>
      <c r="D210" s="65"/>
      <c r="E210" s="65"/>
      <c r="F210" s="65"/>
      <c r="G210" s="65"/>
      <c r="H210" s="65"/>
      <c r="I210" s="65"/>
      <c r="J210" s="65"/>
      <c r="K210" s="65"/>
      <c r="L210" s="65"/>
      <c r="M210" s="65"/>
    </row>
    <row r="211" spans="2:24" s="3" customFormat="1">
      <c r="B211" s="406" t="s">
        <v>77</v>
      </c>
      <c r="C211" s="406"/>
      <c r="D211" s="406"/>
      <c r="E211" s="406"/>
      <c r="F211" s="406"/>
      <c r="G211" s="406"/>
      <c r="H211" s="406"/>
      <c r="I211" s="406"/>
      <c r="J211" s="406"/>
      <c r="K211" s="406"/>
      <c r="L211" s="406"/>
      <c r="M211" s="406"/>
    </row>
    <row r="212" spans="2:24" s="3" customFormat="1">
      <c r="B212" s="406"/>
      <c r="C212" s="406"/>
      <c r="D212" s="406"/>
      <c r="E212" s="406"/>
      <c r="F212" s="406"/>
      <c r="G212" s="406"/>
      <c r="H212" s="406"/>
      <c r="I212" s="406"/>
      <c r="J212" s="406"/>
      <c r="K212" s="406"/>
      <c r="L212" s="406"/>
      <c r="M212" s="406"/>
    </row>
    <row r="213" spans="2:24" s="1" customFormat="1" ht="85.95" customHeight="1">
      <c r="B213" s="405" t="e" vm="1">
        <v>#VALUE!</v>
      </c>
      <c r="C213" s="405"/>
      <c r="D213" s="405"/>
      <c r="E213" s="405"/>
      <c r="F213" s="405"/>
      <c r="G213" s="405"/>
      <c r="H213" s="405"/>
      <c r="I213" s="405"/>
      <c r="J213" s="405"/>
      <c r="K213" s="405"/>
      <c r="L213" s="405"/>
      <c r="M213" s="405"/>
    </row>
  </sheetData>
  <sheetProtection algorithmName="SHA-512" hashValue="99SGX0lu/nSkWcHo/bFTJGp0l3oyJZsXKSCTecJgwxz6U1+XYkIT85su/7V6bIAu3FRCLPXTzQjAYrYNIhsbmw==" saltValue="xoAIPQT6EaCgId4ZuXBxWA==" spinCount="100000" sheet="1" objects="1" scenarios="1" formatColumns="0"/>
  <mergeCells count="332">
    <mergeCell ref="BV4:CB4"/>
    <mergeCell ref="CD4:CJ4"/>
    <mergeCell ref="CL4:CR4"/>
    <mergeCell ref="CT4:CZ4"/>
    <mergeCell ref="DB4:DH4"/>
    <mergeCell ref="AX4:BD4"/>
    <mergeCell ref="BF4:BL4"/>
    <mergeCell ref="BN4:BT4"/>
    <mergeCell ref="R5:X5"/>
    <mergeCell ref="AP5:AV5"/>
    <mergeCell ref="AX5:BD5"/>
    <mergeCell ref="BN5:BT5"/>
    <mergeCell ref="CD5:CJ5"/>
    <mergeCell ref="CT5:CZ5"/>
    <mergeCell ref="DB5:DH5"/>
    <mergeCell ref="X8:X10"/>
    <mergeCell ref="X11:X13"/>
    <mergeCell ref="X14:X16"/>
    <mergeCell ref="B91:G91"/>
    <mergeCell ref="B105:G105"/>
    <mergeCell ref="B5:H5"/>
    <mergeCell ref="H8:H10"/>
    <mergeCell ref="H11:H13"/>
    <mergeCell ref="H14:H16"/>
    <mergeCell ref="J5:P5"/>
    <mergeCell ref="P8:P10"/>
    <mergeCell ref="P11:P13"/>
    <mergeCell ref="P14:P16"/>
    <mergeCell ref="H17:H19"/>
    <mergeCell ref="P17:P19"/>
    <mergeCell ref="J105:O105"/>
    <mergeCell ref="J91:O91"/>
    <mergeCell ref="X17:X19"/>
    <mergeCell ref="R91:W91"/>
    <mergeCell ref="R105:W105"/>
    <mergeCell ref="B26:G26"/>
    <mergeCell ref="J26:O26"/>
    <mergeCell ref="R26:W26"/>
    <mergeCell ref="B41:G41"/>
    <mergeCell ref="Z180:AE180"/>
    <mergeCell ref="B133:G133"/>
    <mergeCell ref="B194:G194"/>
    <mergeCell ref="B119:G119"/>
    <mergeCell ref="J119:O119"/>
    <mergeCell ref="J133:O133"/>
    <mergeCell ref="B180:G180"/>
    <mergeCell ref="B152:G152"/>
    <mergeCell ref="B166:G166"/>
    <mergeCell ref="J152:O152"/>
    <mergeCell ref="J166:O166"/>
    <mergeCell ref="J180:O180"/>
    <mergeCell ref="J194:O194"/>
    <mergeCell ref="R119:W119"/>
    <mergeCell ref="R194:W194"/>
    <mergeCell ref="R133:W133"/>
    <mergeCell ref="R152:W152"/>
    <mergeCell ref="R166:W166"/>
    <mergeCell ref="R180:W180"/>
    <mergeCell ref="Z194:AE194"/>
    <mergeCell ref="B149:H149"/>
    <mergeCell ref="J149:P149"/>
    <mergeCell ref="R149:X149"/>
    <mergeCell ref="Z149:AF149"/>
    <mergeCell ref="AH152:AM152"/>
    <mergeCell ref="AH166:AM166"/>
    <mergeCell ref="AH180:AM180"/>
    <mergeCell ref="Z119:AE119"/>
    <mergeCell ref="Z133:AE133"/>
    <mergeCell ref="Z152:AE152"/>
    <mergeCell ref="Z166:AE166"/>
    <mergeCell ref="AH194:AM194"/>
    <mergeCell ref="Z5:AF5"/>
    <mergeCell ref="AF8:AF10"/>
    <mergeCell ref="AF11:AF13"/>
    <mergeCell ref="AF14:AF16"/>
    <mergeCell ref="AF17:AF19"/>
    <mergeCell ref="Z91:AE91"/>
    <mergeCell ref="AH5:AN5"/>
    <mergeCell ref="AN8:AN10"/>
    <mergeCell ref="AN11:AN13"/>
    <mergeCell ref="AN14:AN16"/>
    <mergeCell ref="AN17:AN19"/>
    <mergeCell ref="AH91:AM91"/>
    <mergeCell ref="AH105:AM105"/>
    <mergeCell ref="AH119:AM119"/>
    <mergeCell ref="AH133:AM133"/>
    <mergeCell ref="Z105:AE105"/>
    <mergeCell ref="AV8:AV10"/>
    <mergeCell ref="AV11:AV13"/>
    <mergeCell ref="AV14:AV16"/>
    <mergeCell ref="AV17:AV19"/>
    <mergeCell ref="AP91:AU91"/>
    <mergeCell ref="AP105:AU105"/>
    <mergeCell ref="AP119:AU119"/>
    <mergeCell ref="AP133:AU133"/>
    <mergeCell ref="AP56:AU56"/>
    <mergeCell ref="AP88:AV88"/>
    <mergeCell ref="AP71:AU71"/>
    <mergeCell ref="AP152:AU152"/>
    <mergeCell ref="AP166:AU166"/>
    <mergeCell ref="AP180:AU180"/>
    <mergeCell ref="AP194:AU194"/>
    <mergeCell ref="AX194:BC194"/>
    <mergeCell ref="AX91:BC91"/>
    <mergeCell ref="AX105:BC105"/>
    <mergeCell ref="AX119:BC119"/>
    <mergeCell ref="AX133:BC133"/>
    <mergeCell ref="AX152:BC152"/>
    <mergeCell ref="AX166:BC166"/>
    <mergeCell ref="AX180:BC180"/>
    <mergeCell ref="BD8:BD10"/>
    <mergeCell ref="BD11:BD13"/>
    <mergeCell ref="BD14:BD16"/>
    <mergeCell ref="BD17:BD19"/>
    <mergeCell ref="BF5:BL5"/>
    <mergeCell ref="BL8:BL10"/>
    <mergeCell ref="BL11:BL13"/>
    <mergeCell ref="BL14:BL16"/>
    <mergeCell ref="BL17:BL19"/>
    <mergeCell ref="BF180:BK180"/>
    <mergeCell ref="BF194:BK194"/>
    <mergeCell ref="BF91:BK91"/>
    <mergeCell ref="BF105:BK105"/>
    <mergeCell ref="BF119:BK119"/>
    <mergeCell ref="BF133:BK133"/>
    <mergeCell ref="BN194:BS194"/>
    <mergeCell ref="BN91:BS91"/>
    <mergeCell ref="BN105:BS105"/>
    <mergeCell ref="BN119:BS119"/>
    <mergeCell ref="BN133:BS133"/>
    <mergeCell ref="BN152:BS152"/>
    <mergeCell ref="BN166:BS166"/>
    <mergeCell ref="BN180:BS180"/>
    <mergeCell ref="BT8:BT10"/>
    <mergeCell ref="BT11:BT13"/>
    <mergeCell ref="BT14:BT16"/>
    <mergeCell ref="BT17:BT19"/>
    <mergeCell ref="BV5:CB5"/>
    <mergeCell ref="CB8:CB10"/>
    <mergeCell ref="CB11:CB13"/>
    <mergeCell ref="CB14:CB16"/>
    <mergeCell ref="CB17:CB19"/>
    <mergeCell ref="BV91:CA91"/>
    <mergeCell ref="BV105:CA105"/>
    <mergeCell ref="BV119:CA119"/>
    <mergeCell ref="BV133:CA133"/>
    <mergeCell ref="CD194:CI194"/>
    <mergeCell ref="CD91:CI91"/>
    <mergeCell ref="CD105:CI105"/>
    <mergeCell ref="CD119:CI119"/>
    <mergeCell ref="CD133:CI133"/>
    <mergeCell ref="CD152:CI152"/>
    <mergeCell ref="CD166:CI166"/>
    <mergeCell ref="CD180:CI180"/>
    <mergeCell ref="BV150:CA150"/>
    <mergeCell ref="CD150:CI150"/>
    <mergeCell ref="CJ8:CJ10"/>
    <mergeCell ref="CJ11:CJ13"/>
    <mergeCell ref="CJ14:CJ16"/>
    <mergeCell ref="CJ17:CJ19"/>
    <mergeCell ref="CL5:CR5"/>
    <mergeCell ref="CR8:CR10"/>
    <mergeCell ref="CR11:CR13"/>
    <mergeCell ref="CR14:CR16"/>
    <mergeCell ref="CR17:CR19"/>
    <mergeCell ref="CL119:CQ119"/>
    <mergeCell ref="CL133:CQ133"/>
    <mergeCell ref="CT91:CY91"/>
    <mergeCell ref="CT105:CY105"/>
    <mergeCell ref="CT119:CY119"/>
    <mergeCell ref="CT133:CY133"/>
    <mergeCell ref="CT194:CY194"/>
    <mergeCell ref="CL150:CQ150"/>
    <mergeCell ref="CL149:CR149"/>
    <mergeCell ref="DH8:DH10"/>
    <mergeCell ref="DH11:DH13"/>
    <mergeCell ref="DH14:DH16"/>
    <mergeCell ref="DH17:DH19"/>
    <mergeCell ref="DB149:DH149"/>
    <mergeCell ref="DB150:DG150"/>
    <mergeCell ref="DB26:DG26"/>
    <mergeCell ref="CZ8:CZ10"/>
    <mergeCell ref="CZ11:CZ13"/>
    <mergeCell ref="CZ14:CZ16"/>
    <mergeCell ref="CZ17:CZ19"/>
    <mergeCell ref="CT149:CZ149"/>
    <mergeCell ref="Z26:AE26"/>
    <mergeCell ref="AH26:AM26"/>
    <mergeCell ref="AP26:AU26"/>
    <mergeCell ref="AX26:BC26"/>
    <mergeCell ref="BF26:BK26"/>
    <mergeCell ref="BN26:BS26"/>
    <mergeCell ref="DB194:DG194"/>
    <mergeCell ref="DB91:DG91"/>
    <mergeCell ref="DB105:DG105"/>
    <mergeCell ref="DB119:DG119"/>
    <mergeCell ref="DB133:DG133"/>
    <mergeCell ref="CT152:CY152"/>
    <mergeCell ref="CT166:CY166"/>
    <mergeCell ref="CT180:CY180"/>
    <mergeCell ref="DB152:DG152"/>
    <mergeCell ref="DB166:DG166"/>
    <mergeCell ref="DB180:DG180"/>
    <mergeCell ref="CT150:CY150"/>
    <mergeCell ref="CL152:CQ152"/>
    <mergeCell ref="CL166:CQ166"/>
    <mergeCell ref="CL180:CQ180"/>
    <mergeCell ref="CL194:CQ194"/>
    <mergeCell ref="CL91:CQ91"/>
    <mergeCell ref="CL105:CQ105"/>
    <mergeCell ref="AX71:BC71"/>
    <mergeCell ref="BF71:BK71"/>
    <mergeCell ref="BN71:BS71"/>
    <mergeCell ref="AX56:BC56"/>
    <mergeCell ref="BF56:BK56"/>
    <mergeCell ref="BN56:BS56"/>
    <mergeCell ref="BV56:CA56"/>
    <mergeCell ref="CD56:CI56"/>
    <mergeCell ref="J41:O41"/>
    <mergeCell ref="R41:W41"/>
    <mergeCell ref="Z41:AE41"/>
    <mergeCell ref="AH41:AM41"/>
    <mergeCell ref="AP41:AU41"/>
    <mergeCell ref="AX41:BC41"/>
    <mergeCell ref="BF41:BK41"/>
    <mergeCell ref="BN41:BS41"/>
    <mergeCell ref="B56:G56"/>
    <mergeCell ref="J56:O56"/>
    <mergeCell ref="R56:W56"/>
    <mergeCell ref="Z56:AE56"/>
    <mergeCell ref="AH56:AM56"/>
    <mergeCell ref="B71:G71"/>
    <mergeCell ref="J71:O71"/>
    <mergeCell ref="R71:W71"/>
    <mergeCell ref="Z71:AE71"/>
    <mergeCell ref="AH71:AM71"/>
    <mergeCell ref="B24:G24"/>
    <mergeCell ref="J24:O24"/>
    <mergeCell ref="R24:W24"/>
    <mergeCell ref="Z24:AE24"/>
    <mergeCell ref="AH24:AM24"/>
    <mergeCell ref="AP24:AU24"/>
    <mergeCell ref="AX24:BC24"/>
    <mergeCell ref="BF24:BK24"/>
    <mergeCell ref="BN24:BS24"/>
    <mergeCell ref="B89:G89"/>
    <mergeCell ref="J89:O89"/>
    <mergeCell ref="R89:W89"/>
    <mergeCell ref="Z89:AE89"/>
    <mergeCell ref="AH89:AM89"/>
    <mergeCell ref="AP89:AU89"/>
    <mergeCell ref="AX89:BC89"/>
    <mergeCell ref="BF89:BK89"/>
    <mergeCell ref="BN89:BS89"/>
    <mergeCell ref="CL24:CQ24"/>
    <mergeCell ref="CT24:CY24"/>
    <mergeCell ref="DB24:DG24"/>
    <mergeCell ref="BV71:CA71"/>
    <mergeCell ref="CD71:CI71"/>
    <mergeCell ref="CL71:CQ71"/>
    <mergeCell ref="CT71:CY71"/>
    <mergeCell ref="DB71:DG71"/>
    <mergeCell ref="CL56:CQ56"/>
    <mergeCell ref="CT56:CY56"/>
    <mergeCell ref="DB56:DG56"/>
    <mergeCell ref="CT26:CY26"/>
    <mergeCell ref="BV41:CA41"/>
    <mergeCell ref="CD41:CI41"/>
    <mergeCell ref="CL41:CQ41"/>
    <mergeCell ref="CT41:CY41"/>
    <mergeCell ref="DB41:DG41"/>
    <mergeCell ref="BV26:CA26"/>
    <mergeCell ref="CD26:CI26"/>
    <mergeCell ref="CL26:CQ26"/>
    <mergeCell ref="BV89:CA89"/>
    <mergeCell ref="CD89:CI89"/>
    <mergeCell ref="CL89:CQ89"/>
    <mergeCell ref="CT89:CY89"/>
    <mergeCell ref="DB89:DG89"/>
    <mergeCell ref="BV88:CB88"/>
    <mergeCell ref="CD88:CJ88"/>
    <mergeCell ref="CL88:CR88"/>
    <mergeCell ref="CT88:CZ88"/>
    <mergeCell ref="DB88:DH88"/>
    <mergeCell ref="BV23:CB23"/>
    <mergeCell ref="CD23:CJ23"/>
    <mergeCell ref="CL23:CR23"/>
    <mergeCell ref="CT23:CZ23"/>
    <mergeCell ref="DB23:DH23"/>
    <mergeCell ref="B88:H88"/>
    <mergeCell ref="J88:P88"/>
    <mergeCell ref="R88:X88"/>
    <mergeCell ref="Z88:AF88"/>
    <mergeCell ref="AH88:AN88"/>
    <mergeCell ref="B23:H23"/>
    <mergeCell ref="J23:P23"/>
    <mergeCell ref="R23:X23"/>
    <mergeCell ref="Z23:AF23"/>
    <mergeCell ref="AH23:AN23"/>
    <mergeCell ref="AP23:AV23"/>
    <mergeCell ref="AX23:BD23"/>
    <mergeCell ref="BF23:BL23"/>
    <mergeCell ref="BN23:BT23"/>
    <mergeCell ref="AX88:BD88"/>
    <mergeCell ref="BF88:BL88"/>
    <mergeCell ref="BN88:BT88"/>
    <mergeCell ref="BV24:CA24"/>
    <mergeCell ref="CD24:CI24"/>
    <mergeCell ref="B211:M212"/>
    <mergeCell ref="B213:M213"/>
    <mergeCell ref="AH149:AN149"/>
    <mergeCell ref="AP149:AV149"/>
    <mergeCell ref="AX149:BD149"/>
    <mergeCell ref="BF149:BL149"/>
    <mergeCell ref="BN149:BT149"/>
    <mergeCell ref="BV149:CB149"/>
    <mergeCell ref="CD149:CJ149"/>
    <mergeCell ref="B150:G150"/>
    <mergeCell ref="J150:O150"/>
    <mergeCell ref="R150:W150"/>
    <mergeCell ref="Z150:AE150"/>
    <mergeCell ref="AH150:AM150"/>
    <mergeCell ref="AP150:AU150"/>
    <mergeCell ref="AX150:BC150"/>
    <mergeCell ref="BF150:BK150"/>
    <mergeCell ref="BN150:BS150"/>
    <mergeCell ref="BV152:CA152"/>
    <mergeCell ref="BV166:CA166"/>
    <mergeCell ref="BV180:CA180"/>
    <mergeCell ref="BV194:CA194"/>
    <mergeCell ref="BF152:BK152"/>
    <mergeCell ref="BF166:BK166"/>
  </mergeCells>
  <phoneticPr fontId="2" type="noConversion"/>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2AD9D-CA46-41C8-9140-F7E9A78AB8F6}">
  <sheetPr codeName="Planilha4">
    <tabColor rgb="FF0EB1BA"/>
  </sheetPr>
  <dimension ref="B1:DI77"/>
  <sheetViews>
    <sheetView showGridLines="0" showRowColHeaders="0" workbookViewId="0">
      <selection activeCell="K26" sqref="K26"/>
    </sheetView>
  </sheetViews>
  <sheetFormatPr defaultColWidth="8.77734375" defaultRowHeight="14.4"/>
  <cols>
    <col min="1" max="1" width="5" style="79" customWidth="1"/>
    <col min="2" max="2" width="15.44140625" style="79" customWidth="1"/>
    <col min="3" max="3" width="12.44140625" style="79" customWidth="1"/>
    <col min="4" max="4" width="14.44140625" style="79" customWidth="1"/>
    <col min="5" max="5" width="15.109375" style="79" customWidth="1"/>
    <col min="6" max="6" width="12.44140625" style="79" customWidth="1"/>
    <col min="7" max="7" width="12.109375" style="79" customWidth="1"/>
    <col min="8" max="9" width="3.44140625" style="77" customWidth="1"/>
    <col min="10" max="10" width="14.6640625" style="79" customWidth="1"/>
    <col min="11" max="11" width="15.5546875" style="79" customWidth="1"/>
    <col min="12" max="15" width="14.44140625" style="79" customWidth="1"/>
    <col min="16" max="17" width="3.44140625" style="77" customWidth="1"/>
    <col min="18" max="18" width="13.33203125" style="79" customWidth="1"/>
    <col min="19" max="19" width="14.77734375" style="79" customWidth="1"/>
    <col min="20" max="20" width="13.44140625" style="79" customWidth="1"/>
    <col min="21" max="21" width="16.44140625" style="79" customWidth="1"/>
    <col min="22" max="22" width="15.44140625" style="79" customWidth="1"/>
    <col min="23" max="23" width="13.109375" style="79" customWidth="1"/>
    <col min="24" max="25" width="3.44140625" style="77" customWidth="1"/>
    <col min="26" max="26" width="11.77734375" style="79" customWidth="1"/>
    <col min="27" max="31" width="15.109375" style="79" customWidth="1"/>
    <col min="32" max="33" width="3.44140625" style="77" customWidth="1"/>
    <col min="34" max="34" width="17.77734375" style="79" customWidth="1"/>
    <col min="35" max="39" width="15.6640625" style="79" customWidth="1"/>
    <col min="40" max="41" width="3.44140625" style="77" customWidth="1"/>
    <col min="42" max="42" width="13.77734375" style="79" customWidth="1"/>
    <col min="43" max="47" width="16.44140625" style="79" customWidth="1"/>
    <col min="48" max="49" width="3.44140625" style="77" customWidth="1"/>
    <col min="50" max="50" width="15.6640625" style="79" customWidth="1"/>
    <col min="51" max="55" width="16.6640625" style="79" customWidth="1"/>
    <col min="56" max="57" width="3.44140625" style="77" customWidth="1"/>
    <col min="58" max="58" width="15.109375" style="79" customWidth="1"/>
    <col min="59" max="63" width="14.6640625" style="79" customWidth="1"/>
    <col min="64" max="65" width="3.44140625" style="77" customWidth="1"/>
    <col min="66" max="66" width="15.33203125" style="79" customWidth="1"/>
    <col min="67" max="71" width="15.44140625" style="79" customWidth="1"/>
    <col min="72" max="73" width="3.44140625" style="77" customWidth="1"/>
    <col min="74" max="74" width="14.33203125" style="79" customWidth="1"/>
    <col min="75" max="79" width="15" style="79" customWidth="1"/>
    <col min="80" max="81" width="3.44140625" style="77" customWidth="1"/>
    <col min="82" max="82" width="16.44140625" style="79" customWidth="1"/>
    <col min="83" max="87" width="17.44140625" style="79" customWidth="1"/>
    <col min="88" max="89" width="3.44140625" style="77" customWidth="1"/>
    <col min="90" max="90" width="14.6640625" style="79" customWidth="1"/>
    <col min="91" max="95" width="17.44140625" style="79" customWidth="1"/>
    <col min="96" max="97" width="3.44140625" style="77" customWidth="1"/>
    <col min="98" max="98" width="13.33203125" style="79" customWidth="1"/>
    <col min="99" max="103" width="18.109375" style="79" customWidth="1"/>
    <col min="104" max="105" width="3.44140625" style="77" customWidth="1"/>
    <col min="106" max="106" width="14.109375" style="79" customWidth="1"/>
    <col min="107" max="111" width="16.6640625" style="79" customWidth="1"/>
    <col min="112" max="113" width="3.44140625" style="77" customWidth="1"/>
    <col min="114" max="16384" width="8.77734375" style="79"/>
  </cols>
  <sheetData>
    <row r="1" spans="2:113" s="67" customFormat="1" ht="33.6">
      <c r="B1" s="104" t="s">
        <v>164</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502"/>
      <c r="AY4" s="502"/>
      <c r="AZ4" s="502"/>
      <c r="BA4" s="502"/>
      <c r="BB4" s="502"/>
      <c r="BC4" s="502"/>
      <c r="BD4" s="502"/>
      <c r="BE4" s="77"/>
      <c r="BF4" s="502"/>
      <c r="BG4" s="502"/>
      <c r="BH4" s="502"/>
      <c r="BI4" s="502"/>
      <c r="BJ4" s="502"/>
      <c r="BK4" s="502"/>
      <c r="BL4" s="502"/>
      <c r="BM4" s="77"/>
      <c r="BN4" s="502"/>
      <c r="BO4" s="502"/>
      <c r="BP4" s="502"/>
      <c r="BQ4" s="502"/>
      <c r="BR4" s="502"/>
      <c r="BS4" s="502"/>
      <c r="BT4" s="502"/>
      <c r="BU4" s="77"/>
      <c r="BV4" s="502"/>
      <c r="BW4" s="502"/>
      <c r="BX4" s="502"/>
      <c r="BY4" s="502"/>
      <c r="BZ4" s="502"/>
      <c r="CA4" s="502"/>
      <c r="CB4" s="502"/>
      <c r="CC4" s="77"/>
      <c r="CD4" s="502"/>
      <c r="CE4" s="502"/>
      <c r="CF4" s="502"/>
      <c r="CG4" s="502"/>
      <c r="CH4" s="502"/>
      <c r="CI4" s="502"/>
      <c r="CJ4" s="502"/>
      <c r="CK4" s="77"/>
      <c r="CL4" s="502"/>
      <c r="CM4" s="502"/>
      <c r="CN4" s="502"/>
      <c r="CO4" s="502"/>
      <c r="CP4" s="502"/>
      <c r="CQ4" s="502"/>
      <c r="CR4" s="502"/>
      <c r="CS4" s="77"/>
      <c r="CT4" s="502"/>
      <c r="CU4" s="502"/>
      <c r="CV4" s="502"/>
      <c r="CW4" s="502"/>
      <c r="CX4" s="502"/>
      <c r="CY4" s="502"/>
      <c r="CZ4" s="502"/>
      <c r="DA4" s="77"/>
      <c r="DB4" s="502"/>
      <c r="DC4" s="502"/>
      <c r="DD4" s="502"/>
      <c r="DE4" s="502"/>
      <c r="DF4" s="502"/>
      <c r="DG4" s="502"/>
      <c r="DH4" s="502"/>
      <c r="DI4" s="77"/>
    </row>
    <row r="5" spans="2:113" s="76" customFormat="1" ht="21">
      <c r="B5" s="502" t="str">
        <f>intervencao1</f>
        <v>Rosuvastatin 5mg</v>
      </c>
      <c r="C5" s="502"/>
      <c r="D5" s="502"/>
      <c r="E5" s="502"/>
      <c r="F5" s="502"/>
      <c r="G5" s="502"/>
      <c r="H5" s="502"/>
      <c r="I5" s="77"/>
      <c r="J5" s="502" t="str">
        <f>intervencao2</f>
        <v>Rosuvastatin 10mg</v>
      </c>
      <c r="K5" s="502"/>
      <c r="L5" s="502"/>
      <c r="M5" s="502"/>
      <c r="N5" s="502"/>
      <c r="O5" s="502"/>
      <c r="P5" s="502"/>
      <c r="Q5" s="77"/>
      <c r="R5" s="502" t="str">
        <f>intervencao3</f>
        <v>Rosuvastatin 20mg</v>
      </c>
      <c r="S5" s="502"/>
      <c r="T5" s="502"/>
      <c r="U5" s="502"/>
      <c r="V5" s="502"/>
      <c r="W5" s="502"/>
      <c r="X5" s="502"/>
      <c r="Y5" s="77"/>
      <c r="Z5" s="502" t="str">
        <f>intervencao4</f>
        <v>Rosuvastatin 40mg</v>
      </c>
      <c r="AA5" s="502"/>
      <c r="AB5" s="502"/>
      <c r="AC5" s="502"/>
      <c r="AD5" s="502"/>
      <c r="AE5" s="502"/>
      <c r="AF5" s="502"/>
      <c r="AG5" s="77"/>
      <c r="AH5" s="502" t="str">
        <f>comparador1</f>
        <v>Atorvastatin 10mg</v>
      </c>
      <c r="AI5" s="502"/>
      <c r="AJ5" s="502"/>
      <c r="AK5" s="502"/>
      <c r="AL5" s="502"/>
      <c r="AM5" s="502"/>
      <c r="AN5" s="502"/>
      <c r="AO5" s="77"/>
      <c r="AP5" s="502" t="str">
        <f>comparador2</f>
        <v>Atorvastatin 20mg</v>
      </c>
      <c r="AQ5" s="502"/>
      <c r="AR5" s="502"/>
      <c r="AS5" s="502"/>
      <c r="AT5" s="502"/>
      <c r="AU5" s="502"/>
      <c r="AV5" s="502"/>
      <c r="AW5" s="77"/>
      <c r="AX5" s="502" t="str">
        <f>comparador3</f>
        <v>Atorvastatin 40mg</v>
      </c>
      <c r="AY5" s="502"/>
      <c r="AZ5" s="502"/>
      <c r="BA5" s="502"/>
      <c r="BB5" s="502"/>
      <c r="BC5" s="502"/>
      <c r="BD5" s="502"/>
      <c r="BE5" s="77"/>
      <c r="BF5" s="502" t="str">
        <f>comparador4</f>
        <v>Atorvastatin 80mg</v>
      </c>
      <c r="BG5" s="502"/>
      <c r="BH5" s="502"/>
      <c r="BI5" s="502"/>
      <c r="BJ5" s="502"/>
      <c r="BK5" s="502"/>
      <c r="BL5" s="502"/>
      <c r="BM5" s="77"/>
      <c r="BN5" s="502" t="str">
        <f>comparador5</f>
        <v>Pravastatin</v>
      </c>
      <c r="BO5" s="502"/>
      <c r="BP5" s="502"/>
      <c r="BQ5" s="502"/>
      <c r="BR5" s="502"/>
      <c r="BS5" s="502"/>
      <c r="BT5" s="502"/>
      <c r="BU5" s="77"/>
      <c r="BV5" s="502" t="str">
        <f>comparador6</f>
        <v>Simvastatin 5mg</v>
      </c>
      <c r="BW5" s="502"/>
      <c r="BX5" s="502"/>
      <c r="BY5" s="502"/>
      <c r="BZ5" s="502"/>
      <c r="CA5" s="502"/>
      <c r="CB5" s="502"/>
      <c r="CC5" s="77"/>
      <c r="CD5" s="502" t="str">
        <f>comparador7</f>
        <v>Simvastatin 10mg</v>
      </c>
      <c r="CE5" s="502"/>
      <c r="CF5" s="502"/>
      <c r="CG5" s="502"/>
      <c r="CH5" s="502"/>
      <c r="CI5" s="502"/>
      <c r="CJ5" s="502"/>
      <c r="CK5" s="77"/>
      <c r="CL5" s="502" t="str">
        <f>comparador8</f>
        <v>Simvastatin 20mg</v>
      </c>
      <c r="CM5" s="502"/>
      <c r="CN5" s="502"/>
      <c r="CO5" s="502"/>
      <c r="CP5" s="502"/>
      <c r="CQ5" s="502"/>
      <c r="CR5" s="502"/>
      <c r="CS5" s="77"/>
      <c r="CT5" s="502" t="str">
        <f>comparador9</f>
        <v>Simvastatin 40mg</v>
      </c>
      <c r="CU5" s="502"/>
      <c r="CV5" s="502"/>
      <c r="CW5" s="502"/>
      <c r="CX5" s="502"/>
      <c r="CY5" s="502"/>
      <c r="CZ5" s="502"/>
      <c r="DA5" s="77"/>
      <c r="DB5" s="502">
        <f>comparador10</f>
        <v>0</v>
      </c>
      <c r="DC5" s="502"/>
      <c r="DD5" s="502"/>
      <c r="DE5" s="502"/>
      <c r="DF5" s="502"/>
      <c r="DG5" s="502"/>
      <c r="DH5" s="502"/>
      <c r="DI5" s="77"/>
    </row>
    <row r="6" spans="2:113" ht="16.2" thickBot="1">
      <c r="B6" s="78"/>
      <c r="C6" s="78">
        <f>ano_1</f>
        <v>2026</v>
      </c>
      <c r="D6" s="78">
        <f>C6+1</f>
        <v>2027</v>
      </c>
      <c r="E6" s="78">
        <f t="shared" ref="E6:G6" si="0">D6+1</f>
        <v>2028</v>
      </c>
      <c r="F6" s="78">
        <f t="shared" si="0"/>
        <v>2029</v>
      </c>
      <c r="G6" s="78">
        <f t="shared" si="0"/>
        <v>2030</v>
      </c>
      <c r="J6" s="78"/>
      <c r="K6" s="78">
        <f>ano_1</f>
        <v>2026</v>
      </c>
      <c r="L6" s="78">
        <f>K6+1</f>
        <v>2027</v>
      </c>
      <c r="M6" s="78">
        <f t="shared" ref="M6:O6" si="1">L6+1</f>
        <v>2028</v>
      </c>
      <c r="N6" s="78">
        <f t="shared" si="1"/>
        <v>2029</v>
      </c>
      <c r="O6" s="78">
        <f t="shared" si="1"/>
        <v>2030</v>
      </c>
      <c r="R6" s="78"/>
      <c r="S6" s="78">
        <f>ano_1</f>
        <v>2026</v>
      </c>
      <c r="T6" s="78">
        <f>S6+1</f>
        <v>2027</v>
      </c>
      <c r="U6" s="78">
        <f t="shared" ref="U6:W6" si="2">T6+1</f>
        <v>2028</v>
      </c>
      <c r="V6" s="78">
        <f t="shared" si="2"/>
        <v>2029</v>
      </c>
      <c r="W6" s="78">
        <f t="shared" si="2"/>
        <v>2030</v>
      </c>
      <c r="Z6" s="78"/>
      <c r="AA6" s="78">
        <f>ano_1</f>
        <v>2026</v>
      </c>
      <c r="AB6" s="78">
        <f>AA6+1</f>
        <v>2027</v>
      </c>
      <c r="AC6" s="78">
        <f t="shared" ref="AC6:AE6" si="3">AB6+1</f>
        <v>2028</v>
      </c>
      <c r="AD6" s="78">
        <f t="shared" si="3"/>
        <v>2029</v>
      </c>
      <c r="AE6" s="78">
        <f t="shared" si="3"/>
        <v>2030</v>
      </c>
      <c r="AH6" s="78"/>
      <c r="AI6" s="78">
        <f>ano_1</f>
        <v>2026</v>
      </c>
      <c r="AJ6" s="78">
        <f>AI6+1</f>
        <v>2027</v>
      </c>
      <c r="AK6" s="78">
        <f t="shared" ref="AK6:AM6" si="4">AJ6+1</f>
        <v>2028</v>
      </c>
      <c r="AL6" s="78">
        <f t="shared" si="4"/>
        <v>2029</v>
      </c>
      <c r="AM6" s="78">
        <f t="shared" si="4"/>
        <v>2030</v>
      </c>
      <c r="AP6" s="78"/>
      <c r="AQ6" s="78">
        <f>ano_1</f>
        <v>2026</v>
      </c>
      <c r="AR6" s="78">
        <f>AQ6+1</f>
        <v>2027</v>
      </c>
      <c r="AS6" s="78">
        <f t="shared" ref="AS6:AU6" si="5">AR6+1</f>
        <v>2028</v>
      </c>
      <c r="AT6" s="78">
        <f t="shared" si="5"/>
        <v>2029</v>
      </c>
      <c r="AU6" s="78">
        <f t="shared" si="5"/>
        <v>2030</v>
      </c>
      <c r="AX6" s="78"/>
      <c r="AY6" s="78">
        <f>ano_1</f>
        <v>2026</v>
      </c>
      <c r="AZ6" s="78">
        <f>AY6+1</f>
        <v>2027</v>
      </c>
      <c r="BA6" s="78">
        <f t="shared" ref="BA6:BC6" si="6">AZ6+1</f>
        <v>2028</v>
      </c>
      <c r="BB6" s="78">
        <f t="shared" si="6"/>
        <v>2029</v>
      </c>
      <c r="BC6" s="78">
        <f t="shared" si="6"/>
        <v>2030</v>
      </c>
      <c r="BF6" s="78"/>
      <c r="BG6" s="78">
        <f>ano_1</f>
        <v>2026</v>
      </c>
      <c r="BH6" s="78">
        <f>BG6+1</f>
        <v>2027</v>
      </c>
      <c r="BI6" s="78">
        <f t="shared" ref="BI6:BK6" si="7">BH6+1</f>
        <v>2028</v>
      </c>
      <c r="BJ6" s="78">
        <f t="shared" si="7"/>
        <v>2029</v>
      </c>
      <c r="BK6" s="78">
        <f t="shared" si="7"/>
        <v>2030</v>
      </c>
      <c r="BN6" s="78"/>
      <c r="BO6" s="78">
        <f>ano_1</f>
        <v>2026</v>
      </c>
      <c r="BP6" s="78">
        <f>BO6+1</f>
        <v>2027</v>
      </c>
      <c r="BQ6" s="78">
        <f t="shared" ref="BQ6:BS6" si="8">BP6+1</f>
        <v>2028</v>
      </c>
      <c r="BR6" s="78">
        <f t="shared" si="8"/>
        <v>2029</v>
      </c>
      <c r="BS6" s="78">
        <f t="shared" si="8"/>
        <v>2030</v>
      </c>
      <c r="BV6" s="78"/>
      <c r="BW6" s="78">
        <f>ano_1</f>
        <v>2026</v>
      </c>
      <c r="BX6" s="78">
        <f>BW6+1</f>
        <v>2027</v>
      </c>
      <c r="BY6" s="78">
        <f t="shared" ref="BY6:CA6" si="9">BX6+1</f>
        <v>2028</v>
      </c>
      <c r="BZ6" s="78">
        <f t="shared" si="9"/>
        <v>2029</v>
      </c>
      <c r="CA6" s="78">
        <f t="shared" si="9"/>
        <v>2030</v>
      </c>
      <c r="CD6" s="78"/>
      <c r="CE6" s="78">
        <f>ano_1</f>
        <v>2026</v>
      </c>
      <c r="CF6" s="78">
        <f>CE6+1</f>
        <v>2027</v>
      </c>
      <c r="CG6" s="78">
        <f t="shared" ref="CG6:CI6" si="10">CF6+1</f>
        <v>2028</v>
      </c>
      <c r="CH6" s="78">
        <f t="shared" si="10"/>
        <v>2029</v>
      </c>
      <c r="CI6" s="78">
        <f t="shared" si="10"/>
        <v>2030</v>
      </c>
      <c r="CL6" s="78"/>
      <c r="CM6" s="78">
        <f>ano_1</f>
        <v>2026</v>
      </c>
      <c r="CN6" s="78">
        <f>CM6+1</f>
        <v>2027</v>
      </c>
      <c r="CO6" s="78">
        <f t="shared" ref="CO6:CQ6" si="11">CN6+1</f>
        <v>2028</v>
      </c>
      <c r="CP6" s="78">
        <f t="shared" si="11"/>
        <v>2029</v>
      </c>
      <c r="CQ6" s="78">
        <f t="shared" si="11"/>
        <v>2030</v>
      </c>
      <c r="CT6" s="78"/>
      <c r="CU6" s="78">
        <f>ano_1</f>
        <v>2026</v>
      </c>
      <c r="CV6" s="78">
        <f>CU6+1</f>
        <v>2027</v>
      </c>
      <c r="CW6" s="78">
        <f t="shared" ref="CW6:CY6" si="12">CV6+1</f>
        <v>2028</v>
      </c>
      <c r="CX6" s="78">
        <f t="shared" si="12"/>
        <v>2029</v>
      </c>
      <c r="CY6" s="78">
        <f t="shared" si="12"/>
        <v>2030</v>
      </c>
      <c r="DB6" s="78"/>
      <c r="DC6" s="78">
        <f>ano_1</f>
        <v>2026</v>
      </c>
      <c r="DD6" s="78">
        <f>DC6+1</f>
        <v>2027</v>
      </c>
      <c r="DE6" s="78">
        <f t="shared" ref="DE6:DG6" si="13">DD6+1</f>
        <v>2028</v>
      </c>
      <c r="DF6" s="78">
        <f t="shared" si="13"/>
        <v>2029</v>
      </c>
      <c r="DG6" s="78">
        <f t="shared" si="13"/>
        <v>2030</v>
      </c>
    </row>
    <row r="7" spans="2:113" s="97" customFormat="1" ht="15" thickBot="1">
      <c r="B7" s="94" t="s">
        <v>205</v>
      </c>
      <c r="C7" s="313">
        <f>Results!D9</f>
        <v>10517610.166747084</v>
      </c>
      <c r="D7" s="313">
        <f>Results!E9</f>
        <v>10603875.610308018</v>
      </c>
      <c r="E7" s="313">
        <f>Results!F9</f>
        <v>10686526.405801881</v>
      </c>
      <c r="F7" s="313">
        <f>Results!G9</f>
        <v>10769373.602290329</v>
      </c>
      <c r="G7" s="313">
        <f>Results!H9</f>
        <v>10852674.548390169</v>
      </c>
      <c r="H7" s="95"/>
      <c r="I7" s="96"/>
      <c r="J7" s="94" t="s">
        <v>205</v>
      </c>
      <c r="K7" s="313">
        <f>Results!D$9</f>
        <v>10517610.166747084</v>
      </c>
      <c r="L7" s="313">
        <f>Results!E$9</f>
        <v>10603875.610308018</v>
      </c>
      <c r="M7" s="313">
        <f>Results!F$9</f>
        <v>10686526.405801881</v>
      </c>
      <c r="N7" s="313">
        <f>Results!G$9</f>
        <v>10769373.602290329</v>
      </c>
      <c r="O7" s="313">
        <f>Results!H$9</f>
        <v>10852674.548390169</v>
      </c>
      <c r="P7" s="95"/>
      <c r="Q7" s="96"/>
      <c r="R7" s="94" t="s">
        <v>205</v>
      </c>
      <c r="S7" s="313">
        <f>Results!D$9</f>
        <v>10517610.166747084</v>
      </c>
      <c r="T7" s="313">
        <f>Results!E$9</f>
        <v>10603875.610308018</v>
      </c>
      <c r="U7" s="313">
        <f>Results!F$9</f>
        <v>10686526.405801881</v>
      </c>
      <c r="V7" s="313">
        <f>Results!G$9</f>
        <v>10769373.602290329</v>
      </c>
      <c r="W7" s="313">
        <f>Results!H$9</f>
        <v>10852674.548390169</v>
      </c>
      <c r="X7" s="95"/>
      <c r="Y7" s="96"/>
      <c r="Z7" s="94" t="s">
        <v>205</v>
      </c>
      <c r="AA7" s="313">
        <f>Results!D$9</f>
        <v>10517610.166747084</v>
      </c>
      <c r="AB7" s="313">
        <f>Results!E$9</f>
        <v>10603875.610308018</v>
      </c>
      <c r="AC7" s="313">
        <f>Results!F$9</f>
        <v>10686526.405801881</v>
      </c>
      <c r="AD7" s="313">
        <f>Results!G$9</f>
        <v>10769373.602290329</v>
      </c>
      <c r="AE7" s="313">
        <f>Results!H$9</f>
        <v>10852674.548390169</v>
      </c>
      <c r="AF7" s="95"/>
      <c r="AG7" s="96"/>
      <c r="AH7" s="94" t="s">
        <v>205</v>
      </c>
      <c r="AI7" s="313">
        <f>Results!D$9</f>
        <v>10517610.166747084</v>
      </c>
      <c r="AJ7" s="313">
        <f>Results!E$9</f>
        <v>10603875.610308018</v>
      </c>
      <c r="AK7" s="313">
        <f>Results!F$9</f>
        <v>10686526.405801881</v>
      </c>
      <c r="AL7" s="313">
        <f>Results!G$9</f>
        <v>10769373.602290329</v>
      </c>
      <c r="AM7" s="313">
        <f>Results!H$9</f>
        <v>10852674.548390169</v>
      </c>
      <c r="AN7" s="95"/>
      <c r="AO7" s="96"/>
      <c r="AP7" s="94" t="s">
        <v>205</v>
      </c>
      <c r="AQ7" s="313">
        <f>Results!D$9</f>
        <v>10517610.166747084</v>
      </c>
      <c r="AR7" s="313">
        <f>Results!E$9</f>
        <v>10603875.610308018</v>
      </c>
      <c r="AS7" s="313">
        <f>Results!F$9</f>
        <v>10686526.405801881</v>
      </c>
      <c r="AT7" s="313">
        <f>Results!G$9</f>
        <v>10769373.602290329</v>
      </c>
      <c r="AU7" s="313">
        <f>Results!H$9</f>
        <v>10852674.548390169</v>
      </c>
      <c r="AV7" s="95"/>
      <c r="AW7" s="96"/>
      <c r="AX7" s="94" t="s">
        <v>205</v>
      </c>
      <c r="AY7" s="313">
        <f>Results!D$9</f>
        <v>10517610.166747084</v>
      </c>
      <c r="AZ7" s="313">
        <f>Results!E$9</f>
        <v>10603875.610308018</v>
      </c>
      <c r="BA7" s="313">
        <f>Results!F$9</f>
        <v>10686526.405801881</v>
      </c>
      <c r="BB7" s="313">
        <f>Results!G$9</f>
        <v>10769373.602290329</v>
      </c>
      <c r="BC7" s="313">
        <f>Results!H$9</f>
        <v>10852674.548390169</v>
      </c>
      <c r="BD7" s="95"/>
      <c r="BE7" s="96"/>
      <c r="BF7" s="94" t="s">
        <v>205</v>
      </c>
      <c r="BG7" s="313">
        <f>Results!D$9</f>
        <v>10517610.166747084</v>
      </c>
      <c r="BH7" s="313">
        <f>Results!E$9</f>
        <v>10603875.610308018</v>
      </c>
      <c r="BI7" s="313">
        <f>Results!F$9</f>
        <v>10686526.405801881</v>
      </c>
      <c r="BJ7" s="313">
        <f>Results!G$9</f>
        <v>10769373.602290329</v>
      </c>
      <c r="BK7" s="313">
        <f>Results!H$9</f>
        <v>10852674.548390169</v>
      </c>
      <c r="BL7" s="95"/>
      <c r="BM7" s="96"/>
      <c r="BN7" s="94" t="s">
        <v>205</v>
      </c>
      <c r="BO7" s="313">
        <f>Results!D$9</f>
        <v>10517610.166747084</v>
      </c>
      <c r="BP7" s="313">
        <f>Results!E$9</f>
        <v>10603875.610308018</v>
      </c>
      <c r="BQ7" s="313">
        <f>Results!F$9</f>
        <v>10686526.405801881</v>
      </c>
      <c r="BR7" s="313">
        <f>Results!G$9</f>
        <v>10769373.602290329</v>
      </c>
      <c r="BS7" s="313">
        <f>Results!H$9</f>
        <v>10852674.548390169</v>
      </c>
      <c r="BT7" s="95"/>
      <c r="BU7" s="96"/>
      <c r="BV7" s="94" t="s">
        <v>205</v>
      </c>
      <c r="BW7" s="313">
        <f>Results!D$9</f>
        <v>10517610.166747084</v>
      </c>
      <c r="BX7" s="313">
        <f>Results!E$9</f>
        <v>10603875.610308018</v>
      </c>
      <c r="BY7" s="313">
        <f>Results!F$9</f>
        <v>10686526.405801881</v>
      </c>
      <c r="BZ7" s="313">
        <f>Results!G$9</f>
        <v>10769373.602290329</v>
      </c>
      <c r="CA7" s="313">
        <f>Results!H$9</f>
        <v>10852674.548390169</v>
      </c>
      <c r="CB7" s="95"/>
      <c r="CC7" s="96"/>
      <c r="CD7" s="94" t="s">
        <v>205</v>
      </c>
      <c r="CE7" s="313">
        <f>Results!D$9</f>
        <v>10517610.166747084</v>
      </c>
      <c r="CF7" s="313">
        <f>Results!E$9</f>
        <v>10603875.610308018</v>
      </c>
      <c r="CG7" s="313">
        <f>Results!F$9</f>
        <v>10686526.405801881</v>
      </c>
      <c r="CH7" s="313">
        <f>Results!G$9</f>
        <v>10769373.602290329</v>
      </c>
      <c r="CI7" s="313">
        <f>Results!H$9</f>
        <v>10852674.548390169</v>
      </c>
      <c r="CJ7" s="95"/>
      <c r="CK7" s="96"/>
      <c r="CL7" s="94" t="s">
        <v>205</v>
      </c>
      <c r="CM7" s="313">
        <f>Results!D$9</f>
        <v>10517610.166747084</v>
      </c>
      <c r="CN7" s="313">
        <f>Results!E$9</f>
        <v>10603875.610308018</v>
      </c>
      <c r="CO7" s="313">
        <f>Results!F$9</f>
        <v>10686526.405801881</v>
      </c>
      <c r="CP7" s="313">
        <f>Results!G$9</f>
        <v>10769373.602290329</v>
      </c>
      <c r="CQ7" s="313">
        <f>Results!H$9</f>
        <v>10852674.548390169</v>
      </c>
      <c r="CR7" s="95"/>
      <c r="CS7" s="96"/>
      <c r="CT7" s="94" t="s">
        <v>205</v>
      </c>
      <c r="CU7" s="313">
        <f>Results!D$9</f>
        <v>10517610.166747084</v>
      </c>
      <c r="CV7" s="313">
        <f>Results!E$9</f>
        <v>10603875.610308018</v>
      </c>
      <c r="CW7" s="313">
        <f>Results!F$9</f>
        <v>10686526.405801881</v>
      </c>
      <c r="CX7" s="313">
        <f>Results!G$9</f>
        <v>10769373.602290329</v>
      </c>
      <c r="CY7" s="313">
        <f>Results!H$9</f>
        <v>10852674.548390169</v>
      </c>
      <c r="CZ7" s="95"/>
      <c r="DA7" s="96"/>
      <c r="DB7" s="94" t="s">
        <v>205</v>
      </c>
      <c r="DC7" s="313">
        <f>Results!D$9</f>
        <v>10517610.166747084</v>
      </c>
      <c r="DD7" s="313">
        <f>Results!E$9</f>
        <v>10603875.610308018</v>
      </c>
      <c r="DE7" s="313">
        <f>Results!F$9</f>
        <v>10686526.405801881</v>
      </c>
      <c r="DF7" s="313">
        <f>Results!G$9</f>
        <v>10769373.602290329</v>
      </c>
      <c r="DG7" s="313">
        <f>Results!H$9</f>
        <v>10852674.548390169</v>
      </c>
      <c r="DH7" s="95"/>
      <c r="DI7" s="96"/>
    </row>
    <row r="9" spans="2:113" s="81" customFormat="1">
      <c r="B9" s="120"/>
      <c r="C9" s="120"/>
      <c r="D9" s="120"/>
      <c r="E9" s="120"/>
      <c r="F9" s="120"/>
      <c r="G9" s="120"/>
      <c r="H9" s="82"/>
      <c r="I9" s="82"/>
      <c r="J9" s="120"/>
      <c r="K9" s="120"/>
      <c r="L9" s="120"/>
      <c r="M9" s="120"/>
      <c r="N9" s="120"/>
      <c r="O9" s="120"/>
      <c r="P9" s="82"/>
      <c r="Q9" s="82"/>
      <c r="R9" s="120"/>
      <c r="S9" s="120"/>
      <c r="T9" s="120"/>
      <c r="U9" s="120"/>
      <c r="V9" s="120"/>
      <c r="W9" s="120"/>
      <c r="X9" s="82"/>
      <c r="Y9" s="82"/>
      <c r="Z9" s="120"/>
      <c r="AA9" s="120"/>
      <c r="AB9" s="120"/>
      <c r="AC9" s="120"/>
      <c r="AD9" s="120"/>
      <c r="AE9" s="120"/>
      <c r="AF9" s="82"/>
      <c r="AG9" s="82"/>
      <c r="AH9" s="120"/>
      <c r="AI9" s="120"/>
      <c r="AJ9" s="120"/>
      <c r="AK9" s="120"/>
      <c r="AL9" s="120"/>
      <c r="AM9" s="120"/>
      <c r="AN9" s="82"/>
      <c r="AO9" s="82"/>
      <c r="AP9" s="120"/>
      <c r="AQ9" s="120"/>
      <c r="AR9" s="120"/>
      <c r="AS9" s="120"/>
      <c r="AT9" s="120"/>
      <c r="AU9" s="120"/>
      <c r="AV9" s="82"/>
      <c r="AW9" s="82"/>
      <c r="AX9" s="120"/>
      <c r="AY9" s="120"/>
      <c r="AZ9" s="120"/>
      <c r="BA9" s="120"/>
      <c r="BB9" s="120"/>
      <c r="BC9" s="120"/>
      <c r="BD9" s="82"/>
      <c r="BE9" s="82"/>
      <c r="BF9" s="120"/>
      <c r="BG9" s="120"/>
      <c r="BH9" s="120"/>
      <c r="BI9" s="120"/>
      <c r="BJ9" s="120"/>
      <c r="BK9" s="120"/>
      <c r="BL9" s="82"/>
      <c r="BM9" s="82"/>
      <c r="BN9" s="120"/>
      <c r="BO9" s="120"/>
      <c r="BP9" s="120"/>
      <c r="BQ9" s="120"/>
      <c r="BR9" s="120"/>
      <c r="BS9" s="120"/>
      <c r="BT9" s="82"/>
      <c r="BU9" s="82"/>
      <c r="BV9" s="120"/>
      <c r="BW9" s="120"/>
      <c r="BX9" s="120"/>
      <c r="BY9" s="120"/>
      <c r="BZ9" s="120"/>
      <c r="CA9" s="120"/>
      <c r="CB9" s="82"/>
      <c r="CC9" s="82"/>
      <c r="CD9" s="120"/>
      <c r="CE9" s="120"/>
      <c r="CF9" s="120"/>
      <c r="CG9" s="120"/>
      <c r="CH9" s="120"/>
      <c r="CI9" s="120"/>
      <c r="CJ9" s="82"/>
      <c r="CK9" s="82"/>
      <c r="CL9" s="120"/>
      <c r="CM9" s="120"/>
      <c r="CN9" s="120"/>
      <c r="CO9" s="120"/>
      <c r="CP9" s="120"/>
      <c r="CQ9" s="120"/>
      <c r="CR9" s="82"/>
      <c r="CS9" s="82"/>
      <c r="CT9" s="120"/>
      <c r="CU9" s="120"/>
      <c r="CV9" s="120"/>
      <c r="CW9" s="120"/>
      <c r="CX9" s="120"/>
      <c r="CY9" s="120"/>
      <c r="CZ9" s="82"/>
      <c r="DA9" s="82"/>
      <c r="DB9" s="120"/>
      <c r="DC9" s="120"/>
      <c r="DD9" s="120"/>
      <c r="DE9" s="120"/>
      <c r="DF9" s="120"/>
      <c r="DG9" s="120"/>
      <c r="DH9" s="82"/>
      <c r="DI9" s="82"/>
    </row>
    <row r="10" spans="2:113" s="76" customFormat="1" ht="21">
      <c r="B10" s="502" t="str">
        <f>intervencao1</f>
        <v>Rosuvastatin 5mg</v>
      </c>
      <c r="C10" s="502"/>
      <c r="D10" s="502"/>
      <c r="E10" s="502"/>
      <c r="F10" s="502"/>
      <c r="G10" s="502"/>
      <c r="H10" s="502"/>
      <c r="I10" s="77"/>
      <c r="J10" s="502" t="str">
        <f>intervencao2</f>
        <v>Rosuvastatin 10mg</v>
      </c>
      <c r="K10" s="502"/>
      <c r="L10" s="502"/>
      <c r="M10" s="502"/>
      <c r="N10" s="502"/>
      <c r="O10" s="502"/>
      <c r="P10" s="502"/>
      <c r="Q10" s="77"/>
      <c r="R10" s="502" t="str">
        <f>intervencao3</f>
        <v>Rosuvastatin 20mg</v>
      </c>
      <c r="S10" s="502"/>
      <c r="T10" s="502"/>
      <c r="U10" s="502"/>
      <c r="V10" s="502"/>
      <c r="W10" s="502"/>
      <c r="X10" s="502"/>
      <c r="Y10" s="77"/>
      <c r="Z10" s="502" t="str">
        <f>intervencao4</f>
        <v>Rosuvastatin 40mg</v>
      </c>
      <c r="AA10" s="502"/>
      <c r="AB10" s="502"/>
      <c r="AC10" s="502"/>
      <c r="AD10" s="502"/>
      <c r="AE10" s="502"/>
      <c r="AF10" s="502"/>
      <c r="AG10" s="77"/>
      <c r="AH10" s="502" t="str">
        <f>comparador1</f>
        <v>Atorvastatin 10mg</v>
      </c>
      <c r="AI10" s="502"/>
      <c r="AJ10" s="502"/>
      <c r="AK10" s="502"/>
      <c r="AL10" s="502"/>
      <c r="AM10" s="502"/>
      <c r="AN10" s="502"/>
      <c r="AO10" s="77"/>
      <c r="AP10" s="502" t="str">
        <f>comparador2</f>
        <v>Atorvastatin 20mg</v>
      </c>
      <c r="AQ10" s="502"/>
      <c r="AR10" s="502"/>
      <c r="AS10" s="502"/>
      <c r="AT10" s="502"/>
      <c r="AU10" s="502"/>
      <c r="AV10" s="502"/>
      <c r="AW10" s="77"/>
      <c r="AX10" s="502" t="str">
        <f>comparador3</f>
        <v>Atorvastatin 40mg</v>
      </c>
      <c r="AY10" s="502"/>
      <c r="AZ10" s="502"/>
      <c r="BA10" s="502"/>
      <c r="BB10" s="502"/>
      <c r="BC10" s="502"/>
      <c r="BD10" s="502"/>
      <c r="BE10" s="77"/>
      <c r="BF10" s="502" t="str">
        <f>comparador4</f>
        <v>Atorvastatin 80mg</v>
      </c>
      <c r="BG10" s="502"/>
      <c r="BH10" s="502"/>
      <c r="BI10" s="502"/>
      <c r="BJ10" s="502"/>
      <c r="BK10" s="502"/>
      <c r="BL10" s="502"/>
      <c r="BM10" s="77"/>
      <c r="BN10" s="502" t="str">
        <f>comparador5</f>
        <v>Pravastatin</v>
      </c>
      <c r="BO10" s="502"/>
      <c r="BP10" s="502"/>
      <c r="BQ10" s="502"/>
      <c r="BR10" s="502"/>
      <c r="BS10" s="502"/>
      <c r="BT10" s="502"/>
      <c r="BU10" s="77"/>
      <c r="BV10" s="502" t="str">
        <f>comparador6</f>
        <v>Simvastatin 5mg</v>
      </c>
      <c r="BW10" s="502"/>
      <c r="BX10" s="502"/>
      <c r="BY10" s="502"/>
      <c r="BZ10" s="502"/>
      <c r="CA10" s="502"/>
      <c r="CB10" s="502"/>
      <c r="CC10" s="77"/>
      <c r="CD10" s="502" t="str">
        <f>comparador7</f>
        <v>Simvastatin 10mg</v>
      </c>
      <c r="CE10" s="502"/>
      <c r="CF10" s="502"/>
      <c r="CG10" s="502"/>
      <c r="CH10" s="502"/>
      <c r="CI10" s="502"/>
      <c r="CJ10" s="502"/>
      <c r="CK10" s="77"/>
      <c r="CL10" s="502" t="str">
        <f>comparador8</f>
        <v>Simvastatin 20mg</v>
      </c>
      <c r="CM10" s="502"/>
      <c r="CN10" s="502"/>
      <c r="CO10" s="502"/>
      <c r="CP10" s="502"/>
      <c r="CQ10" s="502"/>
      <c r="CR10" s="502"/>
      <c r="CS10" s="77"/>
      <c r="CT10" s="502" t="str">
        <f>comparador9</f>
        <v>Simvastatin 40mg</v>
      </c>
      <c r="CU10" s="502"/>
      <c r="CV10" s="502"/>
      <c r="CW10" s="502"/>
      <c r="CX10" s="502"/>
      <c r="CY10" s="502"/>
      <c r="CZ10" s="502"/>
      <c r="DA10" s="77"/>
      <c r="DB10" s="502">
        <f>comparador10</f>
        <v>0</v>
      </c>
      <c r="DC10" s="502"/>
      <c r="DD10" s="502"/>
      <c r="DE10" s="502"/>
      <c r="DF10" s="502"/>
      <c r="DG10" s="502"/>
      <c r="DH10" s="502"/>
      <c r="DI10" s="77"/>
    </row>
    <row r="11" spans="2:113" ht="18">
      <c r="B11" s="503" t="s">
        <v>180</v>
      </c>
      <c r="C11" s="503"/>
      <c r="D11" s="503"/>
      <c r="E11" s="503"/>
      <c r="F11" s="503"/>
      <c r="G11" s="503"/>
      <c r="H11" s="71"/>
      <c r="I11" s="71"/>
      <c r="J11" s="503" t="s">
        <v>180</v>
      </c>
      <c r="K11" s="503"/>
      <c r="L11" s="503"/>
      <c r="M11" s="503"/>
      <c r="N11" s="503"/>
      <c r="O11" s="503"/>
      <c r="P11" s="71"/>
      <c r="Q11" s="71"/>
      <c r="R11" s="503" t="s">
        <v>180</v>
      </c>
      <c r="S11" s="503"/>
      <c r="T11" s="503"/>
      <c r="U11" s="503"/>
      <c r="V11" s="503"/>
      <c r="W11" s="503"/>
      <c r="X11" s="71"/>
      <c r="Y11" s="71"/>
      <c r="Z11" s="503" t="s">
        <v>180</v>
      </c>
      <c r="AA11" s="503"/>
      <c r="AB11" s="503"/>
      <c r="AC11" s="503"/>
      <c r="AD11" s="503"/>
      <c r="AE11" s="503"/>
      <c r="AF11" s="71"/>
      <c r="AG11" s="71"/>
      <c r="AH11" s="503" t="s">
        <v>180</v>
      </c>
      <c r="AI11" s="503"/>
      <c r="AJ11" s="503"/>
      <c r="AK11" s="503"/>
      <c r="AL11" s="503"/>
      <c r="AM11" s="503"/>
      <c r="AN11" s="71"/>
      <c r="AO11" s="71"/>
      <c r="AP11" s="503" t="s">
        <v>180</v>
      </c>
      <c r="AQ11" s="503"/>
      <c r="AR11" s="503"/>
      <c r="AS11" s="503"/>
      <c r="AT11" s="503"/>
      <c r="AU11" s="503"/>
      <c r="AV11" s="71"/>
      <c r="AW11" s="71"/>
      <c r="AX11" s="503" t="s">
        <v>180</v>
      </c>
      <c r="AY11" s="503"/>
      <c r="AZ11" s="503"/>
      <c r="BA11" s="503"/>
      <c r="BB11" s="503"/>
      <c r="BC11" s="503"/>
      <c r="BD11" s="71"/>
      <c r="BE11" s="71"/>
      <c r="BF11" s="503" t="s">
        <v>180</v>
      </c>
      <c r="BG11" s="503"/>
      <c r="BH11" s="503"/>
      <c r="BI11" s="503"/>
      <c r="BJ11" s="503"/>
      <c r="BK11" s="503"/>
      <c r="BL11" s="71"/>
      <c r="BM11" s="71"/>
      <c r="BN11" s="503" t="s">
        <v>180</v>
      </c>
      <c r="BO11" s="503"/>
      <c r="BP11" s="503"/>
      <c r="BQ11" s="503"/>
      <c r="BR11" s="503"/>
      <c r="BS11" s="503"/>
      <c r="BT11" s="71"/>
      <c r="BU11" s="71"/>
      <c r="BV11" s="503" t="s">
        <v>180</v>
      </c>
      <c r="BW11" s="503"/>
      <c r="BX11" s="503"/>
      <c r="BY11" s="503"/>
      <c r="BZ11" s="503"/>
      <c r="CA11" s="503"/>
      <c r="CB11" s="71"/>
      <c r="CC11" s="71"/>
      <c r="CD11" s="503" t="s">
        <v>180</v>
      </c>
      <c r="CE11" s="503"/>
      <c r="CF11" s="503"/>
      <c r="CG11" s="503"/>
      <c r="CH11" s="503"/>
      <c r="CI11" s="503"/>
      <c r="CJ11" s="71"/>
      <c r="CK11" s="71"/>
      <c r="CL11" s="503" t="s">
        <v>180</v>
      </c>
      <c r="CM11" s="503"/>
      <c r="CN11" s="503"/>
      <c r="CO11" s="503"/>
      <c r="CP11" s="503"/>
      <c r="CQ11" s="503"/>
      <c r="CR11" s="71"/>
      <c r="CS11" s="71"/>
      <c r="CT11" s="503" t="s">
        <v>180</v>
      </c>
      <c r="CU11" s="503"/>
      <c r="CV11" s="503"/>
      <c r="CW11" s="503"/>
      <c r="CX11" s="503"/>
      <c r="CY11" s="503"/>
      <c r="CZ11" s="71"/>
      <c r="DA11" s="71"/>
      <c r="DB11" s="503" t="s">
        <v>180</v>
      </c>
      <c r="DC11" s="503"/>
      <c r="DD11" s="503"/>
      <c r="DE11" s="503"/>
      <c r="DF11" s="503"/>
      <c r="DG11" s="503"/>
      <c r="DH11" s="71"/>
      <c r="DI11" s="71"/>
    </row>
    <row r="12" spans="2:113" ht="15" thickBot="1">
      <c r="B12" s="83"/>
      <c r="C12" s="83"/>
      <c r="D12" s="83"/>
      <c r="E12" s="83"/>
      <c r="F12" s="83"/>
      <c r="G12" s="83"/>
      <c r="J12" s="83"/>
      <c r="K12" s="83"/>
      <c r="L12" s="83"/>
      <c r="M12" s="83"/>
      <c r="N12" s="83"/>
      <c r="O12" s="83"/>
      <c r="R12" s="83"/>
      <c r="S12" s="83"/>
      <c r="T12" s="83"/>
      <c r="U12" s="83"/>
      <c r="V12" s="83"/>
      <c r="W12" s="83"/>
      <c r="Z12" s="83"/>
      <c r="AA12" s="83"/>
      <c r="AB12" s="83"/>
      <c r="AC12" s="83"/>
      <c r="AD12" s="83"/>
      <c r="AE12" s="83"/>
      <c r="AH12" s="83"/>
      <c r="AI12" s="83"/>
      <c r="AJ12" s="83"/>
      <c r="AK12" s="83"/>
      <c r="AL12" s="83"/>
      <c r="AM12" s="83"/>
      <c r="AP12" s="83"/>
      <c r="AQ12" s="83"/>
      <c r="AR12" s="83"/>
      <c r="AS12" s="83"/>
      <c r="AT12" s="83"/>
      <c r="AU12" s="83"/>
      <c r="AX12" s="83"/>
      <c r="AY12" s="83"/>
      <c r="AZ12" s="83"/>
      <c r="BA12" s="83"/>
      <c r="BB12" s="83"/>
      <c r="BC12" s="83"/>
      <c r="BF12" s="83"/>
      <c r="BG12" s="83"/>
      <c r="BH12" s="83"/>
      <c r="BI12" s="83"/>
      <c r="BJ12" s="83"/>
      <c r="BK12" s="83"/>
      <c r="BN12" s="83"/>
      <c r="BO12" s="83"/>
      <c r="BP12" s="83"/>
      <c r="BQ12" s="83"/>
      <c r="BR12" s="83"/>
      <c r="BS12" s="83"/>
      <c r="BV12" s="83"/>
      <c r="BW12" s="83"/>
      <c r="BX12" s="83"/>
      <c r="BY12" s="83"/>
      <c r="BZ12" s="83"/>
      <c r="CA12" s="83"/>
      <c r="CD12" s="83"/>
      <c r="CE12" s="83"/>
      <c r="CF12" s="83"/>
      <c r="CG12" s="83"/>
      <c r="CH12" s="83"/>
      <c r="CI12" s="83"/>
      <c r="CL12" s="83"/>
      <c r="CM12" s="83"/>
      <c r="CN12" s="83"/>
      <c r="CO12" s="83"/>
      <c r="CP12" s="83"/>
      <c r="CQ12" s="83"/>
      <c r="CT12" s="83"/>
      <c r="CU12" s="83"/>
      <c r="CV12" s="83"/>
      <c r="CW12" s="83"/>
      <c r="CX12" s="83"/>
      <c r="CY12" s="83"/>
      <c r="DB12" s="83"/>
      <c r="DC12" s="83"/>
      <c r="DD12" s="83"/>
      <c r="DE12" s="83"/>
      <c r="DF12" s="83"/>
      <c r="DG12" s="83"/>
    </row>
    <row r="13" spans="2:113" ht="15" thickBot="1">
      <c r="B13" s="504" t="str">
        <f>cen_atual</f>
        <v>without rosuvastatin</v>
      </c>
      <c r="C13" s="505"/>
      <c r="D13" s="505"/>
      <c r="E13" s="505"/>
      <c r="F13" s="505"/>
      <c r="G13" s="506"/>
      <c r="J13" s="504" t="str">
        <f>cen_atual</f>
        <v>without rosuvastatin</v>
      </c>
      <c r="K13" s="505"/>
      <c r="L13" s="505"/>
      <c r="M13" s="505"/>
      <c r="N13" s="505"/>
      <c r="O13" s="506"/>
      <c r="R13" s="504" t="str">
        <f>cen_atual</f>
        <v>without rosuvastatin</v>
      </c>
      <c r="S13" s="505"/>
      <c r="T13" s="505"/>
      <c r="U13" s="505"/>
      <c r="V13" s="505"/>
      <c r="W13" s="506"/>
      <c r="Z13" s="504" t="str">
        <f>cen_atual</f>
        <v>without rosuvastatin</v>
      </c>
      <c r="AA13" s="505"/>
      <c r="AB13" s="505"/>
      <c r="AC13" s="505"/>
      <c r="AD13" s="505"/>
      <c r="AE13" s="506"/>
      <c r="AH13" s="504" t="str">
        <f>cen_atual</f>
        <v>without rosuvastatin</v>
      </c>
      <c r="AI13" s="505"/>
      <c r="AJ13" s="505"/>
      <c r="AK13" s="505"/>
      <c r="AL13" s="505"/>
      <c r="AM13" s="506"/>
      <c r="AP13" s="504" t="str">
        <f>cen_atual</f>
        <v>without rosuvastatin</v>
      </c>
      <c r="AQ13" s="505"/>
      <c r="AR13" s="505"/>
      <c r="AS13" s="505"/>
      <c r="AT13" s="505"/>
      <c r="AU13" s="506"/>
      <c r="AX13" s="504" t="str">
        <f>cen_atual</f>
        <v>without rosuvastatin</v>
      </c>
      <c r="AY13" s="505"/>
      <c r="AZ13" s="505"/>
      <c r="BA13" s="505"/>
      <c r="BB13" s="505"/>
      <c r="BC13" s="506"/>
      <c r="BF13" s="504" t="str">
        <f>cen_atual</f>
        <v>without rosuvastatin</v>
      </c>
      <c r="BG13" s="505"/>
      <c r="BH13" s="505"/>
      <c r="BI13" s="505"/>
      <c r="BJ13" s="505"/>
      <c r="BK13" s="506"/>
      <c r="BN13" s="504" t="str">
        <f>cen_atual</f>
        <v>without rosuvastatin</v>
      </c>
      <c r="BO13" s="505"/>
      <c r="BP13" s="505"/>
      <c r="BQ13" s="505"/>
      <c r="BR13" s="505"/>
      <c r="BS13" s="506"/>
      <c r="BV13" s="504" t="str">
        <f>cen_atual</f>
        <v>without rosuvastatin</v>
      </c>
      <c r="BW13" s="505"/>
      <c r="BX13" s="505"/>
      <c r="BY13" s="505"/>
      <c r="BZ13" s="505"/>
      <c r="CA13" s="506"/>
      <c r="CD13" s="504" t="str">
        <f>cen_atual</f>
        <v>without rosuvastatin</v>
      </c>
      <c r="CE13" s="505"/>
      <c r="CF13" s="505"/>
      <c r="CG13" s="505"/>
      <c r="CH13" s="505"/>
      <c r="CI13" s="506"/>
      <c r="CL13" s="504" t="str">
        <f>cen_atual</f>
        <v>without rosuvastatin</v>
      </c>
      <c r="CM13" s="505"/>
      <c r="CN13" s="505"/>
      <c r="CO13" s="505"/>
      <c r="CP13" s="505"/>
      <c r="CQ13" s="506"/>
      <c r="CT13" s="504" t="str">
        <f>cen_atual</f>
        <v>without rosuvastatin</v>
      </c>
      <c r="CU13" s="505"/>
      <c r="CV13" s="505"/>
      <c r="CW13" s="505"/>
      <c r="CX13" s="505"/>
      <c r="CY13" s="506"/>
      <c r="DB13" s="504" t="str">
        <f>cen_atual</f>
        <v>without rosuvastatin</v>
      </c>
      <c r="DC13" s="505"/>
      <c r="DD13" s="505"/>
      <c r="DE13" s="505"/>
      <c r="DF13" s="505"/>
      <c r="DG13" s="506"/>
    </row>
    <row r="14" spans="2:113">
      <c r="B14" s="84"/>
      <c r="C14" s="101">
        <f>ano_1</f>
        <v>2026</v>
      </c>
      <c r="D14" s="101">
        <f>C14+1</f>
        <v>2027</v>
      </c>
      <c r="E14" s="101">
        <f t="shared" ref="E14:G14" si="14">D14+1</f>
        <v>2028</v>
      </c>
      <c r="F14" s="101">
        <f t="shared" si="14"/>
        <v>2029</v>
      </c>
      <c r="G14" s="102">
        <f t="shared" si="14"/>
        <v>2030</v>
      </c>
      <c r="J14" s="84"/>
      <c r="K14" s="101">
        <f>ano_1</f>
        <v>2026</v>
      </c>
      <c r="L14" s="101">
        <f>K14+1</f>
        <v>2027</v>
      </c>
      <c r="M14" s="101">
        <f t="shared" ref="M14:O14" si="15">L14+1</f>
        <v>2028</v>
      </c>
      <c r="N14" s="101">
        <f t="shared" si="15"/>
        <v>2029</v>
      </c>
      <c r="O14" s="102">
        <f t="shared" si="15"/>
        <v>2030</v>
      </c>
      <c r="R14" s="84"/>
      <c r="S14" s="101">
        <f>ano_1</f>
        <v>2026</v>
      </c>
      <c r="T14" s="101">
        <f>S14+1</f>
        <v>2027</v>
      </c>
      <c r="U14" s="101">
        <f t="shared" ref="U14:W14" si="16">T14+1</f>
        <v>2028</v>
      </c>
      <c r="V14" s="101">
        <f t="shared" si="16"/>
        <v>2029</v>
      </c>
      <c r="W14" s="102">
        <f t="shared" si="16"/>
        <v>2030</v>
      </c>
      <c r="Z14" s="84"/>
      <c r="AA14" s="101">
        <f>ano_1</f>
        <v>2026</v>
      </c>
      <c r="AB14" s="101">
        <f>AA14+1</f>
        <v>2027</v>
      </c>
      <c r="AC14" s="101">
        <f t="shared" ref="AC14:AE14" si="17">AB14+1</f>
        <v>2028</v>
      </c>
      <c r="AD14" s="101">
        <f t="shared" si="17"/>
        <v>2029</v>
      </c>
      <c r="AE14" s="102">
        <f t="shared" si="17"/>
        <v>2030</v>
      </c>
      <c r="AH14" s="84"/>
      <c r="AI14" s="101">
        <f>ano_1</f>
        <v>2026</v>
      </c>
      <c r="AJ14" s="101">
        <f>AI14+1</f>
        <v>2027</v>
      </c>
      <c r="AK14" s="101">
        <f t="shared" ref="AK14:AM14" si="18">AJ14+1</f>
        <v>2028</v>
      </c>
      <c r="AL14" s="101">
        <f t="shared" si="18"/>
        <v>2029</v>
      </c>
      <c r="AM14" s="102">
        <f t="shared" si="18"/>
        <v>2030</v>
      </c>
      <c r="AP14" s="84"/>
      <c r="AQ14" s="101">
        <f>ano_1</f>
        <v>2026</v>
      </c>
      <c r="AR14" s="101">
        <f>AQ14+1</f>
        <v>2027</v>
      </c>
      <c r="AS14" s="101">
        <f t="shared" ref="AS14:AU14" si="19">AR14+1</f>
        <v>2028</v>
      </c>
      <c r="AT14" s="101">
        <f t="shared" si="19"/>
        <v>2029</v>
      </c>
      <c r="AU14" s="102">
        <f t="shared" si="19"/>
        <v>2030</v>
      </c>
      <c r="AX14" s="84"/>
      <c r="AY14" s="101">
        <f>ano_1</f>
        <v>2026</v>
      </c>
      <c r="AZ14" s="101">
        <f>AY14+1</f>
        <v>2027</v>
      </c>
      <c r="BA14" s="101">
        <f t="shared" ref="BA14:BC14" si="20">AZ14+1</f>
        <v>2028</v>
      </c>
      <c r="BB14" s="101">
        <f t="shared" si="20"/>
        <v>2029</v>
      </c>
      <c r="BC14" s="102">
        <f t="shared" si="20"/>
        <v>2030</v>
      </c>
      <c r="BF14" s="84"/>
      <c r="BG14" s="101">
        <f>ano_1</f>
        <v>2026</v>
      </c>
      <c r="BH14" s="101">
        <f>BG14+1</f>
        <v>2027</v>
      </c>
      <c r="BI14" s="101">
        <f t="shared" ref="BI14:BK14" si="21">BH14+1</f>
        <v>2028</v>
      </c>
      <c r="BJ14" s="101">
        <f t="shared" si="21"/>
        <v>2029</v>
      </c>
      <c r="BK14" s="102">
        <f t="shared" si="21"/>
        <v>2030</v>
      </c>
      <c r="BN14" s="84"/>
      <c r="BO14" s="101">
        <f>ano_1</f>
        <v>2026</v>
      </c>
      <c r="BP14" s="101">
        <f>BO14+1</f>
        <v>2027</v>
      </c>
      <c r="BQ14" s="101">
        <f t="shared" ref="BQ14:BS14" si="22">BP14+1</f>
        <v>2028</v>
      </c>
      <c r="BR14" s="101">
        <f t="shared" si="22"/>
        <v>2029</v>
      </c>
      <c r="BS14" s="102">
        <f t="shared" si="22"/>
        <v>2030</v>
      </c>
      <c r="BV14" s="84"/>
      <c r="BW14" s="101">
        <f>ano_1</f>
        <v>2026</v>
      </c>
      <c r="BX14" s="101">
        <f>BW14+1</f>
        <v>2027</v>
      </c>
      <c r="BY14" s="101">
        <f t="shared" ref="BY14:CA14" si="23">BX14+1</f>
        <v>2028</v>
      </c>
      <c r="BZ14" s="101">
        <f t="shared" si="23"/>
        <v>2029</v>
      </c>
      <c r="CA14" s="102">
        <f t="shared" si="23"/>
        <v>2030</v>
      </c>
      <c r="CD14" s="84"/>
      <c r="CE14" s="101">
        <f>ano_1</f>
        <v>2026</v>
      </c>
      <c r="CF14" s="101">
        <f>CE14+1</f>
        <v>2027</v>
      </c>
      <c r="CG14" s="101">
        <f t="shared" ref="CG14:CI14" si="24">CF14+1</f>
        <v>2028</v>
      </c>
      <c r="CH14" s="101">
        <f t="shared" si="24"/>
        <v>2029</v>
      </c>
      <c r="CI14" s="102">
        <f t="shared" si="24"/>
        <v>2030</v>
      </c>
      <c r="CL14" s="84"/>
      <c r="CM14" s="101">
        <f>ano_1</f>
        <v>2026</v>
      </c>
      <c r="CN14" s="101">
        <f>CM14+1</f>
        <v>2027</v>
      </c>
      <c r="CO14" s="101">
        <f t="shared" ref="CO14:CQ14" si="25">CN14+1</f>
        <v>2028</v>
      </c>
      <c r="CP14" s="101">
        <f t="shared" si="25"/>
        <v>2029</v>
      </c>
      <c r="CQ14" s="102">
        <f t="shared" si="25"/>
        <v>2030</v>
      </c>
      <c r="CT14" s="84"/>
      <c r="CU14" s="101">
        <f>ano_1</f>
        <v>2026</v>
      </c>
      <c r="CV14" s="101">
        <f>CU14+1</f>
        <v>2027</v>
      </c>
      <c r="CW14" s="101">
        <f t="shared" ref="CW14:CY14" si="26">CV14+1</f>
        <v>2028</v>
      </c>
      <c r="CX14" s="101">
        <f t="shared" si="26"/>
        <v>2029</v>
      </c>
      <c r="CY14" s="102">
        <f t="shared" si="26"/>
        <v>2030</v>
      </c>
      <c r="DB14" s="84"/>
      <c r="DC14" s="101">
        <f>ano_1</f>
        <v>2026</v>
      </c>
      <c r="DD14" s="101">
        <f>DC14+1</f>
        <v>2027</v>
      </c>
      <c r="DE14" s="101">
        <f t="shared" ref="DE14:DG14" si="27">DD14+1</f>
        <v>2028</v>
      </c>
      <c r="DF14" s="101">
        <f t="shared" si="27"/>
        <v>2029</v>
      </c>
      <c r="DG14" s="102">
        <f t="shared" si="27"/>
        <v>2030</v>
      </c>
    </row>
    <row r="15" spans="2:113" ht="15" thickBot="1">
      <c r="B15" s="386" t="s">
        <v>335</v>
      </c>
      <c r="C15" s="315">
        <f>C$7*'Mkt share'!$C22</f>
        <v>0</v>
      </c>
      <c r="D15" s="315">
        <f>D$7*'Mkt share'!$C22</f>
        <v>0</v>
      </c>
      <c r="E15" s="315">
        <f>E$7*'Mkt share'!$C22</f>
        <v>0</v>
      </c>
      <c r="F15" s="315">
        <f>F$7*'Mkt share'!$C22</f>
        <v>0</v>
      </c>
      <c r="G15" s="387">
        <f>G$7*'Mkt share'!$C22</f>
        <v>0</v>
      </c>
      <c r="J15" s="386" t="str">
        <f>B15</f>
        <v>Cohort on treat.</v>
      </c>
      <c r="K15" s="315">
        <f>K$7*'Mkt share'!C23</f>
        <v>0</v>
      </c>
      <c r="L15" s="315">
        <f>L$7*'Mkt share'!D23</f>
        <v>0</v>
      </c>
      <c r="M15" s="315">
        <f>M$7*'Mkt share'!E23</f>
        <v>0</v>
      </c>
      <c r="N15" s="315">
        <f>N$7*'Mkt share'!F23</f>
        <v>0</v>
      </c>
      <c r="O15" s="387">
        <f>O$7*'Mkt share'!G23</f>
        <v>0</v>
      </c>
      <c r="R15" s="386" t="str">
        <f>B15</f>
        <v>Cohort on treat.</v>
      </c>
      <c r="S15" s="315">
        <f>S$7*'Mkt share'!C24</f>
        <v>0</v>
      </c>
      <c r="T15" s="315">
        <f>T$7*'Mkt share'!D24</f>
        <v>0</v>
      </c>
      <c r="U15" s="315">
        <f>U$7*'Mkt share'!E24</f>
        <v>0</v>
      </c>
      <c r="V15" s="315">
        <f>V$7*'Mkt share'!F24</f>
        <v>0</v>
      </c>
      <c r="W15" s="387">
        <f>W$7*'Mkt share'!G24</f>
        <v>0</v>
      </c>
      <c r="Z15" s="386" t="str">
        <f>J15</f>
        <v>Cohort on treat.</v>
      </c>
      <c r="AA15" s="315">
        <f>AA$7*'Mkt share'!C25</f>
        <v>0</v>
      </c>
      <c r="AB15" s="315">
        <f>AB$7*'Mkt share'!D25</f>
        <v>0</v>
      </c>
      <c r="AC15" s="315">
        <f>AC$7*'Mkt share'!E25</f>
        <v>0</v>
      </c>
      <c r="AD15" s="315">
        <f>AD$7*'Mkt share'!F25</f>
        <v>0</v>
      </c>
      <c r="AE15" s="387">
        <f>AE$7*'Mkt share'!G25</f>
        <v>0</v>
      </c>
      <c r="AH15" s="386" t="str">
        <f>R15</f>
        <v>Cohort on treat.</v>
      </c>
      <c r="AI15" s="315">
        <f>AI$7*'Mkt share'!C26</f>
        <v>202357.96436503023</v>
      </c>
      <c r="AJ15" s="315">
        <f>AJ$7*'Mkt share'!D26</f>
        <v>204017.70448443759</v>
      </c>
      <c r="AK15" s="315">
        <f>AK$7*'Mkt share'!E26</f>
        <v>205607.89906896092</v>
      </c>
      <c r="AL15" s="315">
        <f>AL$7*'Mkt share'!F26</f>
        <v>207201.87239264962</v>
      </c>
      <c r="AM15" s="387">
        <f>AM$7*'Mkt share'!G26</f>
        <v>208804.57582196468</v>
      </c>
      <c r="AP15" s="386" t="s">
        <v>335</v>
      </c>
      <c r="AQ15" s="315">
        <f>AQ$7*'Mkt share'!C27</f>
        <v>1014968.0503876538</v>
      </c>
      <c r="AR15" s="315">
        <f>AR$7*'Mkt share'!D27</f>
        <v>1023292.8188168631</v>
      </c>
      <c r="AS15" s="315">
        <f>AS$7*'Mkt share'!E27</f>
        <v>1031268.7672914148</v>
      </c>
      <c r="AT15" s="315">
        <f>AT$7*'Mkt share'!F27</f>
        <v>1039263.6688105656</v>
      </c>
      <c r="AU15" s="387">
        <f>AU$7*'Mkt share'!G27</f>
        <v>1047302.3579726446</v>
      </c>
      <c r="AX15" s="386" t="s">
        <v>335</v>
      </c>
      <c r="AY15" s="315">
        <f>AY$7*'Mkt share'!C28</f>
        <v>1117650.5687015476</v>
      </c>
      <c r="AZ15" s="315">
        <f>AZ$7*'Mkt share'!D28</f>
        <v>1126817.539194521</v>
      </c>
      <c r="BA15" s="315">
        <f>BA$7*'Mkt share'!E28</f>
        <v>1135600.4002364152</v>
      </c>
      <c r="BB15" s="315">
        <f>BB$7*'Mkt share'!F28</f>
        <v>1144404.1317688304</v>
      </c>
      <c r="BC15" s="387">
        <f>BC$7*'Mkt share'!G28</f>
        <v>1153256.0808623817</v>
      </c>
      <c r="BF15" s="386" t="s">
        <v>335</v>
      </c>
      <c r="BG15" s="315">
        <f>BG$7*'Mkt share'!C29</f>
        <v>199693.35253248693</v>
      </c>
      <c r="BH15" s="315">
        <f>BH$7*'Mkt share'!D29</f>
        <v>201331.23750438381</v>
      </c>
      <c r="BI15" s="315">
        <f>BI$7*'Mkt share'!E29</f>
        <v>202900.49270399453</v>
      </c>
      <c r="BJ15" s="315">
        <f>BJ$7*'Mkt share'!F29</f>
        <v>204473.47688503997</v>
      </c>
      <c r="BK15" s="387">
        <f>BK$7*'Mkt share'!G29</f>
        <v>206055.07621531349</v>
      </c>
      <c r="BN15" s="386" t="s">
        <v>335</v>
      </c>
      <c r="BO15" s="315">
        <f>BO$7*'Mkt share'!C30</f>
        <v>1933.3249216378988</v>
      </c>
      <c r="BP15" s="315">
        <f>BP$7*'Mkt share'!D30</f>
        <v>1949.1820535593495</v>
      </c>
      <c r="BQ15" s="315">
        <f>BQ$7*'Mkt share'!E30</f>
        <v>1964.3747484955704</v>
      </c>
      <c r="BR15" s="315">
        <f>BR$7*'Mkt share'!F30</f>
        <v>1979.6035454484513</v>
      </c>
      <c r="BS15" s="387">
        <f>BS$7*'Mkt share'!G30</f>
        <v>1994.9157496980451</v>
      </c>
      <c r="BV15" s="386" t="s">
        <v>335</v>
      </c>
      <c r="BW15" s="315">
        <f>BW$7*'Mkt share'!C31</f>
        <v>1319.9171736794842</v>
      </c>
      <c r="BX15" s="315">
        <f>BX$7*'Mkt share'!D31</f>
        <v>1330.743134962129</v>
      </c>
      <c r="BY15" s="315">
        <f>BY$7*'Mkt share'!E31</f>
        <v>1341.1154726568204</v>
      </c>
      <c r="BZ15" s="315">
        <f>BZ$7*'Mkt share'!F31</f>
        <v>1351.5124578751957</v>
      </c>
      <c r="CA15" s="387">
        <f>CA$7*'Mkt share'!G31</f>
        <v>1361.9663868189161</v>
      </c>
      <c r="CD15" s="386" t="s">
        <v>335</v>
      </c>
      <c r="CE15" s="315">
        <f>CE$7*'Mkt share'!C32</f>
        <v>285925.83814484987</v>
      </c>
      <c r="CF15" s="315">
        <f>CF$7*'Mkt share'!D32</f>
        <v>288271.00200451456</v>
      </c>
      <c r="CG15" s="315">
        <f>CG$7*'Mkt share'!E32</f>
        <v>290517.90007358708</v>
      </c>
      <c r="CH15" s="315">
        <f>CH$7*'Mkt share'!F32</f>
        <v>292770.13738970319</v>
      </c>
      <c r="CI15" s="387">
        <f>CI$7*'Mkt share'!G32</f>
        <v>295034.71008770633</v>
      </c>
      <c r="CL15" s="386" t="s">
        <v>335</v>
      </c>
      <c r="CM15" s="315">
        <f>CM$7*'Mkt share'!C33</f>
        <v>6125825.394371978</v>
      </c>
      <c r="CN15" s="315">
        <f>CN$7*'Mkt share'!D33</f>
        <v>6176069.4171532262</v>
      </c>
      <c r="CO15" s="315">
        <f>CO$7*'Mkt share'!E33</f>
        <v>6224208.1420036787</v>
      </c>
      <c r="CP15" s="315">
        <f>CP$7*'Mkt share'!F33</f>
        <v>6272461.2576882672</v>
      </c>
      <c r="CQ15" s="387">
        <f>CQ$7*'Mkt share'!G33</f>
        <v>6320978.653075953</v>
      </c>
      <c r="CT15" s="386" t="s">
        <v>335</v>
      </c>
      <c r="CU15" s="315">
        <f>CU$7*'Mkt share'!C34</f>
        <v>1567935.75614822</v>
      </c>
      <c r="CV15" s="315">
        <f>CV$7*'Mkt share'!D34</f>
        <v>1580795.9659615494</v>
      </c>
      <c r="CW15" s="315">
        <f>CW$7*'Mkt share'!E34</f>
        <v>1593117.3142026779</v>
      </c>
      <c r="CX15" s="315">
        <f>CX$7*'Mkt share'!F34</f>
        <v>1605467.9413519488</v>
      </c>
      <c r="CY15" s="387">
        <f>CY$7*'Mkt share'!G34</f>
        <v>1617886.2122176876</v>
      </c>
      <c r="DB15" s="386" t="s">
        <v>335</v>
      </c>
      <c r="DC15" s="315">
        <f>DC$7*'Mkt share'!C35</f>
        <v>0</v>
      </c>
      <c r="DD15" s="315">
        <f>DD$7*'Mkt share'!D35</f>
        <v>0</v>
      </c>
      <c r="DE15" s="315">
        <f>DE$7*'Mkt share'!E35</f>
        <v>0</v>
      </c>
      <c r="DF15" s="315">
        <f>DF$7*'Mkt share'!F35</f>
        <v>0</v>
      </c>
      <c r="DG15" s="387">
        <f>DG$7*'Mkt share'!G35</f>
        <v>0</v>
      </c>
    </row>
    <row r="16" spans="2:113" ht="15" thickBot="1">
      <c r="B16" s="80"/>
      <c r="C16" s="92"/>
      <c r="D16" s="92"/>
      <c r="E16" s="92"/>
      <c r="F16" s="92"/>
      <c r="G16" s="92"/>
      <c r="J16" s="80"/>
      <c r="K16" s="92"/>
      <c r="L16" s="92"/>
      <c r="M16" s="92"/>
      <c r="N16" s="92"/>
      <c r="O16" s="92"/>
      <c r="R16" s="80"/>
      <c r="S16" s="92"/>
      <c r="T16" s="92"/>
      <c r="U16" s="92"/>
      <c r="V16" s="92"/>
      <c r="W16" s="92"/>
      <c r="Z16" s="80"/>
      <c r="AA16" s="92"/>
      <c r="AB16" s="92"/>
      <c r="AC16" s="92"/>
      <c r="AD16" s="92"/>
      <c r="AE16" s="92"/>
      <c r="AH16" s="80"/>
      <c r="AI16" s="92"/>
      <c r="AJ16" s="92"/>
      <c r="AK16" s="92"/>
      <c r="AL16" s="92"/>
      <c r="AM16" s="92"/>
      <c r="AP16" s="80"/>
      <c r="AQ16" s="92"/>
      <c r="AR16" s="92"/>
      <c r="AS16" s="92"/>
      <c r="AT16" s="92"/>
      <c r="AU16" s="92"/>
      <c r="AX16" s="80"/>
      <c r="AY16" s="92"/>
      <c r="AZ16" s="92"/>
      <c r="BA16" s="92"/>
      <c r="BB16" s="92"/>
      <c r="BC16" s="92"/>
      <c r="BF16" s="80"/>
      <c r="BG16" s="92"/>
      <c r="BH16" s="92"/>
      <c r="BI16" s="92"/>
      <c r="BJ16" s="92"/>
      <c r="BK16" s="92"/>
      <c r="BN16" s="80"/>
      <c r="BO16" s="92"/>
      <c r="BP16" s="92"/>
      <c r="BQ16" s="92"/>
      <c r="BR16" s="92"/>
      <c r="BS16" s="92"/>
      <c r="BV16" s="80"/>
      <c r="BW16" s="92"/>
      <c r="BX16" s="92"/>
      <c r="BY16" s="92"/>
      <c r="BZ16" s="92"/>
      <c r="CA16" s="92"/>
      <c r="CD16" s="80"/>
      <c r="CE16" s="92"/>
      <c r="CF16" s="92"/>
      <c r="CG16" s="92"/>
      <c r="CH16" s="92"/>
      <c r="CI16" s="92"/>
      <c r="CL16" s="80"/>
      <c r="CM16" s="92"/>
      <c r="CN16" s="92"/>
      <c r="CO16" s="92"/>
      <c r="CP16" s="92"/>
      <c r="CQ16" s="92"/>
      <c r="CT16" s="80"/>
      <c r="CU16" s="92"/>
      <c r="CV16" s="92"/>
      <c r="CW16" s="92"/>
      <c r="CX16" s="92"/>
      <c r="CY16" s="92"/>
      <c r="DB16" s="80"/>
      <c r="DC16" s="92"/>
      <c r="DD16" s="92"/>
      <c r="DE16" s="92"/>
      <c r="DF16" s="92"/>
      <c r="DG16" s="92"/>
    </row>
    <row r="17" spans="2:113" ht="15" thickBot="1">
      <c r="B17" s="507" t="str">
        <f>cen_prop1</f>
        <v>all options</v>
      </c>
      <c r="C17" s="508"/>
      <c r="D17" s="508"/>
      <c r="E17" s="508"/>
      <c r="F17" s="508"/>
      <c r="G17" s="509"/>
      <c r="J17" s="507" t="str">
        <f>cen_prop1</f>
        <v>all options</v>
      </c>
      <c r="K17" s="508"/>
      <c r="L17" s="508"/>
      <c r="M17" s="508"/>
      <c r="N17" s="508"/>
      <c r="O17" s="509"/>
      <c r="R17" s="507" t="str">
        <f>cen_prop1</f>
        <v>all options</v>
      </c>
      <c r="S17" s="508"/>
      <c r="T17" s="508"/>
      <c r="U17" s="508"/>
      <c r="V17" s="508"/>
      <c r="W17" s="509"/>
      <c r="Z17" s="507" t="str">
        <f>cen_prop1</f>
        <v>all options</v>
      </c>
      <c r="AA17" s="508"/>
      <c r="AB17" s="508"/>
      <c r="AC17" s="508"/>
      <c r="AD17" s="508"/>
      <c r="AE17" s="509"/>
      <c r="AH17" s="507" t="str">
        <f>cen_prop1</f>
        <v>all options</v>
      </c>
      <c r="AI17" s="508"/>
      <c r="AJ17" s="508"/>
      <c r="AK17" s="508"/>
      <c r="AL17" s="508"/>
      <c r="AM17" s="509"/>
      <c r="AP17" s="507" t="str">
        <f>cen_prop1</f>
        <v>all options</v>
      </c>
      <c r="AQ17" s="508"/>
      <c r="AR17" s="508"/>
      <c r="AS17" s="508"/>
      <c r="AT17" s="508"/>
      <c r="AU17" s="509"/>
      <c r="AX17" s="507" t="str">
        <f>cen_prop1</f>
        <v>all options</v>
      </c>
      <c r="AY17" s="508"/>
      <c r="AZ17" s="508"/>
      <c r="BA17" s="508"/>
      <c r="BB17" s="508"/>
      <c r="BC17" s="509"/>
      <c r="BF17" s="507" t="str">
        <f>cen_prop1</f>
        <v>all options</v>
      </c>
      <c r="BG17" s="508"/>
      <c r="BH17" s="508"/>
      <c r="BI17" s="508"/>
      <c r="BJ17" s="508"/>
      <c r="BK17" s="509"/>
      <c r="BN17" s="507" t="str">
        <f>cen_prop1</f>
        <v>all options</v>
      </c>
      <c r="BO17" s="508"/>
      <c r="BP17" s="508"/>
      <c r="BQ17" s="508"/>
      <c r="BR17" s="508"/>
      <c r="BS17" s="509"/>
      <c r="BV17" s="507" t="str">
        <f>cen_prop1</f>
        <v>all options</v>
      </c>
      <c r="BW17" s="508"/>
      <c r="BX17" s="508"/>
      <c r="BY17" s="508"/>
      <c r="BZ17" s="508"/>
      <c r="CA17" s="509"/>
      <c r="CD17" s="507" t="str">
        <f>cen_prop1</f>
        <v>all options</v>
      </c>
      <c r="CE17" s="508"/>
      <c r="CF17" s="508"/>
      <c r="CG17" s="508"/>
      <c r="CH17" s="508"/>
      <c r="CI17" s="509"/>
      <c r="CL17" s="507" t="str">
        <f>cen_prop1</f>
        <v>all options</v>
      </c>
      <c r="CM17" s="508"/>
      <c r="CN17" s="508"/>
      <c r="CO17" s="508"/>
      <c r="CP17" s="508"/>
      <c r="CQ17" s="509"/>
      <c r="CT17" s="507" t="str">
        <f>cen_prop1</f>
        <v>all options</v>
      </c>
      <c r="CU17" s="508"/>
      <c r="CV17" s="508"/>
      <c r="CW17" s="508"/>
      <c r="CX17" s="508"/>
      <c r="CY17" s="509"/>
      <c r="DB17" s="507" t="str">
        <f>cen_prop1</f>
        <v>all options</v>
      </c>
      <c r="DC17" s="508"/>
      <c r="DD17" s="508"/>
      <c r="DE17" s="508"/>
      <c r="DF17" s="508"/>
      <c r="DG17" s="509"/>
    </row>
    <row r="18" spans="2:113">
      <c r="B18" s="84"/>
      <c r="C18" s="101">
        <f>ano_1</f>
        <v>2026</v>
      </c>
      <c r="D18" s="101">
        <f>C18+1</f>
        <v>2027</v>
      </c>
      <c r="E18" s="101">
        <f t="shared" ref="E18:G18" si="28">D18+1</f>
        <v>2028</v>
      </c>
      <c r="F18" s="101">
        <f t="shared" si="28"/>
        <v>2029</v>
      </c>
      <c r="G18" s="102">
        <f t="shared" si="28"/>
        <v>2030</v>
      </c>
      <c r="J18" s="84"/>
      <c r="K18" s="101">
        <f>ano_1</f>
        <v>2026</v>
      </c>
      <c r="L18" s="101">
        <f>K18+1</f>
        <v>2027</v>
      </c>
      <c r="M18" s="101">
        <f t="shared" ref="M18:O18" si="29">L18+1</f>
        <v>2028</v>
      </c>
      <c r="N18" s="101">
        <f t="shared" si="29"/>
        <v>2029</v>
      </c>
      <c r="O18" s="102">
        <f t="shared" si="29"/>
        <v>2030</v>
      </c>
      <c r="R18" s="84"/>
      <c r="S18" s="101">
        <f>ano_1</f>
        <v>2026</v>
      </c>
      <c r="T18" s="101">
        <f>S18+1</f>
        <v>2027</v>
      </c>
      <c r="U18" s="101">
        <f t="shared" ref="U18:W18" si="30">T18+1</f>
        <v>2028</v>
      </c>
      <c r="V18" s="101">
        <f t="shared" si="30"/>
        <v>2029</v>
      </c>
      <c r="W18" s="102">
        <f t="shared" si="30"/>
        <v>2030</v>
      </c>
      <c r="Z18" s="84"/>
      <c r="AA18" s="101">
        <f>ano_1</f>
        <v>2026</v>
      </c>
      <c r="AB18" s="101">
        <f>AA18+1</f>
        <v>2027</v>
      </c>
      <c r="AC18" s="101">
        <f t="shared" ref="AC18:AE18" si="31">AB18+1</f>
        <v>2028</v>
      </c>
      <c r="AD18" s="101">
        <f t="shared" si="31"/>
        <v>2029</v>
      </c>
      <c r="AE18" s="102">
        <f t="shared" si="31"/>
        <v>2030</v>
      </c>
      <c r="AH18" s="84"/>
      <c r="AI18" s="101">
        <f>ano_1</f>
        <v>2026</v>
      </c>
      <c r="AJ18" s="101">
        <f>AI18+1</f>
        <v>2027</v>
      </c>
      <c r="AK18" s="101">
        <f t="shared" ref="AK18:AM18" si="32">AJ18+1</f>
        <v>2028</v>
      </c>
      <c r="AL18" s="101">
        <f t="shared" si="32"/>
        <v>2029</v>
      </c>
      <c r="AM18" s="102">
        <f t="shared" si="32"/>
        <v>2030</v>
      </c>
      <c r="AP18" s="84"/>
      <c r="AQ18" s="101">
        <f>ano_1</f>
        <v>2026</v>
      </c>
      <c r="AR18" s="101">
        <f>AQ18+1</f>
        <v>2027</v>
      </c>
      <c r="AS18" s="101">
        <f t="shared" ref="AS18:AU18" si="33">AR18+1</f>
        <v>2028</v>
      </c>
      <c r="AT18" s="101">
        <f t="shared" si="33"/>
        <v>2029</v>
      </c>
      <c r="AU18" s="102">
        <f t="shared" si="33"/>
        <v>2030</v>
      </c>
      <c r="AX18" s="84"/>
      <c r="AY18" s="101">
        <f>ano_1</f>
        <v>2026</v>
      </c>
      <c r="AZ18" s="101">
        <f>AY18+1</f>
        <v>2027</v>
      </c>
      <c r="BA18" s="101">
        <f t="shared" ref="BA18:BC18" si="34">AZ18+1</f>
        <v>2028</v>
      </c>
      <c r="BB18" s="101">
        <f t="shared" si="34"/>
        <v>2029</v>
      </c>
      <c r="BC18" s="102">
        <f t="shared" si="34"/>
        <v>2030</v>
      </c>
      <c r="BF18" s="84"/>
      <c r="BG18" s="101">
        <f>ano_1</f>
        <v>2026</v>
      </c>
      <c r="BH18" s="101">
        <f>BG18+1</f>
        <v>2027</v>
      </c>
      <c r="BI18" s="101">
        <f t="shared" ref="BI18:BK18" si="35">BH18+1</f>
        <v>2028</v>
      </c>
      <c r="BJ18" s="101">
        <f t="shared" si="35"/>
        <v>2029</v>
      </c>
      <c r="BK18" s="102">
        <f t="shared" si="35"/>
        <v>2030</v>
      </c>
      <c r="BN18" s="84"/>
      <c r="BO18" s="101">
        <f>ano_1</f>
        <v>2026</v>
      </c>
      <c r="BP18" s="101">
        <f>BO18+1</f>
        <v>2027</v>
      </c>
      <c r="BQ18" s="101">
        <f t="shared" ref="BQ18:BS18" si="36">BP18+1</f>
        <v>2028</v>
      </c>
      <c r="BR18" s="101">
        <f t="shared" si="36"/>
        <v>2029</v>
      </c>
      <c r="BS18" s="102">
        <f t="shared" si="36"/>
        <v>2030</v>
      </c>
      <c r="BV18" s="84"/>
      <c r="BW18" s="101">
        <f>ano_1</f>
        <v>2026</v>
      </c>
      <c r="BX18" s="101">
        <f>BW18+1</f>
        <v>2027</v>
      </c>
      <c r="BY18" s="101">
        <f t="shared" ref="BY18:CA18" si="37">BX18+1</f>
        <v>2028</v>
      </c>
      <c r="BZ18" s="101">
        <f t="shared" si="37"/>
        <v>2029</v>
      </c>
      <c r="CA18" s="102">
        <f t="shared" si="37"/>
        <v>2030</v>
      </c>
      <c r="CD18" s="84"/>
      <c r="CE18" s="101">
        <f>ano_1</f>
        <v>2026</v>
      </c>
      <c r="CF18" s="101">
        <f>CE18+1</f>
        <v>2027</v>
      </c>
      <c r="CG18" s="101">
        <f t="shared" ref="CG18:CI18" si="38">CF18+1</f>
        <v>2028</v>
      </c>
      <c r="CH18" s="101">
        <f t="shared" si="38"/>
        <v>2029</v>
      </c>
      <c r="CI18" s="102">
        <f t="shared" si="38"/>
        <v>2030</v>
      </c>
      <c r="CL18" s="84"/>
      <c r="CM18" s="101">
        <f>ano_1</f>
        <v>2026</v>
      </c>
      <c r="CN18" s="101">
        <f>CM18+1</f>
        <v>2027</v>
      </c>
      <c r="CO18" s="101">
        <f t="shared" ref="CO18:CQ18" si="39">CN18+1</f>
        <v>2028</v>
      </c>
      <c r="CP18" s="101">
        <f t="shared" si="39"/>
        <v>2029</v>
      </c>
      <c r="CQ18" s="102">
        <f t="shared" si="39"/>
        <v>2030</v>
      </c>
      <c r="CT18" s="84"/>
      <c r="CU18" s="101">
        <f>ano_1</f>
        <v>2026</v>
      </c>
      <c r="CV18" s="101">
        <f>CU18+1</f>
        <v>2027</v>
      </c>
      <c r="CW18" s="101">
        <f t="shared" ref="CW18:CY18" si="40">CV18+1</f>
        <v>2028</v>
      </c>
      <c r="CX18" s="101">
        <f t="shared" si="40"/>
        <v>2029</v>
      </c>
      <c r="CY18" s="102">
        <f t="shared" si="40"/>
        <v>2030</v>
      </c>
      <c r="DB18" s="84"/>
      <c r="DC18" s="101">
        <f>ano_1</f>
        <v>2026</v>
      </c>
      <c r="DD18" s="101">
        <f>DC18+1</f>
        <v>2027</v>
      </c>
      <c r="DE18" s="101">
        <f t="shared" ref="DE18:DG18" si="41">DD18+1</f>
        <v>2028</v>
      </c>
      <c r="DF18" s="101">
        <f t="shared" si="41"/>
        <v>2029</v>
      </c>
      <c r="DG18" s="102">
        <f t="shared" si="41"/>
        <v>2030</v>
      </c>
    </row>
    <row r="19" spans="2:113" ht="15" thickBot="1">
      <c r="B19" s="386" t="s">
        <v>335</v>
      </c>
      <c r="C19" s="315">
        <f>C$7*'Mkt share'!$C$42</f>
        <v>171512.56301158934</v>
      </c>
      <c r="D19" s="315">
        <f>D$7*'Mkt share'!$D$42</f>
        <v>345838.61826902092</v>
      </c>
      <c r="E19" s="315">
        <f>E$7*'Mkt share'!$E$42</f>
        <v>522801.3316214165</v>
      </c>
      <c r="F19" s="315">
        <f>F$7*'Mkt share'!$F$42</f>
        <v>702472.45877128292</v>
      </c>
      <c r="G19" s="387">
        <f>G$7*'Mkt share'!$G$42</f>
        <v>884882.59110896965</v>
      </c>
      <c r="J19" s="386" t="s">
        <v>335</v>
      </c>
      <c r="K19" s="315">
        <f>K$7*'Mkt share'!$C$43</f>
        <v>568891.87012232887</v>
      </c>
      <c r="L19" s="315">
        <f>L$7*'Mkt share'!$D$43</f>
        <v>1147115.8430201479</v>
      </c>
      <c r="M19" s="315">
        <f>M$7*'Mkt share'!$E$43</f>
        <v>1734085.3755911433</v>
      </c>
      <c r="N19" s="315">
        <f>N$7*'Mkt share'!$F$43</f>
        <v>2330038.4750988889</v>
      </c>
      <c r="O19" s="387">
        <f>O$7*'Mkt share'!$G$43</f>
        <v>2935076.6104559829</v>
      </c>
      <c r="R19" s="386" t="s">
        <v>335</v>
      </c>
      <c r="S19" s="315">
        <f>S$7*'Mkt share'!$C$44</f>
        <v>271999.28434993722</v>
      </c>
      <c r="T19" s="315">
        <f>T$7*'Mkt share'!$D$44</f>
        <v>548460.4452175817</v>
      </c>
      <c r="U19" s="315">
        <f>U$7*'Mkt share'!$E$44</f>
        <v>829103.04388962337</v>
      </c>
      <c r="V19" s="315">
        <f>V$7*'Mkt share'!$F$44</f>
        <v>1114040.8766932061</v>
      </c>
      <c r="W19" s="387">
        <f>W$7*'Mkt share'!$G$44</f>
        <v>1403322.4580702833</v>
      </c>
      <c r="Z19" s="386" t="s">
        <v>335</v>
      </c>
      <c r="AA19" s="315">
        <f>AA$7*'Mkt share'!$C$45</f>
        <v>39357.299190852944</v>
      </c>
      <c r="AB19" s="315">
        <f>AB$7*'Mkt share'!$D$45</f>
        <v>79360.215554852999</v>
      </c>
      <c r="AC19" s="315">
        <f>AC$7*'Mkt share'!$E$45</f>
        <v>119968.17063838098</v>
      </c>
      <c r="AD19" s="315">
        <f>AD$7*'Mkt share'!$F$45</f>
        <v>161197.63035275333</v>
      </c>
      <c r="AE19" s="387">
        <f>AE$7*'Mkt share'!$G$45</f>
        <v>203055.61455984789</v>
      </c>
      <c r="AH19" s="386" t="s">
        <v>335</v>
      </c>
      <c r="AI19" s="315">
        <f>AI$7*'Mkt share'!$C$46</f>
        <v>182122.16792852723</v>
      </c>
      <c r="AJ19" s="315">
        <f>AJ$7*'Mkt share'!$D$46</f>
        <v>163214.16358755008</v>
      </c>
      <c r="AK19" s="315">
        <f>AK$7*'Mkt share'!$E$46</f>
        <v>143925.52934827263</v>
      </c>
      <c r="AL19" s="315">
        <f>AL$7*'Mkt share'!$F$46</f>
        <v>124321.12343558976</v>
      </c>
      <c r="AM19" s="387">
        <f>AM$7*'Mkt share'!$G$46</f>
        <v>104402.28791098234</v>
      </c>
      <c r="AP19" s="386" t="s">
        <v>335</v>
      </c>
      <c r="AQ19" s="315">
        <f>AQ$7*'Mkt share'!$C$47</f>
        <v>913471.24534888833</v>
      </c>
      <c r="AR19" s="315">
        <f>AR$7*'Mkt share'!$D$47</f>
        <v>818634.25505349052</v>
      </c>
      <c r="AS19" s="315">
        <f>AS$7*'Mkt share'!$E$47</f>
        <v>721888.13710399019</v>
      </c>
      <c r="AT19" s="315">
        <f>AT$7*'Mkt share'!$F$47</f>
        <v>623558.20128633932</v>
      </c>
      <c r="AU19" s="387">
        <f>AU$7*'Mkt share'!$G$47</f>
        <v>523651.17898632231</v>
      </c>
      <c r="AX19" s="386" t="s">
        <v>335</v>
      </c>
      <c r="AY19" s="315">
        <f>AY$7*'Mkt share'!$C$48</f>
        <v>1005885.5118313929</v>
      </c>
      <c r="AZ19" s="315">
        <f>AZ$7*'Mkt share'!$D$48</f>
        <v>901454.03135561699</v>
      </c>
      <c r="BA19" s="315">
        <f>BA$7*'Mkt share'!$E$48</f>
        <v>794920.28016549046</v>
      </c>
      <c r="BB19" s="315">
        <f>BB$7*'Mkt share'!$F$48</f>
        <v>686642.47906129819</v>
      </c>
      <c r="BC19" s="387">
        <f>BC$7*'Mkt share'!$G$48</f>
        <v>576628.04043119086</v>
      </c>
      <c r="BF19" s="386" t="s">
        <v>335</v>
      </c>
      <c r="BG19" s="315">
        <f>BG$7*'Mkt share'!$C$49</f>
        <v>179724.01727923824</v>
      </c>
      <c r="BH19" s="315">
        <f>BH$7*'Mkt share'!$D$49</f>
        <v>161064.99000350706</v>
      </c>
      <c r="BI19" s="315">
        <f>BI$7*'Mkt share'!$E$49</f>
        <v>142030.34489279616</v>
      </c>
      <c r="BJ19" s="315">
        <f>BJ$7*'Mkt share'!$F$49</f>
        <v>122684.08613102397</v>
      </c>
      <c r="BK19" s="387">
        <f>BK$7*'Mkt share'!$G$49</f>
        <v>103027.53810765674</v>
      </c>
      <c r="BN19" s="386" t="s">
        <v>335</v>
      </c>
      <c r="BO19" s="315">
        <f>BO$7*'Mkt share'!$C$50</f>
        <v>1739.9924294741088</v>
      </c>
      <c r="BP19" s="315">
        <f>BP$7*'Mkt share'!$D$50</f>
        <v>1754.2638482034145</v>
      </c>
      <c r="BQ19" s="315">
        <f>BQ$7*'Mkt share'!$E$50</f>
        <v>1767.9372736460134</v>
      </c>
      <c r="BR19" s="315">
        <f>BR$7*'Mkt share'!$F$50</f>
        <v>1781.6431909036062</v>
      </c>
      <c r="BS19" s="387">
        <f>BS$7*'Mkt share'!$G$50</f>
        <v>1795.4241747282406</v>
      </c>
      <c r="BV19" s="386" t="s">
        <v>335</v>
      </c>
      <c r="BW19" s="315">
        <f>BW$7*'Mkt share'!$C$51</f>
        <v>1187.9254563115358</v>
      </c>
      <c r="BX19" s="315">
        <f>BX$7*'Mkt share'!$D$51</f>
        <v>1064.5945079697033</v>
      </c>
      <c r="BY19" s="315">
        <f>BY$7*'Mkt share'!$E$51</f>
        <v>938.78083085977426</v>
      </c>
      <c r="BZ19" s="315">
        <f>BZ$7*'Mkt share'!$F$51</f>
        <v>810.90747472511737</v>
      </c>
      <c r="CA19" s="387">
        <f>CA$7*'Mkt share'!$G$51</f>
        <v>680.98319340945807</v>
      </c>
      <c r="CD19" s="386" t="s">
        <v>335</v>
      </c>
      <c r="CE19" s="315">
        <f>CE$7*'Mkt share'!$C$52</f>
        <v>257333.25433036484</v>
      </c>
      <c r="CF19" s="315">
        <f>CF$7*'Mkt share'!$D$52</f>
        <v>230616.80160361165</v>
      </c>
      <c r="CG19" s="315">
        <f>CG$7*'Mkt share'!$E$52</f>
        <v>203362.53005151093</v>
      </c>
      <c r="CH19" s="315">
        <f>CH$7*'Mkt share'!$F$52</f>
        <v>175662.08243382192</v>
      </c>
      <c r="CI19" s="387">
        <f>CI$7*'Mkt share'!$G$52</f>
        <v>147517.35504385317</v>
      </c>
      <c r="CL19" s="386" t="s">
        <v>335</v>
      </c>
      <c r="CM19" s="315">
        <f>CM$7*'Mkt share'!$C$53</f>
        <v>5513242.8549347809</v>
      </c>
      <c r="CN19" s="315">
        <f>CN$7*'Mkt share'!$D$53</f>
        <v>4940855.5337225813</v>
      </c>
      <c r="CO19" s="315">
        <f>CO$7*'Mkt share'!$E$53</f>
        <v>4356945.6994025744</v>
      </c>
      <c r="CP19" s="315">
        <f>CP$7*'Mkt share'!$F$53</f>
        <v>3763476.7546129599</v>
      </c>
      <c r="CQ19" s="387">
        <f>CQ$7*'Mkt share'!$G$53</f>
        <v>3160489.3265379765</v>
      </c>
      <c r="CT19" s="386" t="s">
        <v>335</v>
      </c>
      <c r="CU19" s="315">
        <f>CU$7*'Mkt share'!$C$54</f>
        <v>1411142.1805333972</v>
      </c>
      <c r="CV19" s="315">
        <f>CV$7*'Mkt share'!$D$54</f>
        <v>1264441.854563883</v>
      </c>
      <c r="CW19" s="315">
        <f>CW$7*'Mkt share'!$E$54</f>
        <v>1114789.2449921763</v>
      </c>
      <c r="CX19" s="315">
        <f>CX$7*'Mkt share'!$F$54</f>
        <v>962686.88374753459</v>
      </c>
      <c r="CY19" s="387">
        <f>CY$7*'Mkt share'!$G$54</f>
        <v>808145.13980896596</v>
      </c>
      <c r="DB19" s="386" t="s">
        <v>335</v>
      </c>
      <c r="DC19" s="315">
        <f>DC$7*'Mkt share'!$C$55</f>
        <v>0</v>
      </c>
      <c r="DD19" s="315">
        <f>DD$7*'Mkt share'!$D$55</f>
        <v>0</v>
      </c>
      <c r="DE19" s="315">
        <f>DE$7*'Mkt share'!$E$55</f>
        <v>0</v>
      </c>
      <c r="DF19" s="315">
        <f>DF$7*'Mkt share'!$F$55</f>
        <v>0</v>
      </c>
      <c r="DG19" s="387">
        <f>DG$7*'Mkt share'!$G$55</f>
        <v>0</v>
      </c>
    </row>
    <row r="20" spans="2:113" ht="15" thickBot="1">
      <c r="B20" s="80"/>
      <c r="C20" s="92"/>
      <c r="D20" s="92"/>
      <c r="E20" s="92"/>
      <c r="F20" s="92"/>
      <c r="G20" s="92"/>
      <c r="J20" s="80"/>
      <c r="K20" s="92"/>
      <c r="L20" s="92"/>
      <c r="M20" s="92"/>
      <c r="N20" s="92"/>
      <c r="O20" s="92"/>
      <c r="R20" s="80"/>
      <c r="S20" s="92"/>
      <c r="T20" s="92"/>
      <c r="U20" s="92"/>
      <c r="V20" s="92"/>
      <c r="W20" s="92"/>
      <c r="Z20" s="80"/>
      <c r="AA20" s="92"/>
      <c r="AB20" s="92"/>
      <c r="AC20" s="92"/>
      <c r="AD20" s="92"/>
      <c r="AE20" s="92"/>
      <c r="AH20" s="80"/>
      <c r="AI20" s="92"/>
      <c r="AJ20" s="92"/>
      <c r="AK20" s="92"/>
      <c r="AL20" s="92"/>
      <c r="AM20" s="92"/>
      <c r="AP20" s="80"/>
      <c r="AQ20" s="92"/>
      <c r="AR20" s="92"/>
      <c r="AS20" s="92"/>
      <c r="AT20" s="92"/>
      <c r="AU20" s="92"/>
      <c r="AX20" s="80"/>
      <c r="AY20" s="92"/>
      <c r="AZ20" s="92"/>
      <c r="BA20" s="92"/>
      <c r="BB20" s="92"/>
      <c r="BC20" s="92"/>
      <c r="BF20" s="80"/>
      <c r="BG20" s="92"/>
      <c r="BH20" s="92"/>
      <c r="BI20" s="92"/>
      <c r="BJ20" s="92"/>
      <c r="BK20" s="92"/>
      <c r="BN20" s="80"/>
      <c r="BO20" s="92"/>
      <c r="BP20" s="92"/>
      <c r="BQ20" s="92"/>
      <c r="BR20" s="92"/>
      <c r="BS20" s="92"/>
      <c r="BV20" s="80"/>
      <c r="BW20" s="92"/>
      <c r="BX20" s="92"/>
      <c r="BY20" s="92"/>
      <c r="BZ20" s="92"/>
      <c r="CA20" s="92"/>
      <c r="CD20" s="80"/>
      <c r="CE20" s="92"/>
      <c r="CF20" s="92"/>
      <c r="CG20" s="92"/>
      <c r="CH20" s="92"/>
      <c r="CI20" s="92"/>
      <c r="CL20" s="80"/>
      <c r="CM20" s="92"/>
      <c r="CN20" s="92"/>
      <c r="CO20" s="92"/>
      <c r="CP20" s="92"/>
      <c r="CQ20" s="92"/>
      <c r="CT20" s="80"/>
      <c r="CU20" s="92"/>
      <c r="CV20" s="92"/>
      <c r="CW20" s="92"/>
      <c r="CX20" s="92"/>
      <c r="CY20" s="92"/>
      <c r="DB20" s="80"/>
      <c r="DC20" s="92"/>
      <c r="DD20" s="92"/>
      <c r="DE20" s="92"/>
      <c r="DF20" s="92"/>
      <c r="DG20" s="92"/>
    </row>
    <row r="21" spans="2:113" ht="15" thickBot="1">
      <c r="B21" s="507" t="str">
        <f>cen_prop2</f>
        <v>high intensity only</v>
      </c>
      <c r="C21" s="508"/>
      <c r="D21" s="508"/>
      <c r="E21" s="508"/>
      <c r="F21" s="508"/>
      <c r="G21" s="509"/>
      <c r="J21" s="507" t="str">
        <f>cen_prop2</f>
        <v>high intensity only</v>
      </c>
      <c r="K21" s="508"/>
      <c r="L21" s="508"/>
      <c r="M21" s="508"/>
      <c r="N21" s="508"/>
      <c r="O21" s="509"/>
      <c r="R21" s="507" t="str">
        <f>cen_prop2</f>
        <v>high intensity only</v>
      </c>
      <c r="S21" s="508"/>
      <c r="T21" s="508"/>
      <c r="U21" s="508"/>
      <c r="V21" s="508"/>
      <c r="W21" s="509"/>
      <c r="Z21" s="507" t="str">
        <f>cen_prop2</f>
        <v>high intensity only</v>
      </c>
      <c r="AA21" s="508"/>
      <c r="AB21" s="508"/>
      <c r="AC21" s="508"/>
      <c r="AD21" s="508"/>
      <c r="AE21" s="509"/>
      <c r="AH21" s="507" t="str">
        <f>cen_prop2</f>
        <v>high intensity only</v>
      </c>
      <c r="AI21" s="508"/>
      <c r="AJ21" s="508"/>
      <c r="AK21" s="508"/>
      <c r="AL21" s="508"/>
      <c r="AM21" s="509"/>
      <c r="AP21" s="507" t="str">
        <f>cen_prop2</f>
        <v>high intensity only</v>
      </c>
      <c r="AQ21" s="508"/>
      <c r="AR21" s="508"/>
      <c r="AS21" s="508"/>
      <c r="AT21" s="508"/>
      <c r="AU21" s="509"/>
      <c r="AX21" s="507" t="str">
        <f>cen_prop2</f>
        <v>high intensity only</v>
      </c>
      <c r="AY21" s="508"/>
      <c r="AZ21" s="508"/>
      <c r="BA21" s="508"/>
      <c r="BB21" s="508"/>
      <c r="BC21" s="509"/>
      <c r="BF21" s="507" t="str">
        <f>cen_prop2</f>
        <v>high intensity only</v>
      </c>
      <c r="BG21" s="508"/>
      <c r="BH21" s="508"/>
      <c r="BI21" s="508"/>
      <c r="BJ21" s="508"/>
      <c r="BK21" s="509"/>
      <c r="BN21" s="507" t="str">
        <f>cen_prop2</f>
        <v>high intensity only</v>
      </c>
      <c r="BO21" s="508"/>
      <c r="BP21" s="508"/>
      <c r="BQ21" s="508"/>
      <c r="BR21" s="508"/>
      <c r="BS21" s="509"/>
      <c r="BV21" s="507" t="str">
        <f>cen_prop2</f>
        <v>high intensity only</v>
      </c>
      <c r="BW21" s="508"/>
      <c r="BX21" s="508"/>
      <c r="BY21" s="508"/>
      <c r="BZ21" s="508"/>
      <c r="CA21" s="509"/>
      <c r="CD21" s="507" t="str">
        <f>cen_prop2</f>
        <v>high intensity only</v>
      </c>
      <c r="CE21" s="508"/>
      <c r="CF21" s="508"/>
      <c r="CG21" s="508"/>
      <c r="CH21" s="508"/>
      <c r="CI21" s="509"/>
      <c r="CL21" s="507" t="str">
        <f>cen_prop2</f>
        <v>high intensity only</v>
      </c>
      <c r="CM21" s="508"/>
      <c r="CN21" s="508"/>
      <c r="CO21" s="508"/>
      <c r="CP21" s="508"/>
      <c r="CQ21" s="509"/>
      <c r="CT21" s="507" t="str">
        <f>cen_prop2</f>
        <v>high intensity only</v>
      </c>
      <c r="CU21" s="508"/>
      <c r="CV21" s="508"/>
      <c r="CW21" s="508"/>
      <c r="CX21" s="508"/>
      <c r="CY21" s="509"/>
      <c r="DB21" s="507" t="str">
        <f>cen_prop2</f>
        <v>high intensity only</v>
      </c>
      <c r="DC21" s="508"/>
      <c r="DD21" s="508"/>
      <c r="DE21" s="508"/>
      <c r="DF21" s="508"/>
      <c r="DG21" s="509"/>
    </row>
    <row r="22" spans="2:113">
      <c r="B22" s="84"/>
      <c r="C22" s="101">
        <f>ano_1</f>
        <v>2026</v>
      </c>
      <c r="D22" s="101">
        <f>C22+1</f>
        <v>2027</v>
      </c>
      <c r="E22" s="101">
        <f t="shared" ref="E22:G22" si="42">D22+1</f>
        <v>2028</v>
      </c>
      <c r="F22" s="101">
        <f t="shared" si="42"/>
        <v>2029</v>
      </c>
      <c r="G22" s="102">
        <f t="shared" si="42"/>
        <v>2030</v>
      </c>
      <c r="J22" s="84"/>
      <c r="K22" s="101">
        <f>ano_1</f>
        <v>2026</v>
      </c>
      <c r="L22" s="101">
        <f>K22+1</f>
        <v>2027</v>
      </c>
      <c r="M22" s="101">
        <f t="shared" ref="M22:O22" si="43">L22+1</f>
        <v>2028</v>
      </c>
      <c r="N22" s="101">
        <f t="shared" si="43"/>
        <v>2029</v>
      </c>
      <c r="O22" s="102">
        <f t="shared" si="43"/>
        <v>2030</v>
      </c>
      <c r="R22" s="84"/>
      <c r="S22" s="101">
        <f>ano_1</f>
        <v>2026</v>
      </c>
      <c r="T22" s="101">
        <f>S22+1</f>
        <v>2027</v>
      </c>
      <c r="U22" s="101">
        <f t="shared" ref="U22:W22" si="44">T22+1</f>
        <v>2028</v>
      </c>
      <c r="V22" s="101">
        <f t="shared" si="44"/>
        <v>2029</v>
      </c>
      <c r="W22" s="102">
        <f t="shared" si="44"/>
        <v>2030</v>
      </c>
      <c r="Z22" s="84"/>
      <c r="AA22" s="101">
        <f>ano_1</f>
        <v>2026</v>
      </c>
      <c r="AB22" s="101">
        <f>AA22+1</f>
        <v>2027</v>
      </c>
      <c r="AC22" s="101">
        <f t="shared" ref="AC22:AE22" si="45">AB22+1</f>
        <v>2028</v>
      </c>
      <c r="AD22" s="101">
        <f t="shared" si="45"/>
        <v>2029</v>
      </c>
      <c r="AE22" s="102">
        <f t="shared" si="45"/>
        <v>2030</v>
      </c>
      <c r="AH22" s="84"/>
      <c r="AI22" s="101">
        <f>ano_1</f>
        <v>2026</v>
      </c>
      <c r="AJ22" s="101">
        <f>AI22+1</f>
        <v>2027</v>
      </c>
      <c r="AK22" s="101">
        <f t="shared" ref="AK22:AM22" si="46">AJ22+1</f>
        <v>2028</v>
      </c>
      <c r="AL22" s="101">
        <f t="shared" si="46"/>
        <v>2029</v>
      </c>
      <c r="AM22" s="102">
        <f t="shared" si="46"/>
        <v>2030</v>
      </c>
      <c r="AP22" s="84"/>
      <c r="AQ22" s="101">
        <f>ano_1</f>
        <v>2026</v>
      </c>
      <c r="AR22" s="101">
        <f>AQ22+1</f>
        <v>2027</v>
      </c>
      <c r="AS22" s="101">
        <f t="shared" ref="AS22:AU22" si="47">AR22+1</f>
        <v>2028</v>
      </c>
      <c r="AT22" s="101">
        <f t="shared" si="47"/>
        <v>2029</v>
      </c>
      <c r="AU22" s="102">
        <f t="shared" si="47"/>
        <v>2030</v>
      </c>
      <c r="AX22" s="84"/>
      <c r="AY22" s="101">
        <f>ano_1</f>
        <v>2026</v>
      </c>
      <c r="AZ22" s="101">
        <f>AY22+1</f>
        <v>2027</v>
      </c>
      <c r="BA22" s="101">
        <f t="shared" ref="BA22:BC22" si="48">AZ22+1</f>
        <v>2028</v>
      </c>
      <c r="BB22" s="101">
        <f t="shared" si="48"/>
        <v>2029</v>
      </c>
      <c r="BC22" s="102">
        <f t="shared" si="48"/>
        <v>2030</v>
      </c>
      <c r="BF22" s="84"/>
      <c r="BG22" s="101">
        <f>ano_1</f>
        <v>2026</v>
      </c>
      <c r="BH22" s="101">
        <f>BG22+1</f>
        <v>2027</v>
      </c>
      <c r="BI22" s="101">
        <f t="shared" ref="BI22:BK22" si="49">BH22+1</f>
        <v>2028</v>
      </c>
      <c r="BJ22" s="101">
        <f t="shared" si="49"/>
        <v>2029</v>
      </c>
      <c r="BK22" s="102">
        <f t="shared" si="49"/>
        <v>2030</v>
      </c>
      <c r="BN22" s="84"/>
      <c r="BO22" s="101">
        <f>ano_1</f>
        <v>2026</v>
      </c>
      <c r="BP22" s="101">
        <f>BO22+1</f>
        <v>2027</v>
      </c>
      <c r="BQ22" s="101">
        <f t="shared" ref="BQ22:BS22" si="50">BP22+1</f>
        <v>2028</v>
      </c>
      <c r="BR22" s="101">
        <f t="shared" si="50"/>
        <v>2029</v>
      </c>
      <c r="BS22" s="102">
        <f t="shared" si="50"/>
        <v>2030</v>
      </c>
      <c r="BV22" s="84"/>
      <c r="BW22" s="101">
        <f>ano_1</f>
        <v>2026</v>
      </c>
      <c r="BX22" s="101">
        <f>BW22+1</f>
        <v>2027</v>
      </c>
      <c r="BY22" s="101">
        <f t="shared" ref="BY22:CA22" si="51">BX22+1</f>
        <v>2028</v>
      </c>
      <c r="BZ22" s="101">
        <f t="shared" si="51"/>
        <v>2029</v>
      </c>
      <c r="CA22" s="102">
        <f t="shared" si="51"/>
        <v>2030</v>
      </c>
      <c r="CD22" s="84"/>
      <c r="CE22" s="101">
        <f>ano_1</f>
        <v>2026</v>
      </c>
      <c r="CF22" s="101">
        <f>CE22+1</f>
        <v>2027</v>
      </c>
      <c r="CG22" s="101">
        <f t="shared" ref="CG22:CI22" si="52">CF22+1</f>
        <v>2028</v>
      </c>
      <c r="CH22" s="101">
        <f t="shared" si="52"/>
        <v>2029</v>
      </c>
      <c r="CI22" s="102">
        <f t="shared" si="52"/>
        <v>2030</v>
      </c>
      <c r="CL22" s="84"/>
      <c r="CM22" s="101">
        <f>ano_1</f>
        <v>2026</v>
      </c>
      <c r="CN22" s="101">
        <f>CM22+1</f>
        <v>2027</v>
      </c>
      <c r="CO22" s="101">
        <f t="shared" ref="CO22:CQ22" si="53">CN22+1</f>
        <v>2028</v>
      </c>
      <c r="CP22" s="101">
        <f t="shared" si="53"/>
        <v>2029</v>
      </c>
      <c r="CQ22" s="102">
        <f t="shared" si="53"/>
        <v>2030</v>
      </c>
      <c r="CT22" s="84"/>
      <c r="CU22" s="101">
        <f>ano_1</f>
        <v>2026</v>
      </c>
      <c r="CV22" s="101">
        <f>CU22+1</f>
        <v>2027</v>
      </c>
      <c r="CW22" s="101">
        <f t="shared" ref="CW22:CY22" si="54">CV22+1</f>
        <v>2028</v>
      </c>
      <c r="CX22" s="101">
        <f t="shared" si="54"/>
        <v>2029</v>
      </c>
      <c r="CY22" s="102">
        <f t="shared" si="54"/>
        <v>2030</v>
      </c>
      <c r="DB22" s="84"/>
      <c r="DC22" s="101">
        <f>ano_1</f>
        <v>2026</v>
      </c>
      <c r="DD22" s="101">
        <f>DC22+1</f>
        <v>2027</v>
      </c>
      <c r="DE22" s="101">
        <f t="shared" ref="DE22:DG22" si="55">DD22+1</f>
        <v>2028</v>
      </c>
      <c r="DF22" s="101">
        <f t="shared" si="55"/>
        <v>2029</v>
      </c>
      <c r="DG22" s="102">
        <f t="shared" si="55"/>
        <v>2030</v>
      </c>
    </row>
    <row r="23" spans="2:113" ht="15" thickBot="1">
      <c r="B23" s="386" t="s">
        <v>335</v>
      </c>
      <c r="C23" s="315">
        <f>C$7*'Mkt share'!$C$62</f>
        <v>0</v>
      </c>
      <c r="D23" s="315">
        <f>D$7*'Mkt share'!$D$62</f>
        <v>0</v>
      </c>
      <c r="E23" s="315">
        <f>E$7*'Mkt share'!$E$62</f>
        <v>0</v>
      </c>
      <c r="F23" s="315">
        <f>F$7*'Mkt share'!$F$62</f>
        <v>0</v>
      </c>
      <c r="G23" s="387">
        <f>G$7*'Mkt share'!$G$62</f>
        <v>0</v>
      </c>
      <c r="J23" s="386" t="s">
        <v>335</v>
      </c>
      <c r="K23" s="315">
        <f>K$7*'Mkt share'!$C$63</f>
        <v>0</v>
      </c>
      <c r="L23" s="315">
        <f>L$7*'Mkt share'!$D$63</f>
        <v>0</v>
      </c>
      <c r="M23" s="315">
        <f>M$7*'Mkt share'!$E$63</f>
        <v>0</v>
      </c>
      <c r="N23" s="315">
        <f>N$7*'Mkt share'!$F$63</f>
        <v>0</v>
      </c>
      <c r="O23" s="387">
        <f>O$7*'Mkt share'!$G$63</f>
        <v>0</v>
      </c>
      <c r="R23" s="386" t="s">
        <v>335</v>
      </c>
      <c r="S23" s="315">
        <f>S$7*'Mkt share'!$C$64</f>
        <v>918812.25246423809</v>
      </c>
      <c r="T23" s="315">
        <f>T$7*'Mkt share'!$D$64</f>
        <v>1852696.7019868242</v>
      </c>
      <c r="U23" s="315">
        <f>U$7*'Mkt share'!$E$64</f>
        <v>2800706.0279655345</v>
      </c>
      <c r="V23" s="315">
        <f>V$7*'Mkt share'!$F$64</f>
        <v>3763224.6338370023</v>
      </c>
      <c r="W23" s="387">
        <f>W$7*'Mkt share'!$G$64</f>
        <v>4740416.4011489088</v>
      </c>
      <c r="Z23" s="386" t="s">
        <v>335</v>
      </c>
      <c r="AA23" s="315">
        <f>AA$7*'Mkt share'!$C$65</f>
        <v>132948.76421047046</v>
      </c>
      <c r="AB23" s="315">
        <f>AB$7*'Mkt share'!$D$65</f>
        <v>268078.42007477971</v>
      </c>
      <c r="AC23" s="315">
        <f>AC$7*'Mkt share'!$E$65</f>
        <v>405251.89377502969</v>
      </c>
      <c r="AD23" s="315">
        <f>AD$7*'Mkt share'!$F$65</f>
        <v>544524.80707912962</v>
      </c>
      <c r="AE23" s="387">
        <f>AE$7*'Mkt share'!$G$65</f>
        <v>685920.87304617569</v>
      </c>
      <c r="AH23" s="386" t="s">
        <v>335</v>
      </c>
      <c r="AI23" s="315">
        <f>AI$7*'Mkt share'!$C$66</f>
        <v>182122.16792852723</v>
      </c>
      <c r="AJ23" s="315">
        <f>AJ$7*'Mkt share'!$D$66</f>
        <v>163214.16358755008</v>
      </c>
      <c r="AK23" s="315">
        <f>AK$7*'Mkt share'!$E$66</f>
        <v>143925.52934827263</v>
      </c>
      <c r="AL23" s="315">
        <f>AL$7*'Mkt share'!$F$66</f>
        <v>124321.12343558976</v>
      </c>
      <c r="AM23" s="387">
        <f>AM$7*'Mkt share'!$G$66</f>
        <v>104402.28791098234</v>
      </c>
      <c r="AP23" s="386" t="s">
        <v>335</v>
      </c>
      <c r="AQ23" s="315">
        <f>AQ$7*'Mkt share'!$C$67</f>
        <v>913471.24534888833</v>
      </c>
      <c r="AR23" s="315">
        <f>AR$7*'Mkt share'!$D$67</f>
        <v>818634.25505349052</v>
      </c>
      <c r="AS23" s="315">
        <f>AS$7*'Mkt share'!$E$67</f>
        <v>721888.13710399019</v>
      </c>
      <c r="AT23" s="315">
        <f>AT$7*'Mkt share'!$F$67</f>
        <v>623558.20128633932</v>
      </c>
      <c r="AU23" s="387">
        <f>AU$7*'Mkt share'!$G$67</f>
        <v>523651.17898632231</v>
      </c>
      <c r="AX23" s="386" t="s">
        <v>335</v>
      </c>
      <c r="AY23" s="315">
        <f>AY$7*'Mkt share'!$C$68</f>
        <v>1005885.5118313929</v>
      </c>
      <c r="AZ23" s="315">
        <f>AZ$7*'Mkt share'!$D$68</f>
        <v>901454.03135561699</v>
      </c>
      <c r="BA23" s="315">
        <f>BA$7*'Mkt share'!$E$68</f>
        <v>794920.28016549046</v>
      </c>
      <c r="BB23" s="315">
        <f>BB$7*'Mkt share'!$F$68</f>
        <v>686642.47906129819</v>
      </c>
      <c r="BC23" s="387">
        <f>BC$7*'Mkt share'!$G$68</f>
        <v>576628.04043119086</v>
      </c>
      <c r="BF23" s="386" t="s">
        <v>335</v>
      </c>
      <c r="BG23" s="315">
        <f>BG$7*'Mkt share'!$C$69</f>
        <v>179724.01727923824</v>
      </c>
      <c r="BH23" s="315">
        <f>BH$7*'Mkt share'!$D$69</f>
        <v>161064.99000350706</v>
      </c>
      <c r="BI23" s="315">
        <f>BI$7*'Mkt share'!$E$69</f>
        <v>142030.34489279616</v>
      </c>
      <c r="BJ23" s="315">
        <f>BJ$7*'Mkt share'!$F$69</f>
        <v>122684.08613102397</v>
      </c>
      <c r="BK23" s="387">
        <f>BK$7*'Mkt share'!$G$69</f>
        <v>103027.53810765674</v>
      </c>
      <c r="BN23" s="386" t="s">
        <v>335</v>
      </c>
      <c r="BO23" s="315">
        <f>BO$7*'Mkt share'!$C$70</f>
        <v>1739.9924294741088</v>
      </c>
      <c r="BP23" s="315">
        <f>BP$7*'Mkt share'!$D$70</f>
        <v>1754.2638482034145</v>
      </c>
      <c r="BQ23" s="315">
        <f>BQ$7*'Mkt share'!$E$70</f>
        <v>1767.9372736460134</v>
      </c>
      <c r="BR23" s="315">
        <f>BR$7*'Mkt share'!$F$70</f>
        <v>1781.6431909036062</v>
      </c>
      <c r="BS23" s="387">
        <f>BS$7*'Mkt share'!$G$70</f>
        <v>1795.4241747282406</v>
      </c>
      <c r="BV23" s="386" t="s">
        <v>335</v>
      </c>
      <c r="BW23" s="315">
        <f>BW$7*'Mkt share'!$C$71</f>
        <v>1187.9254563115358</v>
      </c>
      <c r="BX23" s="315">
        <f>BX$7*'Mkt share'!$D$71</f>
        <v>1064.5945079697033</v>
      </c>
      <c r="BY23" s="315">
        <f>BY$7*'Mkt share'!$E$71</f>
        <v>938.78083085977426</v>
      </c>
      <c r="BZ23" s="315">
        <f>BZ$7*'Mkt share'!$F$71</f>
        <v>810.90747472511737</v>
      </c>
      <c r="CA23" s="387">
        <f>CA$7*'Mkt share'!$G$71</f>
        <v>680.98319340945807</v>
      </c>
      <c r="CD23" s="386" t="s">
        <v>335</v>
      </c>
      <c r="CE23" s="315">
        <f>CE$7*'Mkt share'!$C$72</f>
        <v>257333.25433036484</v>
      </c>
      <c r="CF23" s="315">
        <f>CF$7*'Mkt share'!$D$72</f>
        <v>230616.80160361165</v>
      </c>
      <c r="CG23" s="315">
        <f>CG$7*'Mkt share'!$E$72</f>
        <v>203362.53005151093</v>
      </c>
      <c r="CH23" s="315">
        <f>CH$7*'Mkt share'!$F$72</f>
        <v>175662.08243382192</v>
      </c>
      <c r="CI23" s="387">
        <f>CI$7*'Mkt share'!$G$72</f>
        <v>147517.35504385317</v>
      </c>
      <c r="CL23" s="386" t="s">
        <v>335</v>
      </c>
      <c r="CM23" s="315">
        <f>CM$7*'Mkt share'!$C$73</f>
        <v>5513242.8549347809</v>
      </c>
      <c r="CN23" s="315">
        <f>CN$7*'Mkt share'!$D$73</f>
        <v>4940855.5337225813</v>
      </c>
      <c r="CO23" s="315">
        <f>CO$7*'Mkt share'!$E$73</f>
        <v>4356945.6994025744</v>
      </c>
      <c r="CP23" s="315">
        <f>CP$7*'Mkt share'!$F$73</f>
        <v>3763476.7546129599</v>
      </c>
      <c r="CQ23" s="387">
        <f>CQ$7*'Mkt share'!$G$73</f>
        <v>3160489.3265379765</v>
      </c>
      <c r="CT23" s="386" t="s">
        <v>335</v>
      </c>
      <c r="CU23" s="315">
        <f>CU$7*'Mkt share'!$C$74</f>
        <v>1411142.1805333972</v>
      </c>
      <c r="CV23" s="315">
        <f>CV$7*'Mkt share'!$D$74</f>
        <v>1264441.854563883</v>
      </c>
      <c r="CW23" s="315">
        <f>CW$7*'Mkt share'!$E$74</f>
        <v>1114789.2449921763</v>
      </c>
      <c r="CX23" s="315">
        <f>CX$7*'Mkt share'!$F$74</f>
        <v>962686.88374753459</v>
      </c>
      <c r="CY23" s="387">
        <f>CY$7*'Mkt share'!$G$74</f>
        <v>808145.13980896596</v>
      </c>
      <c r="DB23" s="386" t="s">
        <v>335</v>
      </c>
      <c r="DC23" s="315">
        <f>DC$7*'Mkt share'!$C$75</f>
        <v>0</v>
      </c>
      <c r="DD23" s="315">
        <f>DD$7*'Mkt share'!$D$75</f>
        <v>0</v>
      </c>
      <c r="DE23" s="315">
        <f>DE$7*'Mkt share'!$E$75</f>
        <v>0</v>
      </c>
      <c r="DF23" s="315">
        <f>DF$7*'Mkt share'!$F$75</f>
        <v>0</v>
      </c>
      <c r="DG23" s="387">
        <f>DG$7*'Mkt share'!$G$75</f>
        <v>0</v>
      </c>
    </row>
    <row r="24" spans="2:113" ht="15" thickBot="1">
      <c r="B24" s="80"/>
      <c r="C24" s="92"/>
      <c r="D24" s="92"/>
      <c r="E24" s="92"/>
      <c r="F24" s="92"/>
      <c r="G24" s="92"/>
      <c r="J24" s="80"/>
      <c r="K24" s="92"/>
      <c r="L24" s="92"/>
      <c r="M24" s="92"/>
      <c r="N24" s="92"/>
      <c r="O24" s="92"/>
      <c r="R24" s="80"/>
      <c r="S24" s="92"/>
      <c r="T24" s="92"/>
      <c r="U24" s="92"/>
      <c r="V24" s="92"/>
      <c r="W24" s="92"/>
      <c r="Z24" s="80"/>
      <c r="AA24" s="92"/>
      <c r="AB24" s="92"/>
      <c r="AC24" s="92"/>
      <c r="AD24" s="92"/>
      <c r="AE24" s="92"/>
      <c r="AH24" s="80"/>
      <c r="AI24" s="92"/>
      <c r="AJ24" s="92"/>
      <c r="AK24" s="92"/>
      <c r="AL24" s="92"/>
      <c r="AM24" s="92"/>
      <c r="AP24" s="80"/>
      <c r="AQ24" s="92"/>
      <c r="AR24" s="92"/>
      <c r="AS24" s="92"/>
      <c r="AT24" s="92"/>
      <c r="AU24" s="92"/>
      <c r="AX24" s="80"/>
      <c r="AY24" s="92"/>
      <c r="AZ24" s="92"/>
      <c r="BA24" s="92"/>
      <c r="BB24" s="92"/>
      <c r="BC24" s="92"/>
      <c r="BF24" s="80"/>
      <c r="BG24" s="92"/>
      <c r="BH24" s="92"/>
      <c r="BI24" s="92"/>
      <c r="BJ24" s="92"/>
      <c r="BK24" s="92"/>
      <c r="BN24" s="80"/>
      <c r="BO24" s="92"/>
      <c r="BP24" s="92"/>
      <c r="BQ24" s="92"/>
      <c r="BR24" s="92"/>
      <c r="BS24" s="92"/>
      <c r="BV24" s="80"/>
      <c r="BW24" s="92"/>
      <c r="BX24" s="92"/>
      <c r="BY24" s="92"/>
      <c r="BZ24" s="92"/>
      <c r="CA24" s="92"/>
      <c r="CD24" s="80"/>
      <c r="CE24" s="92"/>
      <c r="CF24" s="92"/>
      <c r="CG24" s="92"/>
      <c r="CH24" s="92"/>
      <c r="CI24" s="92"/>
      <c r="CL24" s="80"/>
      <c r="CM24" s="92"/>
      <c r="CN24" s="92"/>
      <c r="CO24" s="92"/>
      <c r="CP24" s="92"/>
      <c r="CQ24" s="92"/>
      <c r="CT24" s="80"/>
      <c r="CU24" s="92"/>
      <c r="CV24" s="92"/>
      <c r="CW24" s="92"/>
      <c r="CX24" s="92"/>
      <c r="CY24" s="92"/>
      <c r="DB24" s="80"/>
      <c r="DC24" s="92"/>
      <c r="DD24" s="92"/>
      <c r="DE24" s="92"/>
      <c r="DF24" s="92"/>
      <c r="DG24" s="92"/>
    </row>
    <row r="25" spans="2:113" ht="15" thickBot="1">
      <c r="B25" s="507" t="str">
        <f>cen_prop3</f>
        <v>moderate intensity only</v>
      </c>
      <c r="C25" s="508"/>
      <c r="D25" s="508"/>
      <c r="E25" s="508"/>
      <c r="F25" s="508"/>
      <c r="G25" s="509"/>
      <c r="J25" s="507" t="str">
        <f>cen_prop3</f>
        <v>moderate intensity only</v>
      </c>
      <c r="K25" s="508"/>
      <c r="L25" s="508"/>
      <c r="M25" s="508"/>
      <c r="N25" s="508"/>
      <c r="O25" s="509"/>
      <c r="R25" s="507" t="str">
        <f>cen_prop3</f>
        <v>moderate intensity only</v>
      </c>
      <c r="S25" s="508"/>
      <c r="T25" s="508"/>
      <c r="U25" s="508"/>
      <c r="V25" s="508"/>
      <c r="W25" s="509"/>
      <c r="Z25" s="507" t="str">
        <f>cen_prop3</f>
        <v>moderate intensity only</v>
      </c>
      <c r="AA25" s="508"/>
      <c r="AB25" s="508"/>
      <c r="AC25" s="508"/>
      <c r="AD25" s="508"/>
      <c r="AE25" s="509"/>
      <c r="AH25" s="507" t="str">
        <f>cen_prop3</f>
        <v>moderate intensity only</v>
      </c>
      <c r="AI25" s="508"/>
      <c r="AJ25" s="508"/>
      <c r="AK25" s="508"/>
      <c r="AL25" s="508"/>
      <c r="AM25" s="509"/>
      <c r="AP25" s="507" t="str">
        <f>cen_prop3</f>
        <v>moderate intensity only</v>
      </c>
      <c r="AQ25" s="508"/>
      <c r="AR25" s="508"/>
      <c r="AS25" s="508"/>
      <c r="AT25" s="508"/>
      <c r="AU25" s="509"/>
      <c r="AX25" s="507" t="str">
        <f>cen_prop3</f>
        <v>moderate intensity only</v>
      </c>
      <c r="AY25" s="508"/>
      <c r="AZ25" s="508"/>
      <c r="BA25" s="508"/>
      <c r="BB25" s="508"/>
      <c r="BC25" s="509"/>
      <c r="BF25" s="507" t="str">
        <f>cen_prop3</f>
        <v>moderate intensity only</v>
      </c>
      <c r="BG25" s="508"/>
      <c r="BH25" s="508"/>
      <c r="BI25" s="508"/>
      <c r="BJ25" s="508"/>
      <c r="BK25" s="509"/>
      <c r="BN25" s="507" t="str">
        <f>cen_prop3</f>
        <v>moderate intensity only</v>
      </c>
      <c r="BO25" s="508"/>
      <c r="BP25" s="508"/>
      <c r="BQ25" s="508"/>
      <c r="BR25" s="508"/>
      <c r="BS25" s="509"/>
      <c r="BV25" s="507" t="str">
        <f>cen_prop3</f>
        <v>moderate intensity only</v>
      </c>
      <c r="BW25" s="508"/>
      <c r="BX25" s="508"/>
      <c r="BY25" s="508"/>
      <c r="BZ25" s="508"/>
      <c r="CA25" s="509"/>
      <c r="CD25" s="507" t="str">
        <f>cen_prop3</f>
        <v>moderate intensity only</v>
      </c>
      <c r="CE25" s="508"/>
      <c r="CF25" s="508"/>
      <c r="CG25" s="508"/>
      <c r="CH25" s="508"/>
      <c r="CI25" s="509"/>
      <c r="CL25" s="507" t="str">
        <f>cen_prop3</f>
        <v>moderate intensity only</v>
      </c>
      <c r="CM25" s="508"/>
      <c r="CN25" s="508"/>
      <c r="CO25" s="508"/>
      <c r="CP25" s="508"/>
      <c r="CQ25" s="509"/>
      <c r="CT25" s="507" t="str">
        <f>cen_prop3</f>
        <v>moderate intensity only</v>
      </c>
      <c r="CU25" s="508"/>
      <c r="CV25" s="508"/>
      <c r="CW25" s="508"/>
      <c r="CX25" s="508"/>
      <c r="CY25" s="509"/>
      <c r="DB25" s="507" t="str">
        <f>cen_prop3</f>
        <v>moderate intensity only</v>
      </c>
      <c r="DC25" s="508"/>
      <c r="DD25" s="508"/>
      <c r="DE25" s="508"/>
      <c r="DF25" s="508"/>
      <c r="DG25" s="509"/>
    </row>
    <row r="26" spans="2:113">
      <c r="B26" s="84"/>
      <c r="C26" s="101">
        <f>ano_1</f>
        <v>2026</v>
      </c>
      <c r="D26" s="101">
        <f>C26+1</f>
        <v>2027</v>
      </c>
      <c r="E26" s="101">
        <f t="shared" ref="E26:G26" si="56">D26+1</f>
        <v>2028</v>
      </c>
      <c r="F26" s="101">
        <f t="shared" si="56"/>
        <v>2029</v>
      </c>
      <c r="G26" s="102">
        <f t="shared" si="56"/>
        <v>2030</v>
      </c>
      <c r="J26" s="84"/>
      <c r="K26" s="101">
        <f>ano_1</f>
        <v>2026</v>
      </c>
      <c r="L26" s="101">
        <f>K26+1</f>
        <v>2027</v>
      </c>
      <c r="M26" s="101">
        <f t="shared" ref="M26:O26" si="57">L26+1</f>
        <v>2028</v>
      </c>
      <c r="N26" s="101">
        <f t="shared" si="57"/>
        <v>2029</v>
      </c>
      <c r="O26" s="102">
        <f t="shared" si="57"/>
        <v>2030</v>
      </c>
      <c r="R26" s="84"/>
      <c r="S26" s="101">
        <f>ano_1</f>
        <v>2026</v>
      </c>
      <c r="T26" s="101">
        <f>S26+1</f>
        <v>2027</v>
      </c>
      <c r="U26" s="101">
        <f t="shared" ref="U26:W26" si="58">T26+1</f>
        <v>2028</v>
      </c>
      <c r="V26" s="101">
        <f t="shared" si="58"/>
        <v>2029</v>
      </c>
      <c r="W26" s="102">
        <f t="shared" si="58"/>
        <v>2030</v>
      </c>
      <c r="Z26" s="84"/>
      <c r="AA26" s="101">
        <f>ano_1</f>
        <v>2026</v>
      </c>
      <c r="AB26" s="101">
        <f>AA26+1</f>
        <v>2027</v>
      </c>
      <c r="AC26" s="101">
        <f t="shared" ref="AC26:AE26" si="59">AB26+1</f>
        <v>2028</v>
      </c>
      <c r="AD26" s="101">
        <f t="shared" si="59"/>
        <v>2029</v>
      </c>
      <c r="AE26" s="102">
        <f t="shared" si="59"/>
        <v>2030</v>
      </c>
      <c r="AH26" s="84"/>
      <c r="AI26" s="101">
        <f>ano_1</f>
        <v>2026</v>
      </c>
      <c r="AJ26" s="101">
        <f>AI26+1</f>
        <v>2027</v>
      </c>
      <c r="AK26" s="101">
        <f t="shared" ref="AK26:AM26" si="60">AJ26+1</f>
        <v>2028</v>
      </c>
      <c r="AL26" s="101">
        <f t="shared" si="60"/>
        <v>2029</v>
      </c>
      <c r="AM26" s="102">
        <f t="shared" si="60"/>
        <v>2030</v>
      </c>
      <c r="AP26" s="84"/>
      <c r="AQ26" s="101">
        <f>ano_1</f>
        <v>2026</v>
      </c>
      <c r="AR26" s="101">
        <f>AQ26+1</f>
        <v>2027</v>
      </c>
      <c r="AS26" s="101">
        <f t="shared" ref="AS26:AU26" si="61">AR26+1</f>
        <v>2028</v>
      </c>
      <c r="AT26" s="101">
        <f t="shared" si="61"/>
        <v>2029</v>
      </c>
      <c r="AU26" s="102">
        <f t="shared" si="61"/>
        <v>2030</v>
      </c>
      <c r="AX26" s="84"/>
      <c r="AY26" s="101">
        <f>ano_1</f>
        <v>2026</v>
      </c>
      <c r="AZ26" s="101">
        <f>AY26+1</f>
        <v>2027</v>
      </c>
      <c r="BA26" s="101">
        <f t="shared" ref="BA26:BC26" si="62">AZ26+1</f>
        <v>2028</v>
      </c>
      <c r="BB26" s="101">
        <f t="shared" si="62"/>
        <v>2029</v>
      </c>
      <c r="BC26" s="102">
        <f t="shared" si="62"/>
        <v>2030</v>
      </c>
      <c r="BF26" s="84"/>
      <c r="BG26" s="101">
        <f>ano_1</f>
        <v>2026</v>
      </c>
      <c r="BH26" s="101">
        <f>BG26+1</f>
        <v>2027</v>
      </c>
      <c r="BI26" s="101">
        <f t="shared" ref="BI26:BK26" si="63">BH26+1</f>
        <v>2028</v>
      </c>
      <c r="BJ26" s="101">
        <f t="shared" si="63"/>
        <v>2029</v>
      </c>
      <c r="BK26" s="102">
        <f t="shared" si="63"/>
        <v>2030</v>
      </c>
      <c r="BN26" s="84"/>
      <c r="BO26" s="101">
        <f>ano_1</f>
        <v>2026</v>
      </c>
      <c r="BP26" s="101">
        <f>BO26+1</f>
        <v>2027</v>
      </c>
      <c r="BQ26" s="101">
        <f t="shared" ref="BQ26:BS26" si="64">BP26+1</f>
        <v>2028</v>
      </c>
      <c r="BR26" s="101">
        <f t="shared" si="64"/>
        <v>2029</v>
      </c>
      <c r="BS26" s="102">
        <f t="shared" si="64"/>
        <v>2030</v>
      </c>
      <c r="BV26" s="84"/>
      <c r="BW26" s="101">
        <f>ano_1</f>
        <v>2026</v>
      </c>
      <c r="BX26" s="101">
        <f>BW26+1</f>
        <v>2027</v>
      </c>
      <c r="BY26" s="101">
        <f t="shared" ref="BY26:CA26" si="65">BX26+1</f>
        <v>2028</v>
      </c>
      <c r="BZ26" s="101">
        <f t="shared" si="65"/>
        <v>2029</v>
      </c>
      <c r="CA26" s="102">
        <f t="shared" si="65"/>
        <v>2030</v>
      </c>
      <c r="CD26" s="84"/>
      <c r="CE26" s="101">
        <f>ano_1</f>
        <v>2026</v>
      </c>
      <c r="CF26" s="101">
        <f>CE26+1</f>
        <v>2027</v>
      </c>
      <c r="CG26" s="101">
        <f t="shared" ref="CG26:CI26" si="66">CF26+1</f>
        <v>2028</v>
      </c>
      <c r="CH26" s="101">
        <f t="shared" si="66"/>
        <v>2029</v>
      </c>
      <c r="CI26" s="102">
        <f t="shared" si="66"/>
        <v>2030</v>
      </c>
      <c r="CL26" s="84"/>
      <c r="CM26" s="101">
        <f>ano_1</f>
        <v>2026</v>
      </c>
      <c r="CN26" s="101">
        <f>CM26+1</f>
        <v>2027</v>
      </c>
      <c r="CO26" s="101">
        <f t="shared" ref="CO26:CQ26" si="67">CN26+1</f>
        <v>2028</v>
      </c>
      <c r="CP26" s="101">
        <f t="shared" si="67"/>
        <v>2029</v>
      </c>
      <c r="CQ26" s="102">
        <f t="shared" si="67"/>
        <v>2030</v>
      </c>
      <c r="CT26" s="84"/>
      <c r="CU26" s="101">
        <f>ano_1</f>
        <v>2026</v>
      </c>
      <c r="CV26" s="101">
        <f>CU26+1</f>
        <v>2027</v>
      </c>
      <c r="CW26" s="101">
        <f t="shared" ref="CW26:CY26" si="68">CV26+1</f>
        <v>2028</v>
      </c>
      <c r="CX26" s="101">
        <f t="shared" si="68"/>
        <v>2029</v>
      </c>
      <c r="CY26" s="102">
        <f t="shared" si="68"/>
        <v>2030</v>
      </c>
      <c r="DB26" s="84"/>
      <c r="DC26" s="101">
        <f>ano_1</f>
        <v>2026</v>
      </c>
      <c r="DD26" s="101">
        <f>DC26+1</f>
        <v>2027</v>
      </c>
      <c r="DE26" s="101">
        <f t="shared" ref="DE26:DG26" si="69">DD26+1</f>
        <v>2028</v>
      </c>
      <c r="DF26" s="101">
        <f t="shared" si="69"/>
        <v>2029</v>
      </c>
      <c r="DG26" s="102">
        <f t="shared" si="69"/>
        <v>2030</v>
      </c>
    </row>
    <row r="27" spans="2:113" ht="15" thickBot="1">
      <c r="B27" s="386" t="s">
        <v>335</v>
      </c>
      <c r="C27" s="315">
        <f>C$7*'Mkt share'!$C$82</f>
        <v>243637.42243143308</v>
      </c>
      <c r="D27" s="315">
        <f>D$7*'Mkt share'!$D$82</f>
        <v>491271.47337084037</v>
      </c>
      <c r="E27" s="315">
        <f>E$7*'Mkt share'!$E$82</f>
        <v>742650.95596149401</v>
      </c>
      <c r="F27" s="315">
        <f>F$7*'Mkt share'!$F$82</f>
        <v>997877.80077977024</v>
      </c>
      <c r="G27" s="387">
        <f>G$7*'Mkt share'!$G$82</f>
        <v>1256995.4635781951</v>
      </c>
      <c r="J27" s="386" t="s">
        <v>335</v>
      </c>
      <c r="K27" s="315">
        <f>K$7*'Mkt share'!$C$83</f>
        <v>808123.59424327535</v>
      </c>
      <c r="L27" s="315">
        <f>L$7*'Mkt share'!$D$83</f>
        <v>1629503.6486907634</v>
      </c>
      <c r="M27" s="315">
        <f>M$7*'Mkt share'!$E$83</f>
        <v>2463306.9657790698</v>
      </c>
      <c r="N27" s="315">
        <f>N$7*'Mkt share'!$F$83</f>
        <v>3309871.6401363616</v>
      </c>
      <c r="O27" s="387">
        <f>O$7*'Mkt share'!$G$83</f>
        <v>4169341.810616889</v>
      </c>
      <c r="R27" s="386" t="s">
        <v>335</v>
      </c>
      <c r="S27" s="315">
        <f>S$7*'Mkt share'!$C$84</f>
        <v>0</v>
      </c>
      <c r="T27" s="315">
        <f>T$7*'Mkt share'!$D$84</f>
        <v>0</v>
      </c>
      <c r="U27" s="315">
        <f>U$7*'Mkt share'!$E$84</f>
        <v>0</v>
      </c>
      <c r="V27" s="315">
        <f>V$7*'Mkt share'!$F$84</f>
        <v>0</v>
      </c>
      <c r="W27" s="387">
        <f>W$7*'Mkt share'!$G$84</f>
        <v>0</v>
      </c>
      <c r="Z27" s="386" t="s">
        <v>335</v>
      </c>
      <c r="AA27" s="315">
        <f>AA$7*'Mkt share'!$C$85</f>
        <v>0</v>
      </c>
      <c r="AB27" s="315">
        <f>AB$7*'Mkt share'!$D$85</f>
        <v>0</v>
      </c>
      <c r="AC27" s="315">
        <f>AC$7*'Mkt share'!$E$85</f>
        <v>0</v>
      </c>
      <c r="AD27" s="315">
        <f>AD$7*'Mkt share'!$F$85</f>
        <v>0</v>
      </c>
      <c r="AE27" s="387">
        <f>AE$7*'Mkt share'!$G$85</f>
        <v>0</v>
      </c>
      <c r="AH27" s="386" t="s">
        <v>336</v>
      </c>
      <c r="AI27" s="315">
        <f>AI$7*'Mkt share'!$C$86</f>
        <v>182122.16792852723</v>
      </c>
      <c r="AJ27" s="315">
        <f>AJ$7*'Mkt share'!$D$86</f>
        <v>163214.16358755008</v>
      </c>
      <c r="AK27" s="315">
        <f>AK$7*'Mkt share'!$E$86</f>
        <v>143925.52934827263</v>
      </c>
      <c r="AL27" s="315">
        <f>AL$7*'Mkt share'!$F$86</f>
        <v>124321.12343558976</v>
      </c>
      <c r="AM27" s="387">
        <f>AM$7*'Mkt share'!$G$86</f>
        <v>104402.28791098234</v>
      </c>
      <c r="AP27" s="386" t="s">
        <v>335</v>
      </c>
      <c r="AQ27" s="315">
        <f>AQ$7*'Mkt share'!$C$87</f>
        <v>913471.24534888833</v>
      </c>
      <c r="AR27" s="315">
        <f>AR$7*'Mkt share'!$D$87</f>
        <v>818634.25505349052</v>
      </c>
      <c r="AS27" s="315">
        <f>AS$7*'Mkt share'!$E$87</f>
        <v>721888.13710399019</v>
      </c>
      <c r="AT27" s="315">
        <f>AT$7*'Mkt share'!$F$87</f>
        <v>623558.20128633932</v>
      </c>
      <c r="AU27" s="387">
        <f>AU$7*'Mkt share'!$G$87</f>
        <v>523651.17898632231</v>
      </c>
      <c r="AX27" s="386" t="s">
        <v>335</v>
      </c>
      <c r="AY27" s="315">
        <f>AY$7*'Mkt share'!$C$88</f>
        <v>1005885.5118313929</v>
      </c>
      <c r="AZ27" s="315">
        <f>AZ$7*'Mkt share'!$D$88</f>
        <v>901454.03135561699</v>
      </c>
      <c r="BA27" s="315">
        <f>BA$7*'Mkt share'!$E$88</f>
        <v>794920.28016549046</v>
      </c>
      <c r="BB27" s="315">
        <f>BB$7*'Mkt share'!$F$88</f>
        <v>686642.47906129819</v>
      </c>
      <c r="BC27" s="387">
        <f>BC$7*'Mkt share'!$G$88</f>
        <v>576628.04043119086</v>
      </c>
      <c r="BF27" s="386" t="s">
        <v>335</v>
      </c>
      <c r="BG27" s="315">
        <f>BG$7*'Mkt share'!$C$89</f>
        <v>179724.01727923824</v>
      </c>
      <c r="BH27" s="315">
        <f>BH$7*'Mkt share'!$D$89</f>
        <v>161064.99000350706</v>
      </c>
      <c r="BI27" s="315">
        <f>BI$7*'Mkt share'!$E$89</f>
        <v>142030.34489279616</v>
      </c>
      <c r="BJ27" s="315">
        <f>BJ$7*'Mkt share'!$F$89</f>
        <v>122684.08613102397</v>
      </c>
      <c r="BK27" s="387">
        <f>BK$7*'Mkt share'!$G$89</f>
        <v>103027.53810765674</v>
      </c>
      <c r="BN27" s="386" t="s">
        <v>335</v>
      </c>
      <c r="BO27" s="315">
        <f>BO$7*'Mkt share'!$C$90</f>
        <v>1739.9924294741088</v>
      </c>
      <c r="BP27" s="315">
        <f>BP$7*'Mkt share'!$D$90</f>
        <v>1754.2638482034145</v>
      </c>
      <c r="BQ27" s="315">
        <f>BQ$7*'Mkt share'!$E$90</f>
        <v>1767.9372736460134</v>
      </c>
      <c r="BR27" s="315">
        <f>BR$7*'Mkt share'!$F$90</f>
        <v>1781.6431909036062</v>
      </c>
      <c r="BS27" s="387">
        <f>BS$7*'Mkt share'!$G$90</f>
        <v>1795.4241747282406</v>
      </c>
      <c r="BV27" s="386" t="s">
        <v>335</v>
      </c>
      <c r="BW27" s="315">
        <f>BW$7*'Mkt share'!$C$91</f>
        <v>1187.9254563115358</v>
      </c>
      <c r="BX27" s="315">
        <f>BX$7*'Mkt share'!$D$91</f>
        <v>1064.5945079697033</v>
      </c>
      <c r="BY27" s="315">
        <f>BY$7*'Mkt share'!$E$91</f>
        <v>938.78083085977426</v>
      </c>
      <c r="BZ27" s="315">
        <f>BZ$7*'Mkt share'!$F$91</f>
        <v>810.90747472511737</v>
      </c>
      <c r="CA27" s="387">
        <f>CA$7*'Mkt share'!$G$91</f>
        <v>680.98319340945807</v>
      </c>
      <c r="CD27" s="386" t="s">
        <v>335</v>
      </c>
      <c r="CE27" s="315">
        <f>CE$7*'Mkt share'!$C$92</f>
        <v>257333.25433036484</v>
      </c>
      <c r="CF27" s="315">
        <f>CF$7*'Mkt share'!$D$92</f>
        <v>230616.80160361165</v>
      </c>
      <c r="CG27" s="315">
        <f>CG$7*'Mkt share'!$E$92</f>
        <v>203362.53005151093</v>
      </c>
      <c r="CH27" s="315">
        <f>CH$7*'Mkt share'!$F$92</f>
        <v>175662.08243382192</v>
      </c>
      <c r="CI27" s="387">
        <f>CI$7*'Mkt share'!$G$92</f>
        <v>147517.35504385317</v>
      </c>
      <c r="CL27" s="386" t="s">
        <v>335</v>
      </c>
      <c r="CM27" s="315">
        <f>CM$7*'Mkt share'!$C$93</f>
        <v>5513242.8549347809</v>
      </c>
      <c r="CN27" s="315">
        <f>CN$7*'Mkt share'!$D$93</f>
        <v>4940855.5337225813</v>
      </c>
      <c r="CO27" s="315">
        <f>CO$7*'Mkt share'!$E$93</f>
        <v>4356945.6994025744</v>
      </c>
      <c r="CP27" s="315">
        <f>CP$7*'Mkt share'!$F$93</f>
        <v>3763476.7546129599</v>
      </c>
      <c r="CQ27" s="387">
        <f>CQ$7*'Mkt share'!$G$93</f>
        <v>3160489.3265379765</v>
      </c>
      <c r="CT27" s="386" t="s">
        <v>335</v>
      </c>
      <c r="CU27" s="315">
        <f>CU$7*'Mkt share'!$C$94</f>
        <v>1411142.1805333972</v>
      </c>
      <c r="CV27" s="315">
        <f>CV$7*'Mkt share'!$D$94</f>
        <v>1264441.854563883</v>
      </c>
      <c r="CW27" s="315">
        <f>CW$7*'Mkt share'!$E$94</f>
        <v>1114789.2449921775</v>
      </c>
      <c r="CX27" s="315">
        <f>CX$7*'Mkt share'!$F$94</f>
        <v>962686.88374753459</v>
      </c>
      <c r="CY27" s="387">
        <f>CY$7*'Mkt share'!$G$94</f>
        <v>808145.13980896596</v>
      </c>
      <c r="DB27" s="386" t="s">
        <v>335</v>
      </c>
      <c r="DC27" s="315">
        <f>DC$7*'Mkt share'!$C$95</f>
        <v>0</v>
      </c>
      <c r="DD27" s="315">
        <f>DD$7*'Mkt share'!$D$95</f>
        <v>0</v>
      </c>
      <c r="DE27" s="315">
        <f>DE$7*'Mkt share'!$E$95</f>
        <v>0</v>
      </c>
      <c r="DF27" s="315">
        <f>DF$7*'Mkt share'!$F$95</f>
        <v>0</v>
      </c>
      <c r="DG27" s="387">
        <f>DG$7*'Mkt share'!$G$95</f>
        <v>0</v>
      </c>
    </row>
    <row r="28" spans="2:113">
      <c r="B28" s="80"/>
      <c r="C28" s="92"/>
      <c r="D28" s="92"/>
      <c r="E28" s="92"/>
      <c r="F28" s="92"/>
      <c r="G28" s="92"/>
      <c r="J28" s="80"/>
      <c r="K28" s="92"/>
      <c r="L28" s="92"/>
      <c r="M28" s="92"/>
      <c r="N28" s="92"/>
      <c r="O28" s="92"/>
      <c r="R28" s="80"/>
      <c r="S28" s="92"/>
      <c r="T28" s="92"/>
      <c r="U28" s="92"/>
      <c r="V28" s="92"/>
      <c r="W28" s="92"/>
      <c r="Z28" s="80"/>
      <c r="AA28" s="92"/>
      <c r="AB28" s="92"/>
      <c r="AC28" s="92"/>
      <c r="AD28" s="92"/>
      <c r="AE28" s="92"/>
      <c r="AH28" s="80"/>
      <c r="AI28" s="92"/>
      <c r="AJ28" s="92"/>
      <c r="AK28" s="92"/>
      <c r="AL28" s="92"/>
      <c r="AM28" s="92"/>
      <c r="AP28" s="80"/>
      <c r="AQ28" s="92"/>
      <c r="AR28" s="92"/>
      <c r="AS28" s="92"/>
      <c r="AT28" s="92"/>
      <c r="AU28" s="92"/>
      <c r="AX28" s="80"/>
      <c r="AY28" s="92"/>
      <c r="AZ28" s="92"/>
      <c r="BA28" s="92"/>
      <c r="BB28" s="92"/>
      <c r="BC28" s="92"/>
      <c r="BF28" s="80"/>
      <c r="BG28" s="92"/>
      <c r="BH28" s="92"/>
      <c r="BI28" s="92"/>
      <c r="BJ28" s="92"/>
      <c r="BK28" s="92"/>
      <c r="BN28" s="80"/>
      <c r="BO28" s="92"/>
      <c r="BP28" s="92"/>
      <c r="BQ28" s="92"/>
      <c r="BR28" s="92"/>
      <c r="BS28" s="92"/>
      <c r="BV28" s="80"/>
      <c r="BW28" s="92"/>
      <c r="BX28" s="92"/>
      <c r="BY28" s="92"/>
      <c r="BZ28" s="92"/>
      <c r="CA28" s="92"/>
      <c r="CD28" s="80"/>
      <c r="CE28" s="92"/>
      <c r="CF28" s="92"/>
      <c r="CG28" s="92"/>
      <c r="CH28" s="92"/>
      <c r="CI28" s="92"/>
      <c r="CL28" s="80"/>
      <c r="CM28" s="92"/>
      <c r="CN28" s="92"/>
      <c r="CO28" s="92"/>
      <c r="CP28" s="92"/>
      <c r="CQ28" s="92"/>
      <c r="CT28" s="80"/>
      <c r="CU28" s="92"/>
      <c r="CV28" s="92"/>
      <c r="CW28" s="92"/>
      <c r="CX28" s="92"/>
      <c r="CY28" s="92"/>
      <c r="DB28" s="80"/>
      <c r="DC28" s="92"/>
      <c r="DD28" s="92"/>
      <c r="DE28" s="92"/>
      <c r="DF28" s="92"/>
      <c r="DG28" s="92"/>
    </row>
    <row r="30" spans="2:113" s="81" customFormat="1">
      <c r="B30" s="120"/>
      <c r="C30" s="120"/>
      <c r="D30" s="120"/>
      <c r="E30" s="120"/>
      <c r="F30" s="120"/>
      <c r="G30" s="120"/>
      <c r="H30" s="82"/>
      <c r="I30" s="82"/>
      <c r="J30" s="120"/>
      <c r="K30" s="120"/>
      <c r="L30" s="120"/>
      <c r="M30" s="120"/>
      <c r="N30" s="120"/>
      <c r="O30" s="120"/>
      <c r="P30" s="82"/>
      <c r="Q30" s="82"/>
      <c r="R30" s="120"/>
      <c r="S30" s="120"/>
      <c r="T30" s="120"/>
      <c r="U30" s="120"/>
      <c r="V30" s="120"/>
      <c r="W30" s="120"/>
      <c r="X30" s="82"/>
      <c r="Y30" s="82"/>
      <c r="Z30" s="120"/>
      <c r="AA30" s="120"/>
      <c r="AB30" s="120"/>
      <c r="AC30" s="120"/>
      <c r="AD30" s="120"/>
      <c r="AE30" s="120"/>
      <c r="AF30" s="82"/>
      <c r="AG30" s="82"/>
      <c r="AH30" s="120"/>
      <c r="AI30" s="120"/>
      <c r="AJ30" s="120"/>
      <c r="AK30" s="120"/>
      <c r="AL30" s="120"/>
      <c r="AM30" s="120"/>
      <c r="AN30" s="82"/>
      <c r="AO30" s="82"/>
      <c r="AP30" s="120"/>
      <c r="AQ30" s="120"/>
      <c r="AR30" s="120"/>
      <c r="AS30" s="120"/>
      <c r="AT30" s="120"/>
      <c r="AU30" s="120"/>
      <c r="AV30" s="82"/>
      <c r="AW30" s="82"/>
      <c r="AX30" s="120"/>
      <c r="AY30" s="120"/>
      <c r="AZ30" s="120"/>
      <c r="BA30" s="120"/>
      <c r="BB30" s="120"/>
      <c r="BC30" s="120"/>
      <c r="BD30" s="82"/>
      <c r="BE30" s="82"/>
      <c r="BF30" s="120"/>
      <c r="BG30" s="120"/>
      <c r="BH30" s="120"/>
      <c r="BI30" s="120"/>
      <c r="BJ30" s="120"/>
      <c r="BK30" s="120"/>
      <c r="BL30" s="82"/>
      <c r="BM30" s="82"/>
      <c r="BN30" s="120"/>
      <c r="BO30" s="120"/>
      <c r="BP30" s="120"/>
      <c r="BQ30" s="120"/>
      <c r="BR30" s="120"/>
      <c r="BS30" s="120"/>
      <c r="BT30" s="82"/>
      <c r="BU30" s="82"/>
      <c r="BV30" s="120"/>
      <c r="BW30" s="120"/>
      <c r="BX30" s="120"/>
      <c r="BY30" s="120"/>
      <c r="BZ30" s="120"/>
      <c r="CA30" s="120"/>
      <c r="CB30" s="82"/>
      <c r="CC30" s="82"/>
      <c r="CD30" s="120"/>
      <c r="CE30" s="120"/>
      <c r="CF30" s="120"/>
      <c r="CG30" s="120"/>
      <c r="CH30" s="120"/>
      <c r="CI30" s="120"/>
      <c r="CJ30" s="82"/>
      <c r="CK30" s="82"/>
      <c r="CL30" s="120"/>
      <c r="CM30" s="120"/>
      <c r="CN30" s="120"/>
      <c r="CO30" s="120"/>
      <c r="CP30" s="120"/>
      <c r="CQ30" s="120"/>
      <c r="CR30" s="82"/>
      <c r="CS30" s="82"/>
      <c r="CT30" s="120"/>
      <c r="CU30" s="120"/>
      <c r="CV30" s="120"/>
      <c r="CW30" s="120"/>
      <c r="CX30" s="120"/>
      <c r="CY30" s="120"/>
      <c r="CZ30" s="82"/>
      <c r="DA30" s="82"/>
      <c r="DB30" s="120"/>
      <c r="DC30" s="120"/>
      <c r="DD30" s="120"/>
      <c r="DE30" s="120"/>
      <c r="DF30" s="120"/>
      <c r="DG30" s="120"/>
      <c r="DH30" s="82"/>
      <c r="DI30" s="82"/>
    </row>
    <row r="31" spans="2:113" s="76" customFormat="1" ht="21">
      <c r="B31" s="502" t="str">
        <f>intervencao1</f>
        <v>Rosuvastatin 5mg</v>
      </c>
      <c r="C31" s="502"/>
      <c r="D31" s="502"/>
      <c r="E31" s="502"/>
      <c r="F31" s="502"/>
      <c r="G31" s="502"/>
      <c r="H31" s="502"/>
      <c r="I31" s="77"/>
      <c r="J31" s="502" t="str">
        <f>intervencao2</f>
        <v>Rosuvastatin 10mg</v>
      </c>
      <c r="K31" s="502"/>
      <c r="L31" s="502"/>
      <c r="M31" s="502"/>
      <c r="N31" s="502"/>
      <c r="O31" s="502"/>
      <c r="P31" s="502"/>
      <c r="Q31" s="77"/>
      <c r="R31" s="502" t="str">
        <f>intervencao3</f>
        <v>Rosuvastatin 20mg</v>
      </c>
      <c r="S31" s="502"/>
      <c r="T31" s="502"/>
      <c r="U31" s="502"/>
      <c r="V31" s="502"/>
      <c r="W31" s="502"/>
      <c r="X31" s="502"/>
      <c r="Y31" s="77"/>
      <c r="Z31" s="502" t="str">
        <f>intervencao4</f>
        <v>Rosuvastatin 40mg</v>
      </c>
      <c r="AA31" s="502"/>
      <c r="AB31" s="502"/>
      <c r="AC31" s="502"/>
      <c r="AD31" s="502"/>
      <c r="AE31" s="502"/>
      <c r="AF31" s="502"/>
      <c r="AG31" s="77"/>
      <c r="AH31" s="502" t="str">
        <f>comparador1</f>
        <v>Atorvastatin 10mg</v>
      </c>
      <c r="AI31" s="502"/>
      <c r="AJ31" s="502"/>
      <c r="AK31" s="502"/>
      <c r="AL31" s="502"/>
      <c r="AM31" s="502"/>
      <c r="AN31" s="502"/>
      <c r="AO31" s="77"/>
      <c r="AP31" s="502" t="str">
        <f>comparador2</f>
        <v>Atorvastatin 20mg</v>
      </c>
      <c r="AQ31" s="502"/>
      <c r="AR31" s="502"/>
      <c r="AS31" s="502"/>
      <c r="AT31" s="502"/>
      <c r="AU31" s="502"/>
      <c r="AV31" s="502"/>
      <c r="AW31" s="77"/>
      <c r="AX31" s="502" t="str">
        <f>comparador3</f>
        <v>Atorvastatin 40mg</v>
      </c>
      <c r="AY31" s="502"/>
      <c r="AZ31" s="502"/>
      <c r="BA31" s="502"/>
      <c r="BB31" s="502"/>
      <c r="BC31" s="502"/>
      <c r="BD31" s="502"/>
      <c r="BE31" s="77"/>
      <c r="BF31" s="502" t="str">
        <f>comparador4</f>
        <v>Atorvastatin 80mg</v>
      </c>
      <c r="BG31" s="502"/>
      <c r="BH31" s="502"/>
      <c r="BI31" s="502"/>
      <c r="BJ31" s="502"/>
      <c r="BK31" s="502"/>
      <c r="BL31" s="502"/>
      <c r="BM31" s="77"/>
      <c r="BN31" s="502" t="str">
        <f>comparador5</f>
        <v>Pravastatin</v>
      </c>
      <c r="BO31" s="502"/>
      <c r="BP31" s="502"/>
      <c r="BQ31" s="502"/>
      <c r="BR31" s="502"/>
      <c r="BS31" s="502"/>
      <c r="BT31" s="502"/>
      <c r="BU31" s="77"/>
      <c r="BV31" s="502" t="str">
        <f>comparador6</f>
        <v>Simvastatin 5mg</v>
      </c>
      <c r="BW31" s="502"/>
      <c r="BX31" s="502"/>
      <c r="BY31" s="502"/>
      <c r="BZ31" s="502"/>
      <c r="CA31" s="502"/>
      <c r="CB31" s="502"/>
      <c r="CC31" s="77"/>
      <c r="CD31" s="502" t="str">
        <f>comparador7</f>
        <v>Simvastatin 10mg</v>
      </c>
      <c r="CE31" s="502"/>
      <c r="CF31" s="502"/>
      <c r="CG31" s="502"/>
      <c r="CH31" s="502"/>
      <c r="CI31" s="502"/>
      <c r="CJ31" s="502"/>
      <c r="CK31" s="77"/>
      <c r="CL31" s="502" t="str">
        <f>comparador8</f>
        <v>Simvastatin 20mg</v>
      </c>
      <c r="CM31" s="502"/>
      <c r="CN31" s="502"/>
      <c r="CO31" s="502"/>
      <c r="CP31" s="502"/>
      <c r="CQ31" s="502"/>
      <c r="CR31" s="502"/>
      <c r="CS31" s="77"/>
      <c r="CT31" s="502" t="str">
        <f>comparador9</f>
        <v>Simvastatin 40mg</v>
      </c>
      <c r="CU31" s="502"/>
      <c r="CV31" s="502"/>
      <c r="CW31" s="502"/>
      <c r="CX31" s="502"/>
      <c r="CY31" s="502"/>
      <c r="CZ31" s="502"/>
      <c r="DA31" s="77"/>
      <c r="DB31" s="502">
        <f>comparador10</f>
        <v>0</v>
      </c>
      <c r="DC31" s="502"/>
      <c r="DD31" s="502"/>
      <c r="DE31" s="502"/>
      <c r="DF31" s="502"/>
      <c r="DG31" s="502"/>
      <c r="DH31" s="502"/>
      <c r="DI31" s="77"/>
    </row>
    <row r="32" spans="2:113" ht="18">
      <c r="B32" s="503" t="s">
        <v>181</v>
      </c>
      <c r="C32" s="503"/>
      <c r="D32" s="503"/>
      <c r="E32" s="503"/>
      <c r="F32" s="503"/>
      <c r="G32" s="503"/>
      <c r="H32" s="71"/>
      <c r="I32" s="71"/>
      <c r="J32" s="503" t="s">
        <v>181</v>
      </c>
      <c r="K32" s="503"/>
      <c r="L32" s="503"/>
      <c r="M32" s="503"/>
      <c r="N32" s="503"/>
      <c r="O32" s="503"/>
      <c r="P32" s="71"/>
      <c r="Q32" s="71"/>
      <c r="R32" s="503" t="s">
        <v>181</v>
      </c>
      <c r="S32" s="503"/>
      <c r="T32" s="503"/>
      <c r="U32" s="503"/>
      <c r="V32" s="503"/>
      <c r="W32" s="503"/>
      <c r="X32" s="71"/>
      <c r="Y32" s="71"/>
      <c r="Z32" s="503" t="s">
        <v>181</v>
      </c>
      <c r="AA32" s="503"/>
      <c r="AB32" s="503"/>
      <c r="AC32" s="503"/>
      <c r="AD32" s="503"/>
      <c r="AE32" s="503"/>
      <c r="AF32" s="71"/>
      <c r="AG32" s="71"/>
      <c r="AH32" s="503" t="s">
        <v>181</v>
      </c>
      <c r="AI32" s="503"/>
      <c r="AJ32" s="503"/>
      <c r="AK32" s="503"/>
      <c r="AL32" s="503"/>
      <c r="AM32" s="503"/>
      <c r="AN32" s="71"/>
      <c r="AO32" s="71"/>
      <c r="AP32" s="503" t="s">
        <v>181</v>
      </c>
      <c r="AQ32" s="503"/>
      <c r="AR32" s="503"/>
      <c r="AS32" s="503"/>
      <c r="AT32" s="503"/>
      <c r="AU32" s="503"/>
      <c r="AV32" s="71"/>
      <c r="AW32" s="71"/>
      <c r="AX32" s="503" t="s">
        <v>181</v>
      </c>
      <c r="AY32" s="503"/>
      <c r="AZ32" s="503"/>
      <c r="BA32" s="503"/>
      <c r="BB32" s="503"/>
      <c r="BC32" s="503"/>
      <c r="BD32" s="71"/>
      <c r="BE32" s="71"/>
      <c r="BF32" s="503" t="s">
        <v>181</v>
      </c>
      <c r="BG32" s="503"/>
      <c r="BH32" s="503"/>
      <c r="BI32" s="503"/>
      <c r="BJ32" s="503"/>
      <c r="BK32" s="503"/>
      <c r="BL32" s="71"/>
      <c r="BM32" s="71"/>
      <c r="BN32" s="503" t="s">
        <v>181</v>
      </c>
      <c r="BO32" s="503"/>
      <c r="BP32" s="503"/>
      <c r="BQ32" s="503"/>
      <c r="BR32" s="503"/>
      <c r="BS32" s="503"/>
      <c r="BT32" s="71"/>
      <c r="BU32" s="71"/>
      <c r="BV32" s="503" t="s">
        <v>181</v>
      </c>
      <c r="BW32" s="503"/>
      <c r="BX32" s="503"/>
      <c r="BY32" s="503"/>
      <c r="BZ32" s="503"/>
      <c r="CA32" s="503"/>
      <c r="CB32" s="71"/>
      <c r="CC32" s="71"/>
      <c r="CD32" s="503" t="s">
        <v>181</v>
      </c>
      <c r="CE32" s="503"/>
      <c r="CF32" s="503"/>
      <c r="CG32" s="503"/>
      <c r="CH32" s="503"/>
      <c r="CI32" s="503"/>
      <c r="CJ32" s="71"/>
      <c r="CK32" s="71"/>
      <c r="CL32" s="503" t="s">
        <v>181</v>
      </c>
      <c r="CM32" s="503"/>
      <c r="CN32" s="503"/>
      <c r="CO32" s="503"/>
      <c r="CP32" s="503"/>
      <c r="CQ32" s="503"/>
      <c r="CR32" s="71"/>
      <c r="CS32" s="71"/>
      <c r="CT32" s="503" t="s">
        <v>181</v>
      </c>
      <c r="CU32" s="503"/>
      <c r="CV32" s="503"/>
      <c r="CW32" s="503"/>
      <c r="CX32" s="503"/>
      <c r="CY32" s="503"/>
      <c r="CZ32" s="71"/>
      <c r="DA32" s="71"/>
      <c r="DB32" s="503" t="s">
        <v>181</v>
      </c>
      <c r="DC32" s="503"/>
      <c r="DD32" s="503"/>
      <c r="DE32" s="503"/>
      <c r="DF32" s="503"/>
      <c r="DG32" s="503"/>
      <c r="DH32" s="71"/>
      <c r="DI32" s="71"/>
    </row>
    <row r="33" spans="2:113" ht="15" thickBot="1">
      <c r="B33" s="83"/>
      <c r="C33" s="83"/>
      <c r="D33" s="83"/>
      <c r="E33" s="83"/>
      <c r="F33" s="83"/>
      <c r="G33" s="83"/>
      <c r="J33" s="83"/>
      <c r="K33" s="83"/>
      <c r="L33" s="83"/>
      <c r="M33" s="83"/>
      <c r="N33" s="83"/>
      <c r="O33" s="83"/>
      <c r="R33" s="83"/>
      <c r="S33" s="83"/>
      <c r="T33" s="83"/>
      <c r="U33" s="83"/>
      <c r="V33" s="83"/>
      <c r="W33" s="83"/>
      <c r="Z33" s="83"/>
      <c r="AA33" s="83"/>
      <c r="AB33" s="83"/>
      <c r="AC33" s="83"/>
      <c r="AD33" s="83"/>
      <c r="AE33" s="83"/>
      <c r="AH33" s="83"/>
      <c r="AI33" s="83"/>
      <c r="AJ33" s="83"/>
      <c r="AK33" s="83"/>
      <c r="AL33" s="83"/>
      <c r="AM33" s="83"/>
      <c r="AP33" s="83"/>
      <c r="AQ33" s="83"/>
      <c r="AR33" s="83"/>
      <c r="AS33" s="83"/>
      <c r="AT33" s="83"/>
      <c r="AU33" s="83"/>
      <c r="AX33" s="83"/>
      <c r="AY33" s="83"/>
      <c r="AZ33" s="83"/>
      <c r="BA33" s="83"/>
      <c r="BB33" s="83"/>
      <c r="BC33" s="83"/>
      <c r="BF33" s="83"/>
      <c r="BG33" s="83"/>
      <c r="BH33" s="83"/>
      <c r="BI33" s="83"/>
      <c r="BJ33" s="83"/>
      <c r="BK33" s="83"/>
      <c r="BN33" s="83"/>
      <c r="BO33" s="83"/>
      <c r="BP33" s="83"/>
      <c r="BQ33" s="83"/>
      <c r="BR33" s="83"/>
      <c r="BS33" s="83"/>
      <c r="BV33" s="83"/>
      <c r="BW33" s="83"/>
      <c r="BX33" s="83"/>
      <c r="BY33" s="83"/>
      <c r="BZ33" s="83"/>
      <c r="CA33" s="83"/>
      <c r="CD33" s="83"/>
      <c r="CE33" s="83"/>
      <c r="CF33" s="83"/>
      <c r="CG33" s="83"/>
      <c r="CH33" s="83"/>
      <c r="CI33" s="83"/>
      <c r="CL33" s="83"/>
      <c r="CM33" s="83"/>
      <c r="CN33" s="83"/>
      <c r="CO33" s="83"/>
      <c r="CP33" s="83"/>
      <c r="CQ33" s="83"/>
      <c r="CT33" s="83"/>
      <c r="CU33" s="83"/>
      <c r="CV33" s="83"/>
      <c r="CW33" s="83"/>
      <c r="CX33" s="83"/>
      <c r="CY33" s="83"/>
      <c r="DB33" s="83"/>
      <c r="DC33" s="83"/>
      <c r="DD33" s="83"/>
      <c r="DE33" s="83"/>
      <c r="DF33" s="83"/>
      <c r="DG33" s="83"/>
    </row>
    <row r="34" spans="2:113" ht="15" thickBot="1">
      <c r="B34" s="504" t="str">
        <f>B13</f>
        <v>without rosuvastatin</v>
      </c>
      <c r="C34" s="505"/>
      <c r="D34" s="505"/>
      <c r="E34" s="505"/>
      <c r="F34" s="505"/>
      <c r="G34" s="506"/>
      <c r="J34" s="504" t="str">
        <f>J13</f>
        <v>without rosuvastatin</v>
      </c>
      <c r="K34" s="505"/>
      <c r="L34" s="505"/>
      <c r="M34" s="505"/>
      <c r="N34" s="505"/>
      <c r="O34" s="506"/>
      <c r="R34" s="504" t="str">
        <f>R13</f>
        <v>without rosuvastatin</v>
      </c>
      <c r="S34" s="505"/>
      <c r="T34" s="505"/>
      <c r="U34" s="505"/>
      <c r="V34" s="505"/>
      <c r="W34" s="506"/>
      <c r="Z34" s="504" t="str">
        <f>Z13</f>
        <v>without rosuvastatin</v>
      </c>
      <c r="AA34" s="505"/>
      <c r="AB34" s="505"/>
      <c r="AC34" s="505"/>
      <c r="AD34" s="505"/>
      <c r="AE34" s="506"/>
      <c r="AH34" s="504" t="str">
        <f>AH13</f>
        <v>without rosuvastatin</v>
      </c>
      <c r="AI34" s="505"/>
      <c r="AJ34" s="505"/>
      <c r="AK34" s="505"/>
      <c r="AL34" s="505"/>
      <c r="AM34" s="506"/>
      <c r="AP34" s="504" t="str">
        <f>AP13</f>
        <v>without rosuvastatin</v>
      </c>
      <c r="AQ34" s="505"/>
      <c r="AR34" s="505"/>
      <c r="AS34" s="505"/>
      <c r="AT34" s="505"/>
      <c r="AU34" s="506"/>
      <c r="AX34" s="504" t="str">
        <f>AX13</f>
        <v>without rosuvastatin</v>
      </c>
      <c r="AY34" s="505"/>
      <c r="AZ34" s="505"/>
      <c r="BA34" s="505"/>
      <c r="BB34" s="505"/>
      <c r="BC34" s="506"/>
      <c r="BF34" s="504" t="str">
        <f>BF13</f>
        <v>without rosuvastatin</v>
      </c>
      <c r="BG34" s="505"/>
      <c r="BH34" s="505"/>
      <c r="BI34" s="505"/>
      <c r="BJ34" s="505"/>
      <c r="BK34" s="506"/>
      <c r="BN34" s="504" t="str">
        <f>BN13</f>
        <v>without rosuvastatin</v>
      </c>
      <c r="BO34" s="505"/>
      <c r="BP34" s="505"/>
      <c r="BQ34" s="505"/>
      <c r="BR34" s="505"/>
      <c r="BS34" s="506"/>
      <c r="BV34" s="504" t="str">
        <f>BV13</f>
        <v>without rosuvastatin</v>
      </c>
      <c r="BW34" s="505"/>
      <c r="BX34" s="505"/>
      <c r="BY34" s="505"/>
      <c r="BZ34" s="505"/>
      <c r="CA34" s="506"/>
      <c r="CD34" s="504" t="str">
        <f>CD13</f>
        <v>without rosuvastatin</v>
      </c>
      <c r="CE34" s="505"/>
      <c r="CF34" s="505"/>
      <c r="CG34" s="505"/>
      <c r="CH34" s="505"/>
      <c r="CI34" s="506"/>
      <c r="CL34" s="504" t="str">
        <f>CL13</f>
        <v>without rosuvastatin</v>
      </c>
      <c r="CM34" s="505"/>
      <c r="CN34" s="505"/>
      <c r="CO34" s="505"/>
      <c r="CP34" s="505"/>
      <c r="CQ34" s="506"/>
      <c r="CT34" s="504" t="str">
        <f>CT13</f>
        <v>without rosuvastatin</v>
      </c>
      <c r="CU34" s="505"/>
      <c r="CV34" s="505"/>
      <c r="CW34" s="505"/>
      <c r="CX34" s="505"/>
      <c r="CY34" s="506"/>
      <c r="DB34" s="504" t="str">
        <f>DB13</f>
        <v>without rosuvastatin</v>
      </c>
      <c r="DC34" s="505"/>
      <c r="DD34" s="505"/>
      <c r="DE34" s="505"/>
      <c r="DF34" s="505"/>
      <c r="DG34" s="506"/>
    </row>
    <row r="35" spans="2:113">
      <c r="B35" s="84"/>
      <c r="C35" s="101">
        <f>C14</f>
        <v>2026</v>
      </c>
      <c r="D35" s="101">
        <f>D14</f>
        <v>2027</v>
      </c>
      <c r="E35" s="101">
        <f>E14</f>
        <v>2028</v>
      </c>
      <c r="F35" s="101">
        <f>F14</f>
        <v>2029</v>
      </c>
      <c r="G35" s="102">
        <f>G14</f>
        <v>2030</v>
      </c>
      <c r="J35" s="84"/>
      <c r="K35" s="101">
        <f>K14</f>
        <v>2026</v>
      </c>
      <c r="L35" s="101">
        <f>L14</f>
        <v>2027</v>
      </c>
      <c r="M35" s="101">
        <f>M14</f>
        <v>2028</v>
      </c>
      <c r="N35" s="101">
        <f>N14</f>
        <v>2029</v>
      </c>
      <c r="O35" s="102">
        <f>O14</f>
        <v>2030</v>
      </c>
      <c r="R35" s="84"/>
      <c r="S35" s="101">
        <f>S14</f>
        <v>2026</v>
      </c>
      <c r="T35" s="101">
        <f>T14</f>
        <v>2027</v>
      </c>
      <c r="U35" s="101">
        <f>U14</f>
        <v>2028</v>
      </c>
      <c r="V35" s="101">
        <f>V14</f>
        <v>2029</v>
      </c>
      <c r="W35" s="102">
        <f>W14</f>
        <v>2030</v>
      </c>
      <c r="Z35" s="84"/>
      <c r="AA35" s="101">
        <f>AA14</f>
        <v>2026</v>
      </c>
      <c r="AB35" s="101">
        <f>AB14</f>
        <v>2027</v>
      </c>
      <c r="AC35" s="101">
        <f>AC14</f>
        <v>2028</v>
      </c>
      <c r="AD35" s="101">
        <f>AD14</f>
        <v>2029</v>
      </c>
      <c r="AE35" s="102">
        <f>AE14</f>
        <v>2030</v>
      </c>
      <c r="AH35" s="84"/>
      <c r="AI35" s="101">
        <f>AI14</f>
        <v>2026</v>
      </c>
      <c r="AJ35" s="101">
        <f>AJ14</f>
        <v>2027</v>
      </c>
      <c r="AK35" s="101">
        <f>AK14</f>
        <v>2028</v>
      </c>
      <c r="AL35" s="101">
        <f>AL14</f>
        <v>2029</v>
      </c>
      <c r="AM35" s="102">
        <f>AM14</f>
        <v>2030</v>
      </c>
      <c r="AP35" s="84"/>
      <c r="AQ35" s="101">
        <f>AQ14</f>
        <v>2026</v>
      </c>
      <c r="AR35" s="101">
        <f>AR14</f>
        <v>2027</v>
      </c>
      <c r="AS35" s="101">
        <f>AS14</f>
        <v>2028</v>
      </c>
      <c r="AT35" s="101">
        <f>AT14</f>
        <v>2029</v>
      </c>
      <c r="AU35" s="102">
        <f>AU14</f>
        <v>2030</v>
      </c>
      <c r="AX35" s="84"/>
      <c r="AY35" s="101">
        <f>AY14</f>
        <v>2026</v>
      </c>
      <c r="AZ35" s="101">
        <f>AZ14</f>
        <v>2027</v>
      </c>
      <c r="BA35" s="101">
        <f>BA14</f>
        <v>2028</v>
      </c>
      <c r="BB35" s="101">
        <f>BB14</f>
        <v>2029</v>
      </c>
      <c r="BC35" s="102">
        <f>BC14</f>
        <v>2030</v>
      </c>
      <c r="BF35" s="84"/>
      <c r="BG35" s="101">
        <f>BG14</f>
        <v>2026</v>
      </c>
      <c r="BH35" s="101">
        <f>BH14</f>
        <v>2027</v>
      </c>
      <c r="BI35" s="101">
        <f>BI14</f>
        <v>2028</v>
      </c>
      <c r="BJ35" s="101">
        <f>BJ14</f>
        <v>2029</v>
      </c>
      <c r="BK35" s="102">
        <f>BK14</f>
        <v>2030</v>
      </c>
      <c r="BN35" s="84"/>
      <c r="BO35" s="101">
        <f>BO14</f>
        <v>2026</v>
      </c>
      <c r="BP35" s="101">
        <f>BP14</f>
        <v>2027</v>
      </c>
      <c r="BQ35" s="101">
        <f>BQ14</f>
        <v>2028</v>
      </c>
      <c r="BR35" s="101">
        <f>BR14</f>
        <v>2029</v>
      </c>
      <c r="BS35" s="102">
        <f>BS14</f>
        <v>2030</v>
      </c>
      <c r="BV35" s="84"/>
      <c r="BW35" s="101">
        <f>BW14</f>
        <v>2026</v>
      </c>
      <c r="BX35" s="101">
        <f>BX14</f>
        <v>2027</v>
      </c>
      <c r="BY35" s="101">
        <f>BY14</f>
        <v>2028</v>
      </c>
      <c r="BZ35" s="101">
        <f>BZ14</f>
        <v>2029</v>
      </c>
      <c r="CA35" s="102">
        <f>CA14</f>
        <v>2030</v>
      </c>
      <c r="CD35" s="84"/>
      <c r="CE35" s="101">
        <f>CE14</f>
        <v>2026</v>
      </c>
      <c r="CF35" s="101">
        <f>CF14</f>
        <v>2027</v>
      </c>
      <c r="CG35" s="101">
        <f>CG14</f>
        <v>2028</v>
      </c>
      <c r="CH35" s="101">
        <f>CH14</f>
        <v>2029</v>
      </c>
      <c r="CI35" s="102">
        <f>CI14</f>
        <v>2030</v>
      </c>
      <c r="CL35" s="84"/>
      <c r="CM35" s="101">
        <f>CM14</f>
        <v>2026</v>
      </c>
      <c r="CN35" s="101">
        <f>CN14</f>
        <v>2027</v>
      </c>
      <c r="CO35" s="101">
        <f>CO14</f>
        <v>2028</v>
      </c>
      <c r="CP35" s="101">
        <f>CP14</f>
        <v>2029</v>
      </c>
      <c r="CQ35" s="102">
        <f>CQ14</f>
        <v>2030</v>
      </c>
      <c r="CT35" s="84"/>
      <c r="CU35" s="101">
        <f>CU14</f>
        <v>2026</v>
      </c>
      <c r="CV35" s="101">
        <f>CV14</f>
        <v>2027</v>
      </c>
      <c r="CW35" s="101">
        <f>CW14</f>
        <v>2028</v>
      </c>
      <c r="CX35" s="101">
        <f>CX14</f>
        <v>2029</v>
      </c>
      <c r="CY35" s="102">
        <f>CY14</f>
        <v>2030</v>
      </c>
      <c r="DB35" s="84"/>
      <c r="DC35" s="101">
        <f>DC14</f>
        <v>2026</v>
      </c>
      <c r="DD35" s="101">
        <f>DD14</f>
        <v>2027</v>
      </c>
      <c r="DE35" s="101">
        <f>DE14</f>
        <v>2028</v>
      </c>
      <c r="DF35" s="101">
        <f>DF14</f>
        <v>2029</v>
      </c>
      <c r="DG35" s="102">
        <f>DG14</f>
        <v>2030</v>
      </c>
    </row>
    <row r="36" spans="2:113" s="83" customFormat="1" ht="15" thickBot="1">
      <c r="B36" s="386"/>
      <c r="C36" s="388">
        <f ca="1">(C15*c_inicial)+(C15*c_on*12)+(C15*ci_int1)+(C15*(ct_int1+ca_int1)*'Time on treatment'!$D$12)</f>
        <v>0</v>
      </c>
      <c r="D36" s="388">
        <f ca="1">((D15-C15)*(c_inicial+ci_int1))+(D15*c_on*12)+(D15*(ct_int1+ca_int1)*'Time on treatment'!$D$12)</f>
        <v>0</v>
      </c>
      <c r="E36" s="388">
        <f ca="1">(((E15-(D15-C15))-C15)*(c_inicial+ci_int1))+(E15*c_on*12)+(E15*(ct_int1+ca_int1)*'Time on treatment'!$D$12)</f>
        <v>0</v>
      </c>
      <c r="F36" s="388">
        <f ca="1">((F15-(E15-D15)-(D15-C15)-C15)*(c_inicial+ci_int1))+(F15*c_on*12)+(F15*(ct_int1+ca_int1)*'Time on treatment'!$D$12)</f>
        <v>0</v>
      </c>
      <c r="G36" s="389">
        <f ca="1">((G15-(F15-E15)-(E15-D15)-(D15-C15)-C15)*(c_inicial+ci_int1))+(G15*c_on*12)+(G15*(ct_int1+ca_int1)*'Time on treatment'!$D$12)</f>
        <v>0</v>
      </c>
      <c r="H36" s="77"/>
      <c r="I36" s="77"/>
      <c r="J36" s="386"/>
      <c r="K36" s="388">
        <f ca="1">(K15*c_inicial)+(K15*c_on*12)+(K15*ci_int2)+(K15*(ct_int2+ca_int2)*'Time on treatment'!$D$12)</f>
        <v>0</v>
      </c>
      <c r="L36" s="388">
        <f ca="1">((L15-K15)*(c_inicial+ci_int2))+(L15*c_on*12)+(L15*(ct_int2+ca_int2)*'Time on treatment'!$D$12)</f>
        <v>0</v>
      </c>
      <c r="M36" s="388">
        <f ca="1">(((M15-(L15-K15))-K15)*(c_inicial+ci_int2))+(M15*c_on*12)+(M15*(ct_int2+ca_int2)*'Time on treatment'!$D$12)</f>
        <v>0</v>
      </c>
      <c r="N36" s="388">
        <f ca="1">((N15-(M15-L15)-(L15-K15)-K15)*(c_inicial+ci_int2))+(N15*c_on*12)+(N15*(ct_int2+ca_int2)*'Time on treatment'!$D$12)</f>
        <v>0</v>
      </c>
      <c r="O36" s="389">
        <f ca="1">((O15-(N15-M15)-(M15-L15)-(L15-K15)-K15)*(c_inicial+ci_int2))+(O15*c_on*12)+(O15*(ct_int2+ca_int2)*'Time on treatment'!$D$12)</f>
        <v>0</v>
      </c>
      <c r="P36" s="77"/>
      <c r="Q36" s="77"/>
      <c r="R36" s="386"/>
      <c r="S36" s="388">
        <f ca="1">(S15*c_inicial)+(S15*c_on*12)+(S15*ci_int3)+(S15*(ct_int3+ca_int3)*'Time on treatment'!$D$12)</f>
        <v>0</v>
      </c>
      <c r="T36" s="388">
        <f ca="1">((T15-S15)*(c_inicial+ci_int3))+(T15*c_on*12)+(T15*(ct_int3+ca_int3)*'Time on treatment'!$D$12)</f>
        <v>0</v>
      </c>
      <c r="U36" s="388">
        <f ca="1">(((U15-(T15-S15))-S15)*(c_inicial+ci_int3))+(U15*c_on*12)+(U15*(ct_int3+ca_int3)*'Time on treatment'!$D$12)</f>
        <v>0</v>
      </c>
      <c r="V36" s="388">
        <f ca="1">((V15-(U15-T15)-(T15-S15)-S15)*(c_inicial+ci_int3))+(V15*c_on*12)+(V15*(ct_int3+ca_int3)*'Time on treatment'!$D$12)</f>
        <v>0</v>
      </c>
      <c r="W36" s="389">
        <f ca="1">((W15-(V15-U15)-(U15-T15)-(T15-S15)-S15)*(c_inicial+ci_int3))+(W15*c_on*12)+(W15*(ct_int3+ca_int3)*'Time on treatment'!$D$12)</f>
        <v>0</v>
      </c>
      <c r="X36" s="77"/>
      <c r="Y36" s="77"/>
      <c r="Z36" s="386"/>
      <c r="AA36" s="388">
        <f ca="1">(AA15*c_inicial)+(AA15*c_on*12)+(AA15*ci_int4)+(AA15*(ct_int4+ca_int4)*'Time on treatment'!$D$12)</f>
        <v>0</v>
      </c>
      <c r="AB36" s="388">
        <f ca="1">((AB15-AA15)*(c_inicial+ci_int4))+(AB15*c_on*12)+(AB15*(ct_int4+ca_int4)*'Time on treatment'!$D$12)</f>
        <v>0</v>
      </c>
      <c r="AC36" s="388">
        <f ca="1">(((AC15-(AB15-AA15))-AA15)*(c_inicial+ci_int4))+(AC15*c_on*12)+(AC15*(ct_int4+ca_int4)*'Time on treatment'!$D$12)</f>
        <v>0</v>
      </c>
      <c r="AD36" s="388">
        <f ca="1">((AD15-(AC15-AB15)-(AB15-AA15)-AA15)*(c_inicial+ci_int4))+(AD15*c_on*12)+(AD15*(ct_int4+ca_int4)*'Time on treatment'!$D$12)</f>
        <v>0</v>
      </c>
      <c r="AE36" s="389">
        <f ca="1">((AE15-(AD15-AC15)-(AC15-AB15)-(AB15-AA15)-AA15)*(c_inicial+ci_int4))+(AE15*c_on*12)+(AE15*(ct_int4+ca_int4)*'Time on treatment'!$D$12)</f>
        <v>0</v>
      </c>
      <c r="AF36" s="77"/>
      <c r="AG36" s="77"/>
      <c r="AH36" s="386"/>
      <c r="AI36" s="388">
        <f ca="1">(AI15*c_inicial)+(AI15*c_on*12)+(AI15*ci_comp1)+(AI15*(ct_comp1+ca_comp1)*'Time on treatment'!$D$12)</f>
        <v>1456977.3434282176</v>
      </c>
      <c r="AJ36" s="388">
        <f ca="1">((AJ15-AI15)*(c_inicial+ci_comp1))+(AJ15*c_on*12)+(AJ15*(ct_comp1+ca_comp1)*'Time on treatment'!$D$12)</f>
        <v>1468927.4722879506</v>
      </c>
      <c r="AK36" s="388">
        <f ca="1">(((AK15-(AJ15-AI15))-AI15)*(c_inicial+ci_comp1))+(AK15*c_on*12)+(AK15*(ct_comp1+ca_comp1)*'Time on treatment'!$D$12)</f>
        <v>1480376.8732965186</v>
      </c>
      <c r="AL36" s="388">
        <f ca="1">((AL15-(AK15-AJ15)-(AJ15-AI15)-AI15)*(c_inicial+ci_comp1))+(AL15*c_on*12)+(AL15*(ct_comp1+ca_comp1)*'Time on treatment'!$D$12)</f>
        <v>1491853.4812270771</v>
      </c>
      <c r="AM36" s="389">
        <f ca="1">((AM15-(AL15-AK15)-(AK15-AJ15)-(AJ15-AI15)-AI15)*(c_inicial+ci_comp1))+(AM15*c_on*12)+(AM15*(ct_comp1+ca_comp1)*'Time on treatment'!$D$12)</f>
        <v>1503392.9459181456</v>
      </c>
      <c r="AN36" s="77"/>
      <c r="AO36" s="77"/>
      <c r="AP36" s="386"/>
      <c r="AQ36" s="388">
        <f ca="1">(AQ15*c_inicial)+(AQ15*c_on*12)+(AQ15*ci_comp2)+(AQ15*(ct_comp2+ca_comp2)*'Time on treatment'!$D$12)</f>
        <v>10961654.94418666</v>
      </c>
      <c r="AR36" s="388">
        <f ca="1">((AR15-AQ15)*(c_inicial+ci_comp2))+(AR15*c_on*12)+(AR15*(ct_comp2+ca_comp2)*'Time on treatment'!$D$12)</f>
        <v>11051562.44322212</v>
      </c>
      <c r="AS36" s="388">
        <f ca="1">(((AS15-(AR15-AQ15))-AQ15)*(c_inicial+ci_comp2))+(AS15*c_on*12)+(AS15*(ct_comp2+ca_comp2)*'Time on treatment'!$D$12)</f>
        <v>11137702.686747279</v>
      </c>
      <c r="AT36" s="388">
        <f ca="1">((AT15-(AS15-AR15)-(AR15-AQ15)-AQ15)*(c_inicial+ci_comp2))+(AT15*c_on*12)+(AT15*(ct_comp2+ca_comp2)*'Time on treatment'!$D$12)</f>
        <v>11224047.623154107</v>
      </c>
      <c r="AU36" s="389">
        <f ca="1">((AU15-(AT15-AS15)-(AS15-AR15)-(AR15-AQ15)-AQ15)*(c_inicial+ci_comp2))+(AU15*c_on*12)+(AU15*(ct_comp2+ca_comp2)*'Time on treatment'!$D$12)</f>
        <v>11310865.466104561</v>
      </c>
      <c r="AV36" s="77"/>
      <c r="AW36" s="77"/>
      <c r="AX36" s="386"/>
      <c r="AY36" s="388">
        <f ca="1">(AY15*c_inicial)+(AY15*c_on*12)+(AY15*ci_comp3)+(AY15*(ct_comp3+ca_comp3)*'Time on treatment'!$D$12)</f>
        <v>60353130.709883563</v>
      </c>
      <c r="AZ36" s="388">
        <f ca="1">((AZ15-AY15)*(c_inicial+ci_comp3))+(AZ15*c_on*12)+(AZ15*(ct_comp3+ca_comp3)*'Time on treatment'!$D$12)</f>
        <v>60848147.116504133</v>
      </c>
      <c r="BA36" s="388">
        <f ca="1">(((BA15-(AZ15-AY15))-AY15)*(c_inicial+ci_comp3))+(BA15*c_on*12)+(BA15*(ct_comp3+ca_comp3)*'Time on treatment'!$D$12)</f>
        <v>61322421.612766415</v>
      </c>
      <c r="BB36" s="388">
        <f ca="1">((BB15-(BA15-AZ15)-(AZ15-AY15)-AY15)*(c_inicial+ci_comp3))+(BB15*c_on*12)+(BB15*(ct_comp3+ca_comp3)*'Time on treatment'!$D$12)</f>
        <v>61797823.115516841</v>
      </c>
      <c r="BC36" s="389">
        <f ca="1">((BC15-(BB15-BA15)-(BA15-AZ15)-(AZ15-AY15)-AY15)*(c_inicial+ci_comp3))+(BC15*c_on*12)+(BC15*(ct_comp3+ca_comp3)*'Time on treatment'!$D$12)</f>
        <v>62275828.366568618</v>
      </c>
      <c r="BD36" s="77"/>
      <c r="BE36" s="77"/>
      <c r="BF36" s="386"/>
      <c r="BG36" s="388">
        <f ca="1">(BG15*c_inicial)+(BG15*c_on*12)+(BG15*ci_comp4)+(BG15*(ct_comp4+ca_comp4)*'Time on treatment'!$D$12)</f>
        <v>11502337.105871247</v>
      </c>
      <c r="BH36" s="388">
        <f ca="1">((BH15-BG15)*(c_inicial+ci_comp4))+(BH15*c_on*12)+(BH15*(ct_comp4+ca_comp4)*'Time on treatment'!$D$12)</f>
        <v>11596679.280252507</v>
      </c>
      <c r="BI36" s="388">
        <f ca="1">(((BI15-(BH15-BG15))-BG15)*(c_inicial+ci_comp4))+(BI15*c_on*12)+(BI15*(ct_comp4+ca_comp4)*'Time on treatment'!$D$12)</f>
        <v>11687068.379750084</v>
      </c>
      <c r="BJ36" s="388">
        <f ca="1">((BJ15-(BI15-BH15)-(BH15-BG15)-BG15)*(c_inicial+ci_comp4))+(BJ15*c_on*12)+(BJ15*(ct_comp4+ca_comp4)*'Time on treatment'!$D$12)</f>
        <v>11777672.268578302</v>
      </c>
      <c r="BK36" s="389">
        <f ca="1">((BK15-(BJ15-BI15)-(BI15-BH15)-(BH15-BG15)-BG15)*(c_inicial+ci_comp4))+(BK15*c_on*12)+(BK15*(ct_comp4+ca_comp4)*'Time on treatment'!$D$12)</f>
        <v>11868772.390002057</v>
      </c>
      <c r="BL36" s="77"/>
      <c r="BM36" s="77"/>
      <c r="BN36" s="386"/>
      <c r="BO36" s="388">
        <f ca="1">(BO15*c_inicial)+(BO15*c_on*12)+(BO15*ci_comp5)+(BO15*(ct_comp5+ca_comp5)*'Time on treatment'!$D$12)</f>
        <v>1158486.9595438614</v>
      </c>
      <c r="BP36" s="388">
        <f ca="1">((BP15-BO15)*(c_inicial+ci_comp5))+(BP15*c_on*12)+(BP15*(ct_comp5+ca_comp5)*'Time on treatment'!$D$12)</f>
        <v>1167988.8701338333</v>
      </c>
      <c r="BQ36" s="388">
        <f ca="1">(((BQ15-(BP15-BO15))-BO15)*(c_inicial+ci_comp5))+(BQ15*c_on*12)+(BQ15*(ct_comp5+ca_comp5)*'Time on treatment'!$D$12)</f>
        <v>1177092.6367935156</v>
      </c>
      <c r="BR36" s="388">
        <f ca="1">((BR15-(BQ15-BP15)-(BP15-BO15)-BO15)*(c_inicial+ci_comp5))+(BR15*c_on*12)+(BR15*(ct_comp5+ca_comp5)*'Time on treatment'!$D$12)</f>
        <v>1186218.0365036209</v>
      </c>
      <c r="BS36" s="389">
        <f ca="1">((BS15-(BR15-BQ15)-(BQ15-BP15)-(BP15-BO15)-BO15)*(c_inicial+ci_comp5))+(BS15*c_on*12)+(BS15*(ct_comp5+ca_comp5)*'Time on treatment'!$D$12)</f>
        <v>1195393.4155340623</v>
      </c>
      <c r="BT36" s="77"/>
      <c r="BU36" s="77"/>
      <c r="BV36" s="386"/>
      <c r="BW36" s="388">
        <f ca="1">(BW15*c_inicial)+(BW15*c_on*12)+(BW15*ci_comp6)+(BW15*(ct_comp6+ca_comp6)*'Time on treatment'!$D$12)</f>
        <v>42765.316427215286</v>
      </c>
      <c r="BX36" s="388">
        <f ca="1">((BX15-BW15)*(c_inicial+ci_comp6))+(BX15*c_on*12)+(BX15*(ct_comp6+ca_comp6)*'Time on treatment'!$D$12)</f>
        <v>43116.077572772978</v>
      </c>
      <c r="BY36" s="388">
        <f ca="1">(((BY15-(BX15-BW15))-BW15)*(c_inicial+ci_comp6))+(BY15*c_on*12)+(BY15*(ct_comp6+ca_comp6)*'Time on treatment'!$D$12)</f>
        <v>43452.141314080982</v>
      </c>
      <c r="BZ36" s="388">
        <f ca="1">((BZ15-(BY15-BX15)-(BX15-BW15)-BW15)*(c_inicial+ci_comp6))+(BZ15*c_on*12)+(BZ15*(ct_comp6+ca_comp6)*'Time on treatment'!$D$12)</f>
        <v>43789.003635156332</v>
      </c>
      <c r="CA36" s="389">
        <f ca="1">((CA15-(BZ15-BY15)-(BY15-BX15)-(BX15-BW15)-BW15)*(c_inicial+ci_comp6))+(CA15*c_on*12)+(CA15*(ct_comp6+ca_comp6)*'Time on treatment'!$D$12)</f>
        <v>44127.710932932874</v>
      </c>
      <c r="CB36" s="77"/>
      <c r="CC36" s="77"/>
      <c r="CD36" s="386"/>
      <c r="CE36" s="388">
        <f ca="1">(CE15*c_inicial)+(CE15*c_on*12)+(CE15*ci_comp7)+(CE15*(ct_comp7+ca_comp7)*'Time on treatment'!$D$12)</f>
        <v>3087999.0519643785</v>
      </c>
      <c r="CF36" s="388">
        <f ca="1">((CF15-CE15)*(c_inicial+ci_comp7))+(CF15*c_on*12)+(CF15*(ct_comp7+ca_comp7)*'Time on treatment'!$D$12)</f>
        <v>3113326.821648757</v>
      </c>
      <c r="CG36" s="388">
        <f ca="1">(((CG15-(CF15-CE15))-CE15)*(c_inicial+ci_comp7))+(CG15*c_on*12)+(CG15*(ct_comp7+ca_comp7)*'Time on treatment'!$D$12)</f>
        <v>3137593.3207947402</v>
      </c>
      <c r="CH36" s="388">
        <f ca="1">((CH15-(CG15-CF15)-(CF15-CE15)-CE15)*(c_inicial+ci_comp7))+(CH15*c_on*12)+(CH15*(ct_comp7+ca_comp7)*'Time on treatment'!$D$12)</f>
        <v>3161917.4838087941</v>
      </c>
      <c r="CI36" s="389">
        <f ca="1">((CI15-(CH15-CG15)-(CG15-CF15)-(CF15-CE15)-CE15)*(c_inicial+ci_comp7))+(CI15*c_on*12)+(CI15*(ct_comp7+ca_comp7)*'Time on treatment'!$D$12)</f>
        <v>3186374.8689472284</v>
      </c>
      <c r="CJ36" s="77"/>
      <c r="CK36" s="77"/>
      <c r="CL36" s="386"/>
      <c r="CM36" s="388">
        <f ca="1">(CM15*c_inicial)+(CM15*c_on*12)+(CM15*ci_comp8)+(CM15*(ct_comp8+ca_comp8)*'Time on treatment'!$D$12)</f>
        <v>13231782.851843471</v>
      </c>
      <c r="CN36" s="388">
        <f ca="1">((CN15-CM15)*(c_inicial+ci_comp8))+(CN15*c_on*12)+(CN15*(ct_comp8+ca_comp8)*'Time on treatment'!$D$12)</f>
        <v>13340309.941050969</v>
      </c>
      <c r="CO36" s="388">
        <f ca="1">(((CO15-(CN15-CM15))-CM15)*(c_inicial+ci_comp8))+(CO15*c_on*12)+(CO15*(ct_comp8+ca_comp8)*'Time on treatment'!$D$12)</f>
        <v>13444289.586727945</v>
      </c>
      <c r="CP36" s="388">
        <f ca="1">((CP15-(CO15-CN15)-(CN15-CM15)-CM15)*(c_inicial+ci_comp8))+(CP15*c_on*12)+(CP15*(ct_comp8+ca_comp8)*'Time on treatment'!$D$12)</f>
        <v>13548516.316606656</v>
      </c>
      <c r="CQ36" s="389">
        <f ca="1">((CQ15-(CP15-CO15)-(CO15-CN15)-(CN15-CM15)-CM15)*(c_inicial+ci_comp8))+(CQ15*c_on*12)+(CQ15*(ct_comp8+ca_comp8)*'Time on treatment'!$D$12)</f>
        <v>13653313.890644057</v>
      </c>
      <c r="CR36" s="77"/>
      <c r="CS36" s="77"/>
      <c r="CT36" s="386"/>
      <c r="CU36" s="388">
        <f ca="1">(CU15*c_inicial)+(CU15*c_on*12)+(CU15*ci_comp9)+(CU15*(ct_comp9+ca_comp9)*'Time on treatment'!$D$12)</f>
        <v>28222843.610667959</v>
      </c>
      <c r="CV36" s="388">
        <f ca="1">((CV15-CU15)*(c_inicial+ci_comp9))+(CV15*c_on*12)+(CV15*(ct_comp9+ca_comp9)*'Time on treatment'!$D$12)</f>
        <v>28454327.38730789</v>
      </c>
      <c r="CW36" s="388">
        <f ca="1">(((CW15-(CV15-CU15))-CU15)*(c_inicial+ci_comp9))+(CW15*c_on*12)+(CW15*(ct_comp9+ca_comp9)*'Time on treatment'!$D$12)</f>
        <v>28676111.655648205</v>
      </c>
      <c r="CX36" s="388">
        <f ca="1">((CX15-(CW15-CV15)-(CV15-CU15)-CU15)*(c_inicial+ci_comp9))+(CX15*c_on*12)+(CX15*(ct_comp9+ca_comp9)*'Time on treatment'!$D$12)</f>
        <v>28898422.944335081</v>
      </c>
      <c r="CY36" s="389">
        <f ca="1">((CY15-(CX15-CW15)-(CW15-CV15)-(CV15-CU15)-CU15)*(c_inicial+ci_comp9))+(CY15*c_on*12)+(CY15*(ct_comp9+ca_comp9)*'Time on treatment'!$D$12)</f>
        <v>29121951.819918379</v>
      </c>
      <c r="CZ36" s="77"/>
      <c r="DA36" s="77"/>
      <c r="DB36" s="386"/>
      <c r="DC36" s="388">
        <f ca="1">(DC15*c_inicial)+(DC15*c_on*12)+(DC15*ci_comp10)+(DC15*(ct_comp10+ca_comp10)*'Time on treatment'!$D$12)</f>
        <v>0</v>
      </c>
      <c r="DD36" s="388">
        <f ca="1">((DD15-DC15)*(c_inicial+ci_comp10))+(DD15*c_on*12)+(DD15*(ct_comp10+ca_comp10)*'Time on treatment'!$D$12)</f>
        <v>0</v>
      </c>
      <c r="DE36" s="388">
        <f ca="1">(((DE15-(DD15-DC15))-DC15)*(c_inicial+ci_comp10))+(DE15*c_on*12)+(DE15*(ct_comp10+ca_comp10)*'Time on treatment'!$D$12)</f>
        <v>0</v>
      </c>
      <c r="DF36" s="388">
        <f ca="1">((DF15-(DE15-DD15)-(DD15-DC15)-DC15)*(c_inicial+ci_comp10))+(DF15*c_on*12)+(DF15*(ct_comp10+ca_comp10)*'Time on treatment'!$D$12)</f>
        <v>0</v>
      </c>
      <c r="DG36" s="389">
        <f ca="1">((DG15-(DF15-DE15)-(DE15-DD15)-(DD15-DC15)-DC15)*(c_inicial+ci_comp10))+(DG15*c_on*12)+(DG15*(ct_comp10+ca_comp10)*'Time on treatment'!$D$12)</f>
        <v>0</v>
      </c>
      <c r="DH36" s="77"/>
      <c r="DI36" s="77"/>
    </row>
    <row r="37" spans="2:113" ht="15" thickBot="1">
      <c r="B37" s="83"/>
      <c r="C37" s="86"/>
      <c r="D37" s="86"/>
      <c r="E37" s="86"/>
      <c r="F37" s="86"/>
      <c r="G37" s="86"/>
      <c r="J37" s="83"/>
      <c r="K37" s="86"/>
      <c r="L37" s="86"/>
      <c r="M37" s="86"/>
      <c r="N37" s="86"/>
      <c r="O37" s="86"/>
      <c r="R37" s="83"/>
      <c r="S37" s="86"/>
      <c r="T37" s="86"/>
      <c r="U37" s="86"/>
      <c r="V37" s="86"/>
      <c r="W37" s="86"/>
      <c r="Z37" s="83"/>
      <c r="AA37" s="86"/>
      <c r="AB37" s="86"/>
      <c r="AC37" s="86"/>
      <c r="AD37" s="86"/>
      <c r="AE37" s="86"/>
      <c r="AH37" s="83"/>
      <c r="AI37" s="86"/>
      <c r="AJ37" s="86"/>
      <c r="AK37" s="86"/>
      <c r="AL37" s="86"/>
      <c r="AM37" s="86"/>
      <c r="AP37" s="83"/>
      <c r="AQ37" s="86"/>
      <c r="AR37" s="86"/>
      <c r="AS37" s="86"/>
      <c r="AT37" s="86"/>
      <c r="AU37" s="86"/>
      <c r="AX37" s="83"/>
      <c r="AY37" s="86"/>
      <c r="AZ37" s="86"/>
      <c r="BA37" s="86"/>
      <c r="BB37" s="86"/>
      <c r="BC37" s="86"/>
      <c r="BF37" s="83"/>
      <c r="BG37" s="86"/>
      <c r="BH37" s="86"/>
      <c r="BI37" s="86"/>
      <c r="BJ37" s="86"/>
      <c r="BK37" s="86"/>
      <c r="BN37" s="83"/>
      <c r="BO37" s="86"/>
      <c r="BP37" s="86"/>
      <c r="BQ37" s="86"/>
      <c r="BR37" s="86"/>
      <c r="BS37" s="86"/>
      <c r="BV37" s="83"/>
      <c r="BW37" s="86"/>
      <c r="BX37" s="86"/>
      <c r="BY37" s="86"/>
      <c r="BZ37" s="86"/>
      <c r="CA37" s="86"/>
      <c r="CD37" s="83"/>
      <c r="CE37" s="86"/>
      <c r="CF37" s="86"/>
      <c r="CG37" s="86"/>
      <c r="CH37" s="86"/>
      <c r="CI37" s="86"/>
      <c r="CL37" s="83"/>
      <c r="CM37" s="86"/>
      <c r="CN37" s="86"/>
      <c r="CO37" s="86"/>
      <c r="CP37" s="86"/>
      <c r="CQ37" s="86"/>
      <c r="CT37" s="83"/>
      <c r="CU37" s="86"/>
      <c r="CV37" s="86"/>
      <c r="CW37" s="86"/>
      <c r="CX37" s="86"/>
      <c r="CY37" s="86"/>
      <c r="DB37" s="83"/>
      <c r="DC37" s="86"/>
      <c r="DD37" s="86"/>
      <c r="DE37" s="86"/>
      <c r="DF37" s="86"/>
      <c r="DG37" s="86"/>
    </row>
    <row r="38" spans="2:113" ht="15" thickBot="1">
      <c r="B38" s="507" t="str">
        <f>B17</f>
        <v>all options</v>
      </c>
      <c r="C38" s="505"/>
      <c r="D38" s="505"/>
      <c r="E38" s="505"/>
      <c r="F38" s="505"/>
      <c r="G38" s="506"/>
      <c r="J38" s="507" t="str">
        <f>J17</f>
        <v>all options</v>
      </c>
      <c r="K38" s="505"/>
      <c r="L38" s="505"/>
      <c r="M38" s="505"/>
      <c r="N38" s="505"/>
      <c r="O38" s="506"/>
      <c r="R38" s="507" t="str">
        <f>R17</f>
        <v>all options</v>
      </c>
      <c r="S38" s="505"/>
      <c r="T38" s="505"/>
      <c r="U38" s="505"/>
      <c r="V38" s="505"/>
      <c r="W38" s="506"/>
      <c r="Z38" s="507" t="str">
        <f>Z17</f>
        <v>all options</v>
      </c>
      <c r="AA38" s="505"/>
      <c r="AB38" s="505"/>
      <c r="AC38" s="505"/>
      <c r="AD38" s="505"/>
      <c r="AE38" s="506"/>
      <c r="AH38" s="507" t="str">
        <f>AH17</f>
        <v>all options</v>
      </c>
      <c r="AI38" s="505"/>
      <c r="AJ38" s="505"/>
      <c r="AK38" s="505"/>
      <c r="AL38" s="505"/>
      <c r="AM38" s="506"/>
      <c r="AP38" s="507" t="str">
        <f>AP17</f>
        <v>all options</v>
      </c>
      <c r="AQ38" s="505"/>
      <c r="AR38" s="505"/>
      <c r="AS38" s="505"/>
      <c r="AT38" s="505"/>
      <c r="AU38" s="506"/>
      <c r="AX38" s="507" t="str">
        <f>AX17</f>
        <v>all options</v>
      </c>
      <c r="AY38" s="505"/>
      <c r="AZ38" s="505"/>
      <c r="BA38" s="505"/>
      <c r="BB38" s="505"/>
      <c r="BC38" s="506"/>
      <c r="BF38" s="507" t="str">
        <f>BF17</f>
        <v>all options</v>
      </c>
      <c r="BG38" s="505"/>
      <c r="BH38" s="505"/>
      <c r="BI38" s="505"/>
      <c r="BJ38" s="505"/>
      <c r="BK38" s="506"/>
      <c r="BN38" s="507" t="str">
        <f>BN17</f>
        <v>all options</v>
      </c>
      <c r="BO38" s="505"/>
      <c r="BP38" s="505"/>
      <c r="BQ38" s="505"/>
      <c r="BR38" s="505"/>
      <c r="BS38" s="506"/>
      <c r="BV38" s="507" t="str">
        <f>BV17</f>
        <v>all options</v>
      </c>
      <c r="BW38" s="505"/>
      <c r="BX38" s="505"/>
      <c r="BY38" s="505"/>
      <c r="BZ38" s="505"/>
      <c r="CA38" s="506"/>
      <c r="CD38" s="507" t="str">
        <f>CD17</f>
        <v>all options</v>
      </c>
      <c r="CE38" s="505"/>
      <c r="CF38" s="505"/>
      <c r="CG38" s="505"/>
      <c r="CH38" s="505"/>
      <c r="CI38" s="506"/>
      <c r="CL38" s="507" t="str">
        <f>CL17</f>
        <v>all options</v>
      </c>
      <c r="CM38" s="505"/>
      <c r="CN38" s="505"/>
      <c r="CO38" s="505"/>
      <c r="CP38" s="505"/>
      <c r="CQ38" s="506"/>
      <c r="CT38" s="507" t="str">
        <f>CT17</f>
        <v>all options</v>
      </c>
      <c r="CU38" s="505"/>
      <c r="CV38" s="505"/>
      <c r="CW38" s="505"/>
      <c r="CX38" s="505"/>
      <c r="CY38" s="506"/>
      <c r="DB38" s="507" t="str">
        <f>DB17</f>
        <v>all options</v>
      </c>
      <c r="DC38" s="505"/>
      <c r="DD38" s="505"/>
      <c r="DE38" s="505"/>
      <c r="DF38" s="505"/>
      <c r="DG38" s="506"/>
    </row>
    <row r="39" spans="2:113">
      <c r="B39" s="84"/>
      <c r="C39" s="101">
        <f>C18</f>
        <v>2026</v>
      </c>
      <c r="D39" s="101">
        <f>D18</f>
        <v>2027</v>
      </c>
      <c r="E39" s="101">
        <f>E18</f>
        <v>2028</v>
      </c>
      <c r="F39" s="101">
        <f>F18</f>
        <v>2029</v>
      </c>
      <c r="G39" s="102">
        <f>G18</f>
        <v>2030</v>
      </c>
      <c r="J39" s="84"/>
      <c r="K39" s="101">
        <f>K18</f>
        <v>2026</v>
      </c>
      <c r="L39" s="101">
        <f>L18</f>
        <v>2027</v>
      </c>
      <c r="M39" s="101">
        <f>M18</f>
        <v>2028</v>
      </c>
      <c r="N39" s="101">
        <f>N18</f>
        <v>2029</v>
      </c>
      <c r="O39" s="102">
        <f>O18</f>
        <v>2030</v>
      </c>
      <c r="R39" s="84"/>
      <c r="S39" s="101">
        <f>S18</f>
        <v>2026</v>
      </c>
      <c r="T39" s="101">
        <f>T18</f>
        <v>2027</v>
      </c>
      <c r="U39" s="101">
        <f>U18</f>
        <v>2028</v>
      </c>
      <c r="V39" s="101">
        <f>V18</f>
        <v>2029</v>
      </c>
      <c r="W39" s="102">
        <f>W18</f>
        <v>2030</v>
      </c>
      <c r="Z39" s="84"/>
      <c r="AA39" s="101">
        <f>AA18</f>
        <v>2026</v>
      </c>
      <c r="AB39" s="101">
        <f>AB18</f>
        <v>2027</v>
      </c>
      <c r="AC39" s="101">
        <f>AC18</f>
        <v>2028</v>
      </c>
      <c r="AD39" s="101">
        <f>AD18</f>
        <v>2029</v>
      </c>
      <c r="AE39" s="102">
        <f>AE18</f>
        <v>2030</v>
      </c>
      <c r="AH39" s="84"/>
      <c r="AI39" s="101">
        <f>AI18</f>
        <v>2026</v>
      </c>
      <c r="AJ39" s="101">
        <f>AJ18</f>
        <v>2027</v>
      </c>
      <c r="AK39" s="101">
        <f>AK18</f>
        <v>2028</v>
      </c>
      <c r="AL39" s="101">
        <f>AL18</f>
        <v>2029</v>
      </c>
      <c r="AM39" s="102">
        <f>AM18</f>
        <v>2030</v>
      </c>
      <c r="AP39" s="84"/>
      <c r="AQ39" s="101">
        <f>AQ18</f>
        <v>2026</v>
      </c>
      <c r="AR39" s="101">
        <f>AR18</f>
        <v>2027</v>
      </c>
      <c r="AS39" s="101">
        <f>AS18</f>
        <v>2028</v>
      </c>
      <c r="AT39" s="101">
        <f>AT18</f>
        <v>2029</v>
      </c>
      <c r="AU39" s="102">
        <f>AU18</f>
        <v>2030</v>
      </c>
      <c r="AX39" s="84"/>
      <c r="AY39" s="101">
        <f>AY18</f>
        <v>2026</v>
      </c>
      <c r="AZ39" s="101">
        <f>AZ18</f>
        <v>2027</v>
      </c>
      <c r="BA39" s="101">
        <f>BA18</f>
        <v>2028</v>
      </c>
      <c r="BB39" s="101">
        <f>BB18</f>
        <v>2029</v>
      </c>
      <c r="BC39" s="102">
        <f>BC18</f>
        <v>2030</v>
      </c>
      <c r="BF39" s="84"/>
      <c r="BG39" s="101">
        <f>BG18</f>
        <v>2026</v>
      </c>
      <c r="BH39" s="101">
        <f>BH18</f>
        <v>2027</v>
      </c>
      <c r="BI39" s="101">
        <f>BI18</f>
        <v>2028</v>
      </c>
      <c r="BJ39" s="101">
        <f>BJ18</f>
        <v>2029</v>
      </c>
      <c r="BK39" s="102">
        <f>BK18</f>
        <v>2030</v>
      </c>
      <c r="BN39" s="84"/>
      <c r="BO39" s="101">
        <f>BO18</f>
        <v>2026</v>
      </c>
      <c r="BP39" s="101">
        <f>BP18</f>
        <v>2027</v>
      </c>
      <c r="BQ39" s="101">
        <f>BQ18</f>
        <v>2028</v>
      </c>
      <c r="BR39" s="101">
        <f>BR18</f>
        <v>2029</v>
      </c>
      <c r="BS39" s="102">
        <f>BS18</f>
        <v>2030</v>
      </c>
      <c r="BV39" s="84"/>
      <c r="BW39" s="101">
        <f>BW18</f>
        <v>2026</v>
      </c>
      <c r="BX39" s="101">
        <f>BX18</f>
        <v>2027</v>
      </c>
      <c r="BY39" s="101">
        <f>BY18</f>
        <v>2028</v>
      </c>
      <c r="BZ39" s="101">
        <f>BZ18</f>
        <v>2029</v>
      </c>
      <c r="CA39" s="102">
        <f>CA18</f>
        <v>2030</v>
      </c>
      <c r="CD39" s="84"/>
      <c r="CE39" s="101">
        <f>CE18</f>
        <v>2026</v>
      </c>
      <c r="CF39" s="101">
        <f>CF18</f>
        <v>2027</v>
      </c>
      <c r="CG39" s="101">
        <f>CG18</f>
        <v>2028</v>
      </c>
      <c r="CH39" s="101">
        <f>CH18</f>
        <v>2029</v>
      </c>
      <c r="CI39" s="102">
        <f>CI18</f>
        <v>2030</v>
      </c>
      <c r="CL39" s="84"/>
      <c r="CM39" s="101">
        <f>CM18</f>
        <v>2026</v>
      </c>
      <c r="CN39" s="101">
        <f>CN18</f>
        <v>2027</v>
      </c>
      <c r="CO39" s="101">
        <f>CO18</f>
        <v>2028</v>
      </c>
      <c r="CP39" s="101">
        <f>CP18</f>
        <v>2029</v>
      </c>
      <c r="CQ39" s="102">
        <f>CQ18</f>
        <v>2030</v>
      </c>
      <c r="CT39" s="84"/>
      <c r="CU39" s="101">
        <f>CU18</f>
        <v>2026</v>
      </c>
      <c r="CV39" s="101">
        <f>CV18</f>
        <v>2027</v>
      </c>
      <c r="CW39" s="101">
        <f>CW18</f>
        <v>2028</v>
      </c>
      <c r="CX39" s="101">
        <f>CX18</f>
        <v>2029</v>
      </c>
      <c r="CY39" s="102">
        <f>CY18</f>
        <v>2030</v>
      </c>
      <c r="DB39" s="84"/>
      <c r="DC39" s="101">
        <f>DC18</f>
        <v>2026</v>
      </c>
      <c r="DD39" s="101">
        <f>DD18</f>
        <v>2027</v>
      </c>
      <c r="DE39" s="101">
        <f>DE18</f>
        <v>2028</v>
      </c>
      <c r="DF39" s="101">
        <f>DF18</f>
        <v>2029</v>
      </c>
      <c r="DG39" s="102">
        <f>DG18</f>
        <v>2030</v>
      </c>
    </row>
    <row r="40" spans="2:113" s="83" customFormat="1" ht="15" thickBot="1">
      <c r="B40" s="386"/>
      <c r="C40" s="388">
        <f ca="1">(C19*c_inicial)+(C19*c_on*12)+(C19*ci_int1)+(C19*(ct_int1+ca_int1)*'Time on treatment'!$D$12)</f>
        <v>9261678.4026258253</v>
      </c>
      <c r="D40" s="388">
        <f ca="1">((D19-C19)*(c_inicial+ci_int1))+(D19*c_on*12)+(D19*(ct_int1+ca_int1)*'Time on treatment'!$D$12)</f>
        <v>18675285.386527129</v>
      </c>
      <c r="E40" s="388">
        <f ca="1">((E19-D19)*(c_inicial+ci_int1))+(E19*c_on*12)+(E19*(ct_int1+ca_int1)*'Time on treatment'!$D$12)</f>
        <v>28231271.907556493</v>
      </c>
      <c r="F40" s="388">
        <f ca="1">((F19-E19)*(c_inicial+ci_int1))+(F19*c_on*12)+(F19*(ct_int1+ca_int1)*'Time on treatment'!$D$12)</f>
        <v>37933512.773649275</v>
      </c>
      <c r="G40" s="389">
        <f ca="1">((G19-F19)*(c_inicial+ci_int1))+(G19*c_on*12)+(G19*(ct_int1+ca_int1)*'Time on treatment'!$D$12)</f>
        <v>47783659.919884361</v>
      </c>
      <c r="H40" s="77"/>
      <c r="I40" s="77"/>
      <c r="J40" s="386"/>
      <c r="K40" s="388">
        <f ca="1">(K19*c_inicial)+(K19*c_on*12)+(K19*ci_int2)+(K19*(ct_int2+ca_int2)*'Time on treatment'!$D$12)</f>
        <v>18432096.591963455</v>
      </c>
      <c r="L40" s="388">
        <f ca="1">((L19-K19)*(c_inicial+ci_int2))+(L19*c_on*12)+(L19*(ct_int2+ca_int2)*'Time on treatment'!$D$12)</f>
        <v>37166553.313852787</v>
      </c>
      <c r="M40" s="388">
        <f ca="1">(((M19-(L19-K19))-K19)*(c_inicial+ci_int2))+(M19*c_on*12)+(M19*(ct_int2+ca_int2)*'Time on treatment'!$D$12)</f>
        <v>56184366.169153035</v>
      </c>
      <c r="N40" s="388">
        <f ca="1">((N19-(M19-L19)-(L19-K19)-K19)*(c_inicial+ci_int2))+(N19*c_on*12)+(N19*(ct_int2+ca_int2)*'Time on treatment'!$D$12)</f>
        <v>75493246.593203992</v>
      </c>
      <c r="O40" s="389">
        <f ca="1">((O19-(N19-M19)-(M19-L19)-(L19-K19)-K19)*(c_inicial+ci_int2))+(O19*c_on*12)+(O19*(ct_int2+ca_int2)*'Time on treatment'!$D$12)</f>
        <v>95096482.178773835</v>
      </c>
      <c r="P40" s="77"/>
      <c r="Q40" s="77"/>
      <c r="R40" s="386"/>
      <c r="S40" s="388">
        <f ca="1">(S19*c_inicial)+(S19*c_on*12)+(S19*ci_int3)+(S19*(ct_int3+ca_int3)*'Time on treatment'!$D$12)</f>
        <v>8812776.8129379638</v>
      </c>
      <c r="T40" s="388">
        <f ca="1">((T19-S19)*(c_inicial+ci_int3))+(T19*c_on*12)+(T19*(ct_int3+ca_int3)*'Time on treatment'!$D$12)</f>
        <v>17770118.425049644</v>
      </c>
      <c r="U40" s="388">
        <f ca="1">(((U19-(T19-S19))-S19)*(c_inicial+ci_int3))+(U19*c_on*12)+(U19*(ct_int3+ca_int3)*'Time on treatment'!$D$12)</f>
        <v>26862938.622023791</v>
      </c>
      <c r="V40" s="388">
        <f ca="1">((V19-(U19-T19)-(T19-S19)-S19)*(c_inicial+ci_int3))+(V19*c_on*12)+(V19*(ct_int3+ca_int3)*'Time on treatment'!$D$12)</f>
        <v>36094924.404859878</v>
      </c>
      <c r="W40" s="389">
        <f ca="1">((W19-(V19-U19)-(U19-T19)-(T19-S19)-S19)*(c_inicial+ci_int3))+(W19*c_on*12)+(W19*(ct_int3+ca_int3)*'Time on treatment'!$D$12)</f>
        <v>45467647.641477168</v>
      </c>
      <c r="X40" s="77"/>
      <c r="Y40" s="77"/>
      <c r="Z40" s="386"/>
      <c r="AA40" s="388">
        <f ca="1">(AA19*c_inicial)+(AA19*c_on*12)+(AA19*ci_int4)+(AA19*(ct_int4+ca_int4)*'Time on treatment'!$D$12)</f>
        <v>9776353.1190078706</v>
      </c>
      <c r="AB40" s="388">
        <f ca="1">((AB19-AA19)*(c_inicial+ci_int4))+(AB19*c_on*12)+(AB19*(ct_int4+ca_int4)*'Time on treatment'!$D$12)</f>
        <v>19713077.543825485</v>
      </c>
      <c r="AC40" s="388">
        <f ca="1">(((AC19-(AB19-AA19))-AA19)*(c_inicial+ci_int4))+(AC19*c_on*12)+(AC19*(ct_int4+ca_int4)*'Time on treatment'!$D$12)</f>
        <v>29800093.586573832</v>
      </c>
      <c r="AD40" s="388">
        <f ca="1">((AD19-(AC19-AB19)-(AB19-AA19)-AA19)*(c_inicial+ci_int4))+(AD19*c_on*12)+(AD19*(ct_int4+ca_int4)*'Time on treatment'!$D$12)</f>
        <v>40041491.379623927</v>
      </c>
      <c r="AE40" s="389">
        <f ca="1">((AE19-(AD19-AC19)-(AC19-AB19)-(AB19-AA19)-AA19)*(c_inicial+ci_int4))+(AE19*c_on*12)+(AE19*(ct_int4+ca_int4)*'Time on treatment'!$D$12)</f>
        <v>50439014.656666219</v>
      </c>
      <c r="AF40" s="77"/>
      <c r="AG40" s="77"/>
      <c r="AH40" s="386"/>
      <c r="AI40" s="388">
        <f ca="1">(AI19*c_inicial)+(AI19*c_on*12)+(AI19*ci_comp1)+(AI19*(ct_comp1+ca_comp1)*'Time on treatment'!$D$12)</f>
        <v>1311279.6090853959</v>
      </c>
      <c r="AJ40" s="388">
        <f ca="1">((AJ19-AI19)*(c_inicial+ci_comp1))+(AJ19*c_on*12)+(AJ19*(ct_comp1+ca_comp1)*'Time on treatment'!$D$12)</f>
        <v>1175141.9778303604</v>
      </c>
      <c r="AK40" s="388">
        <f ca="1">(((AK19-(AJ19-AI19))-AI19)*(c_inicial+ci_comp1))+(AK19*c_on*12)+(AK19*(ct_comp1+ca_comp1)*'Time on treatment'!$D$12)</f>
        <v>1036263.8113075627</v>
      </c>
      <c r="AL40" s="388">
        <f ca="1">((AL19-(AK19-AJ19)-(AJ19-AI19)-AI19)*(c_inicial+ci_comp1))+(AL19*c_on*12)+(AL19*(ct_comp1+ca_comp1)*'Time on treatment'!$D$12)</f>
        <v>895112.08873624634</v>
      </c>
      <c r="AM40" s="389">
        <f ca="1">((AM19-(AL19-AK19)-(AK19-AJ19)-(AJ19-AI19)-AI19)*(c_inicial+ci_comp1))+(AM19*c_on*12)+(AM19*(ct_comp1+ca_comp1)*'Time on treatment'!$D$12)</f>
        <v>751696.47295907279</v>
      </c>
      <c r="AN40" s="77"/>
      <c r="AO40" s="77"/>
      <c r="AP40" s="386"/>
      <c r="AQ40" s="388">
        <f ca="1">(AQ19*c_inicial)+(AQ19*c_on*12)+(AQ19*ci_comp2)+(AQ19*(ct_comp2+ca_comp2)*'Time on treatment'!$D$12)</f>
        <v>9865489.4497679938</v>
      </c>
      <c r="AR40" s="388">
        <f ca="1">((AR19-AQ19)*(c_inicial+ci_comp2))+(AR19*c_on*12)+(AR19*(ct_comp2+ca_comp2)*'Time on treatment'!$D$12)</f>
        <v>8841249.9545776956</v>
      </c>
      <c r="AS40" s="388">
        <f ca="1">(((AS19-(AR19-AQ19))-AQ19)*(c_inicial+ci_comp2))+(AS19*c_on*12)+(AS19*(ct_comp2+ca_comp2)*'Time on treatment'!$D$12)</f>
        <v>7796391.8807230927</v>
      </c>
      <c r="AT40" s="388">
        <f ca="1">((AT19-(AS19-AR19)-(AR19-AQ19)-AQ19)*(c_inicial+ci_comp2))+(AT19*c_on*12)+(AT19*(ct_comp2+ca_comp2)*'Time on treatment'!$D$12)</f>
        <v>6734428.5738924639</v>
      </c>
      <c r="AU40" s="389">
        <f ca="1">((AU19-(AT19-AS19)-(AS19-AR19)-(AR19-AQ19)-AQ19)*(c_inicial+ci_comp2))+(AU19*c_on*12)+(AU19*(ct_comp2+ca_comp2)*'Time on treatment'!$D$12)</f>
        <v>5655432.7330522807</v>
      </c>
      <c r="AV40" s="77"/>
      <c r="AW40" s="77"/>
      <c r="AX40" s="386"/>
      <c r="AY40" s="388">
        <f ca="1">(AY19*c_inicial)+(AY19*c_on*12)+(AY19*ci_comp3)+(AY19*(ct_comp3+ca_comp3)*'Time on treatment'!$D$12)</f>
        <v>54317817.638895214</v>
      </c>
      <c r="AZ40" s="388">
        <f ca="1">((AZ19-AY19)*(c_inicial+ci_comp3))+(AZ19*c_on*12)+(AZ19*(ct_comp3+ca_comp3)*'Time on treatment'!$D$12)</f>
        <v>48678517.693203315</v>
      </c>
      <c r="BA40" s="388">
        <f ca="1">(((BA19-(AZ19-AY19))-AY19)*(c_inicial+ci_comp3))+(BA19*c_on*12)+(BA19*(ct_comp3+ca_comp3)*'Time on treatment'!$D$12)</f>
        <v>42925695.128936484</v>
      </c>
      <c r="BB40" s="388">
        <f ca="1">((BB19-(BA19-AZ19)-(AZ19-AY19)-AY19)*(c_inicial+ci_comp3))+(BB19*c_on*12)+(BB19*(ct_comp3+ca_comp3)*'Time on treatment'!$D$12)</f>
        <v>37078693.869310103</v>
      </c>
      <c r="BC40" s="389">
        <f ca="1">((BC19-(BB19-BA19)-(BA19-AZ19)-(AZ19-AY19)-AY19)*(c_inicial+ci_comp3))+(BC19*c_on*12)+(BC19*(ct_comp3+ca_comp3)*'Time on treatment'!$D$12)</f>
        <v>31137914.183284309</v>
      </c>
      <c r="BD40" s="77"/>
      <c r="BE40" s="77"/>
      <c r="BF40" s="386"/>
      <c r="BG40" s="388">
        <f ca="1">(BG19*c_inicial)+(BG19*c_on*12)+(BG19*ci_comp4)+(BG19*(ct_comp4+ca_comp4)*'Time on treatment'!$D$12)</f>
        <v>10352103.395284122</v>
      </c>
      <c r="BH40" s="388">
        <f ca="1">((BH19-BG19)*(c_inicial+ci_comp4))+(BH19*c_on*12)+(BH19*(ct_comp4+ca_comp4)*'Time on treatment'!$D$12)</f>
        <v>9277343.4242020063</v>
      </c>
      <c r="BI40" s="388">
        <f ca="1">(((BI19-(BH19-BG19))-BG19)*(c_inicial+ci_comp4))+(BI19*c_on*12)+(BI19*(ct_comp4+ca_comp4)*'Time on treatment'!$D$12)</f>
        <v>8180947.8658250589</v>
      </c>
      <c r="BJ40" s="388">
        <f ca="1">((BJ19-(BI19-BH19)-(BH19-BG19)-BG19)*(c_inicial+ci_comp4))+(BJ19*c_on*12)+(BJ19*(ct_comp4+ca_comp4)*'Time on treatment'!$D$12)</f>
        <v>7066603.3611469809</v>
      </c>
      <c r="BK40" s="389">
        <f ca="1">((BK19-(BJ19-BI19)-(BI19-BH19)-(BH19-BG19)-BG19)*(c_inicial+ci_comp4))+(BK19*c_on*12)+(BK19*(ct_comp4+ca_comp4)*'Time on treatment'!$D$12)</f>
        <v>5934386.1950010285</v>
      </c>
      <c r="BL40" s="77"/>
      <c r="BM40" s="77"/>
      <c r="BN40" s="386"/>
      <c r="BO40" s="388">
        <f ca="1">(BO19*c_inicial)+(BO19*c_on*12)+(BO19*ci_comp5)+(BO19*(ct_comp5+ca_comp5)*'Time on treatment'!$D$12)</f>
        <v>1042638.2635894753</v>
      </c>
      <c r="BP40" s="388">
        <f ca="1">((BP19-BO19)*(c_inicial+ci_comp5))+(BP19*c_on*12)+(BP19*(ct_comp5+ca_comp5)*'Time on treatment'!$D$12)</f>
        <v>1051189.9831204498</v>
      </c>
      <c r="BQ40" s="388">
        <f ca="1">(((BQ19-(BP19-BO19))-BO19)*(c_inicial+ci_comp5))+(BQ19*c_on*12)+(BQ19*(ct_comp5+ca_comp5)*'Time on treatment'!$D$12)</f>
        <v>1059383.373114164</v>
      </c>
      <c r="BR40" s="388">
        <f ca="1">((BR19-(BQ19-BP19)-(BP19-BO19)-BO19)*(c_inicial+ci_comp5))+(BR19*c_on*12)+(BR19*(ct_comp5+ca_comp5)*'Time on treatment'!$D$12)</f>
        <v>1067596.2328532587</v>
      </c>
      <c r="BS40" s="389">
        <f ca="1">((BS19-(BR19-BQ19)-(BQ19-BP19)-(BP19-BO19)-BO19)*(c_inicial+ci_comp5))+(BS19*c_on*12)+(BS19*(ct_comp5+ca_comp5)*'Time on treatment'!$D$12)</f>
        <v>1075854.0739806562</v>
      </c>
      <c r="BT40" s="77"/>
      <c r="BU40" s="77"/>
      <c r="BV40" s="386"/>
      <c r="BW40" s="388">
        <f ca="1">(BW19*c_inicial)+(BW19*c_on*12)+(BW19*ci_comp6)+(BW19*(ct_comp6+ca_comp6)*'Time on treatment'!$D$12)</f>
        <v>38488.78478449375</v>
      </c>
      <c r="BX40" s="388">
        <f ca="1">((BX19-BW19)*(c_inicial+ci_comp6))+(BX19*c_on*12)+(BX19*(ct_comp6+ca_comp6)*'Time on treatment'!$D$12)</f>
        <v>34492.862058218379</v>
      </c>
      <c r="BY40" s="388">
        <f ca="1">(((BY19-(BX19-BW19))-BW19)*(c_inicial+ci_comp6))+(BY19*c_on*12)+(BY19*(ct_comp6+ca_comp6)*'Time on treatment'!$D$12)</f>
        <v>30416.498919856684</v>
      </c>
      <c r="BZ40" s="388">
        <f ca="1">((BZ19-(BY19-BX19)-(BX19-BW19)-BW19)*(c_inicial+ci_comp6))+(BZ19*c_on*12)+(BZ19*(ct_comp6+ca_comp6)*'Time on treatment'!$D$12)</f>
        <v>26273.402181093799</v>
      </c>
      <c r="CA40" s="389">
        <f ca="1">((CA19-(BZ19-BY19)-(BY19-BX19)-(BX19-BW19)-BW19)*(c_inicial+ci_comp6))+(CA19*c_on*12)+(CA19*(ct_comp6+ca_comp6)*'Time on treatment'!$D$12)</f>
        <v>22063.855466466437</v>
      </c>
      <c r="CB40" s="77"/>
      <c r="CC40" s="77"/>
      <c r="CD40" s="386"/>
      <c r="CE40" s="388">
        <f ca="1">(CE19*c_inicial)+(CE19*c_on*12)+(CE19*ci_comp7)+(CE19*(ct_comp7+ca_comp7)*'Time on treatment'!$D$12)</f>
        <v>2779199.1467679399</v>
      </c>
      <c r="CF40" s="388">
        <f ca="1">((CF19-CE19)*(c_inicial+ci_comp7))+(CF19*c_on*12)+(CF19*(ct_comp7+ca_comp7)*'Time on treatment'!$D$12)</f>
        <v>2490661.4573190054</v>
      </c>
      <c r="CG40" s="388">
        <f ca="1">(((CG19-(CF19-CE19))-CE19)*(c_inicial+ci_comp7))+(CG19*c_on*12)+(CG19*(ct_comp7+ca_comp7)*'Time on treatment'!$D$12)</f>
        <v>2196315.3245563176</v>
      </c>
      <c r="CH40" s="388">
        <f ca="1">((CH19-(CG19-CF19)-(CF19-CE19)-CE19)*(c_inicial+ci_comp7))+(CH19*c_on*12)+(CH19*(ct_comp7+ca_comp7)*'Time on treatment'!$D$12)</f>
        <v>1897150.4902852764</v>
      </c>
      <c r="CI40" s="389">
        <f ca="1">((CI19-(CH19-CG19)-(CG19-CF19)-(CF19-CE19)-CE19)*(c_inicial+ci_comp7))+(CI19*c_on*12)+(CI19*(ct_comp7+ca_comp7)*'Time on treatment'!$D$12)</f>
        <v>1593187.4344736142</v>
      </c>
      <c r="CJ40" s="77"/>
      <c r="CK40" s="77"/>
      <c r="CL40" s="386"/>
      <c r="CM40" s="388">
        <f ca="1">(CM19*c_inicial)+(CM19*c_on*12)+(CM19*ci_comp8)+(CM19*(ct_comp8+ca_comp8)*'Time on treatment'!$D$12)</f>
        <v>11908604.566659126</v>
      </c>
      <c r="CN40" s="388">
        <f ca="1">((CN19-CM19)*(c_inicial+ci_comp8))+(CN19*c_on*12)+(CN19*(ct_comp8+ca_comp8)*'Time on treatment'!$D$12)</f>
        <v>10672247.952840775</v>
      </c>
      <c r="CO40" s="388">
        <f ca="1">(((CO19-(CN19-CM19))-CM19)*(c_inicial+ci_comp8))+(CO19*c_on*12)+(CO19*(ct_comp8+ca_comp8)*'Time on treatment'!$D$12)</f>
        <v>9411002.7107095607</v>
      </c>
      <c r="CP40" s="388">
        <f ca="1">((CP19-(CO19-CN19)-(CN19-CM19)-CM19)*(c_inicial+ci_comp8))+(CP19*c_on*12)+(CP19*(ct_comp8+ca_comp8)*'Time on treatment'!$D$12)</f>
        <v>8129109.7899639942</v>
      </c>
      <c r="CQ40" s="389">
        <f ca="1">((CQ19-(CP19-CO19)-(CO19-CN19)-(CN19-CM19)-CM19)*(c_inicial+ci_comp8))+(CQ19*c_on*12)+(CQ19*(ct_comp8+ca_comp8)*'Time on treatment'!$D$12)</f>
        <v>6826656.9453220284</v>
      </c>
      <c r="CR40" s="77"/>
      <c r="CS40" s="77"/>
      <c r="CT40" s="386"/>
      <c r="CU40" s="388">
        <f ca="1">(CU19*c_inicial)+(CU19*c_on*12)+(CU19*ci_comp9)+(CU19*(ct_comp9+ca_comp9)*'Time on treatment'!$D$12)</f>
        <v>25400559.249601152</v>
      </c>
      <c r="CV40" s="388">
        <f ca="1">((CV19-CU19)*(c_inicial+ci_comp9))+(CV19*c_on*12)+(CV19*(ct_comp9+ca_comp9)*'Time on treatment'!$D$12)</f>
        <v>22759953.382149894</v>
      </c>
      <c r="CW40" s="388">
        <f ca="1">(((CW19-(CV19-CU19))-CU19)*(c_inicial+ci_comp9))+(CW19*c_on*12)+(CW19*(ct_comp9+ca_comp9)*'Time on treatment'!$D$12)</f>
        <v>20066206.409859173</v>
      </c>
      <c r="CX40" s="388">
        <f ca="1">((CX19-(CW19-CV19)-(CV19-CU19)-CU19)*(c_inicial+ci_comp9))+(CX19*c_on*12)+(CX19*(ct_comp9+ca_comp9)*'Time on treatment'!$D$12)</f>
        <v>17328363.907455623</v>
      </c>
      <c r="CY40" s="389">
        <f ca="1">((CY19-(CX19-CW19)-(CW19-CV19)-(CV19-CU19)-CU19)*(c_inicial+ci_comp9))+(CY19*c_on*12)+(CY19*(ct_comp9+ca_comp9)*'Time on treatment'!$D$12)</f>
        <v>14546612.516561389</v>
      </c>
      <c r="CZ40" s="77"/>
      <c r="DA40" s="77"/>
      <c r="DB40" s="386"/>
      <c r="DC40" s="388">
        <f ca="1">(DC19*c_inicial)+(DC19*c_on*12)+(DC19*ci_comp10)+(DC19*(ct_comp10+ca_comp10)*'Time on treatment'!$D$12)</f>
        <v>0</v>
      </c>
      <c r="DD40" s="388">
        <f ca="1">((DD19-DC19)*(c_inicial+ci_comp10))+(DD19*c_on*12)+(DD19*(ct_comp10+ca_comp10)*'Time on treatment'!$D$12)</f>
        <v>0</v>
      </c>
      <c r="DE40" s="388">
        <f ca="1">(((DE19-(DD19-DC19))-DC19)*(c_inicial+ci_comp10))+(DE19*c_on*12)+(DE19*(ct_comp10+ca_comp10)*'Time on treatment'!$D$12)</f>
        <v>0</v>
      </c>
      <c r="DF40" s="388">
        <f ca="1">((DF19-(DE19-DD19)-(DD19-DC19)-DC19)*(c_inicial+ci_comp10))+(DF19*c_on*12)+(DF19*(ct_comp10+ca_comp10)*'Time on treatment'!$D$12)</f>
        <v>0</v>
      </c>
      <c r="DG40" s="389">
        <f ca="1">((DG19-(DF19-DE19)-(DE19-DD19)-(DD19-DC19)-DC19)*(c_inicial+ci_comp10))+(DG19*c_on*12)+(DG19*(ct_comp10+ca_comp10)*'Time on treatment'!$D$12)</f>
        <v>0</v>
      </c>
      <c r="DH40" s="77"/>
      <c r="DI40" s="77"/>
    </row>
    <row r="41" spans="2:113" ht="15" thickBot="1">
      <c r="B41" s="83"/>
      <c r="C41" s="86"/>
      <c r="D41" s="86"/>
      <c r="E41" s="86"/>
      <c r="F41" s="86"/>
      <c r="G41" s="86"/>
      <c r="J41" s="83"/>
      <c r="K41" s="86"/>
      <c r="L41" s="86"/>
      <c r="M41" s="86"/>
      <c r="N41" s="86"/>
      <c r="O41" s="86"/>
      <c r="R41" s="83"/>
      <c r="S41" s="86"/>
      <c r="T41" s="86"/>
      <c r="U41" s="86"/>
      <c r="V41" s="86"/>
      <c r="W41" s="86"/>
      <c r="Z41" s="83"/>
      <c r="AA41" s="86"/>
      <c r="AB41" s="86"/>
      <c r="AC41" s="86"/>
      <c r="AD41" s="86"/>
      <c r="AE41" s="86"/>
      <c r="AH41" s="83"/>
      <c r="AI41" s="86"/>
      <c r="AJ41" s="86"/>
      <c r="AK41" s="86"/>
      <c r="AL41" s="86"/>
      <c r="AM41" s="86"/>
      <c r="AP41" s="83"/>
      <c r="AQ41" s="86"/>
      <c r="AR41" s="86"/>
      <c r="AS41" s="86"/>
      <c r="AT41" s="86"/>
      <c r="AU41" s="86"/>
      <c r="AX41" s="83"/>
      <c r="AY41" s="86"/>
      <c r="AZ41" s="86"/>
      <c r="BA41" s="86"/>
      <c r="BB41" s="86"/>
      <c r="BC41" s="86"/>
      <c r="BF41" s="83"/>
      <c r="BG41" s="86"/>
      <c r="BH41" s="86"/>
      <c r="BI41" s="86"/>
      <c r="BJ41" s="86"/>
      <c r="BK41" s="86"/>
      <c r="BN41" s="83"/>
      <c r="BO41" s="86"/>
      <c r="BP41" s="86"/>
      <c r="BQ41" s="86"/>
      <c r="BR41" s="86"/>
      <c r="BS41" s="86"/>
      <c r="BV41" s="83"/>
      <c r="BW41" s="86"/>
      <c r="BX41" s="86"/>
      <c r="BY41" s="86"/>
      <c r="BZ41" s="86"/>
      <c r="CA41" s="86"/>
      <c r="CD41" s="83"/>
      <c r="CE41" s="86"/>
      <c r="CF41" s="86"/>
      <c r="CG41" s="86"/>
      <c r="CH41" s="86"/>
      <c r="CI41" s="86"/>
      <c r="CL41" s="83"/>
      <c r="CM41" s="86"/>
      <c r="CN41" s="86"/>
      <c r="CO41" s="86"/>
      <c r="CP41" s="86"/>
      <c r="CQ41" s="86"/>
      <c r="CT41" s="83"/>
      <c r="CU41" s="86"/>
      <c r="CV41" s="86"/>
      <c r="CW41" s="86"/>
      <c r="CX41" s="86"/>
      <c r="CY41" s="86"/>
      <c r="DB41" s="83"/>
      <c r="DC41" s="86"/>
      <c r="DD41" s="86"/>
      <c r="DE41" s="86"/>
      <c r="DF41" s="86"/>
      <c r="DG41" s="86"/>
    </row>
    <row r="42" spans="2:113" ht="15" thickBot="1">
      <c r="B42" s="507" t="str">
        <f>B21</f>
        <v>high intensity only</v>
      </c>
      <c r="C42" s="505"/>
      <c r="D42" s="505"/>
      <c r="E42" s="505"/>
      <c r="F42" s="505"/>
      <c r="G42" s="506"/>
      <c r="J42" s="507" t="str">
        <f>J21</f>
        <v>high intensity only</v>
      </c>
      <c r="K42" s="505"/>
      <c r="L42" s="505"/>
      <c r="M42" s="505"/>
      <c r="N42" s="505"/>
      <c r="O42" s="506"/>
      <c r="R42" s="507" t="str">
        <f>R21</f>
        <v>high intensity only</v>
      </c>
      <c r="S42" s="505"/>
      <c r="T42" s="505"/>
      <c r="U42" s="505"/>
      <c r="V42" s="505"/>
      <c r="W42" s="506"/>
      <c r="Z42" s="507" t="str">
        <f>Z21</f>
        <v>high intensity only</v>
      </c>
      <c r="AA42" s="505"/>
      <c r="AB42" s="505"/>
      <c r="AC42" s="505"/>
      <c r="AD42" s="505"/>
      <c r="AE42" s="506"/>
      <c r="AH42" s="507" t="str">
        <f>AH21</f>
        <v>high intensity only</v>
      </c>
      <c r="AI42" s="505"/>
      <c r="AJ42" s="505"/>
      <c r="AK42" s="505"/>
      <c r="AL42" s="505"/>
      <c r="AM42" s="506"/>
      <c r="AP42" s="507" t="str">
        <f>AP21</f>
        <v>high intensity only</v>
      </c>
      <c r="AQ42" s="505"/>
      <c r="AR42" s="505"/>
      <c r="AS42" s="505"/>
      <c r="AT42" s="505"/>
      <c r="AU42" s="506"/>
      <c r="AX42" s="507" t="str">
        <f>AX21</f>
        <v>high intensity only</v>
      </c>
      <c r="AY42" s="505"/>
      <c r="AZ42" s="505"/>
      <c r="BA42" s="505"/>
      <c r="BB42" s="505"/>
      <c r="BC42" s="506"/>
      <c r="BF42" s="507" t="str">
        <f>BF21</f>
        <v>high intensity only</v>
      </c>
      <c r="BG42" s="505"/>
      <c r="BH42" s="505"/>
      <c r="BI42" s="505"/>
      <c r="BJ42" s="505"/>
      <c r="BK42" s="506"/>
      <c r="BN42" s="507" t="str">
        <f>BN21</f>
        <v>high intensity only</v>
      </c>
      <c r="BO42" s="505"/>
      <c r="BP42" s="505"/>
      <c r="BQ42" s="505"/>
      <c r="BR42" s="505"/>
      <c r="BS42" s="506"/>
      <c r="BV42" s="507" t="str">
        <f>BV21</f>
        <v>high intensity only</v>
      </c>
      <c r="BW42" s="505"/>
      <c r="BX42" s="505"/>
      <c r="BY42" s="505"/>
      <c r="BZ42" s="505"/>
      <c r="CA42" s="506"/>
      <c r="CD42" s="507" t="str">
        <f>CD21</f>
        <v>high intensity only</v>
      </c>
      <c r="CE42" s="505"/>
      <c r="CF42" s="505"/>
      <c r="CG42" s="505"/>
      <c r="CH42" s="505"/>
      <c r="CI42" s="506"/>
      <c r="CL42" s="507" t="str">
        <f>CL21</f>
        <v>high intensity only</v>
      </c>
      <c r="CM42" s="505"/>
      <c r="CN42" s="505"/>
      <c r="CO42" s="505"/>
      <c r="CP42" s="505"/>
      <c r="CQ42" s="506"/>
      <c r="CT42" s="507" t="str">
        <f>CT21</f>
        <v>high intensity only</v>
      </c>
      <c r="CU42" s="505"/>
      <c r="CV42" s="505"/>
      <c r="CW42" s="505"/>
      <c r="CX42" s="505"/>
      <c r="CY42" s="506"/>
      <c r="DB42" s="507" t="str">
        <f>DB21</f>
        <v>high intensity only</v>
      </c>
      <c r="DC42" s="505"/>
      <c r="DD42" s="505"/>
      <c r="DE42" s="505"/>
      <c r="DF42" s="505"/>
      <c r="DG42" s="506"/>
    </row>
    <row r="43" spans="2:113">
      <c r="B43" s="84"/>
      <c r="C43" s="101">
        <f>C22</f>
        <v>2026</v>
      </c>
      <c r="D43" s="101">
        <f>D22</f>
        <v>2027</v>
      </c>
      <c r="E43" s="101">
        <f>E22</f>
        <v>2028</v>
      </c>
      <c r="F43" s="101">
        <f>F22</f>
        <v>2029</v>
      </c>
      <c r="G43" s="102">
        <f>G22</f>
        <v>2030</v>
      </c>
      <c r="J43" s="84"/>
      <c r="K43" s="101">
        <f>K22</f>
        <v>2026</v>
      </c>
      <c r="L43" s="101">
        <f>L22</f>
        <v>2027</v>
      </c>
      <c r="M43" s="101">
        <f>M22</f>
        <v>2028</v>
      </c>
      <c r="N43" s="101">
        <f>N22</f>
        <v>2029</v>
      </c>
      <c r="O43" s="102">
        <f>O22</f>
        <v>2030</v>
      </c>
      <c r="R43" s="84"/>
      <c r="S43" s="101">
        <f>S22</f>
        <v>2026</v>
      </c>
      <c r="T43" s="101">
        <f>T22</f>
        <v>2027</v>
      </c>
      <c r="U43" s="101">
        <f>U22</f>
        <v>2028</v>
      </c>
      <c r="V43" s="101">
        <f>V22</f>
        <v>2029</v>
      </c>
      <c r="W43" s="102">
        <f>W22</f>
        <v>2030</v>
      </c>
      <c r="Z43" s="84"/>
      <c r="AA43" s="101">
        <f>AA22</f>
        <v>2026</v>
      </c>
      <c r="AB43" s="101">
        <f>AB22</f>
        <v>2027</v>
      </c>
      <c r="AC43" s="101">
        <f>AC22</f>
        <v>2028</v>
      </c>
      <c r="AD43" s="101">
        <f>AD22</f>
        <v>2029</v>
      </c>
      <c r="AE43" s="102">
        <f>AE22</f>
        <v>2030</v>
      </c>
      <c r="AH43" s="84"/>
      <c r="AI43" s="101">
        <f>AI22</f>
        <v>2026</v>
      </c>
      <c r="AJ43" s="101">
        <f>AJ22</f>
        <v>2027</v>
      </c>
      <c r="AK43" s="101">
        <f>AK22</f>
        <v>2028</v>
      </c>
      <c r="AL43" s="101">
        <f>AL22</f>
        <v>2029</v>
      </c>
      <c r="AM43" s="102">
        <f>AM22</f>
        <v>2030</v>
      </c>
      <c r="AP43" s="84"/>
      <c r="AQ43" s="101">
        <f>AQ22</f>
        <v>2026</v>
      </c>
      <c r="AR43" s="101">
        <f>AR22</f>
        <v>2027</v>
      </c>
      <c r="AS43" s="101">
        <f>AS22</f>
        <v>2028</v>
      </c>
      <c r="AT43" s="101">
        <f>AT22</f>
        <v>2029</v>
      </c>
      <c r="AU43" s="102">
        <f>AU22</f>
        <v>2030</v>
      </c>
      <c r="AX43" s="84"/>
      <c r="AY43" s="101">
        <f>AY22</f>
        <v>2026</v>
      </c>
      <c r="AZ43" s="101">
        <f>AZ22</f>
        <v>2027</v>
      </c>
      <c r="BA43" s="101">
        <f>BA22</f>
        <v>2028</v>
      </c>
      <c r="BB43" s="101">
        <f>BB22</f>
        <v>2029</v>
      </c>
      <c r="BC43" s="102">
        <f>BC22</f>
        <v>2030</v>
      </c>
      <c r="BF43" s="84"/>
      <c r="BG43" s="101">
        <f>BG22</f>
        <v>2026</v>
      </c>
      <c r="BH43" s="101">
        <f>BH22</f>
        <v>2027</v>
      </c>
      <c r="BI43" s="101">
        <f>BI22</f>
        <v>2028</v>
      </c>
      <c r="BJ43" s="101">
        <f>BJ22</f>
        <v>2029</v>
      </c>
      <c r="BK43" s="102">
        <f>BK22</f>
        <v>2030</v>
      </c>
      <c r="BN43" s="84"/>
      <c r="BO43" s="101">
        <f>BO22</f>
        <v>2026</v>
      </c>
      <c r="BP43" s="101">
        <f>BP22</f>
        <v>2027</v>
      </c>
      <c r="BQ43" s="101">
        <f>BQ22</f>
        <v>2028</v>
      </c>
      <c r="BR43" s="101">
        <f>BR22</f>
        <v>2029</v>
      </c>
      <c r="BS43" s="102">
        <f>BS22</f>
        <v>2030</v>
      </c>
      <c r="BV43" s="84"/>
      <c r="BW43" s="101">
        <f>BW22</f>
        <v>2026</v>
      </c>
      <c r="BX43" s="101">
        <f>BX22</f>
        <v>2027</v>
      </c>
      <c r="BY43" s="101">
        <f>BY22</f>
        <v>2028</v>
      </c>
      <c r="BZ43" s="101">
        <f>BZ22</f>
        <v>2029</v>
      </c>
      <c r="CA43" s="102">
        <f>CA22</f>
        <v>2030</v>
      </c>
      <c r="CD43" s="84"/>
      <c r="CE43" s="101">
        <f>CE22</f>
        <v>2026</v>
      </c>
      <c r="CF43" s="101">
        <f>CF22</f>
        <v>2027</v>
      </c>
      <c r="CG43" s="101">
        <f>CG22</f>
        <v>2028</v>
      </c>
      <c r="CH43" s="101">
        <f>CH22</f>
        <v>2029</v>
      </c>
      <c r="CI43" s="102">
        <f>CI22</f>
        <v>2030</v>
      </c>
      <c r="CL43" s="84"/>
      <c r="CM43" s="101">
        <f>CM22</f>
        <v>2026</v>
      </c>
      <c r="CN43" s="101">
        <f>CN22</f>
        <v>2027</v>
      </c>
      <c r="CO43" s="101">
        <f>CO22</f>
        <v>2028</v>
      </c>
      <c r="CP43" s="101">
        <f>CP22</f>
        <v>2029</v>
      </c>
      <c r="CQ43" s="102">
        <f>CQ22</f>
        <v>2030</v>
      </c>
      <c r="CT43" s="84"/>
      <c r="CU43" s="101">
        <f>CU22</f>
        <v>2026</v>
      </c>
      <c r="CV43" s="101">
        <f>CV22</f>
        <v>2027</v>
      </c>
      <c r="CW43" s="101">
        <f>CW22</f>
        <v>2028</v>
      </c>
      <c r="CX43" s="101">
        <f>CX22</f>
        <v>2029</v>
      </c>
      <c r="CY43" s="102">
        <f>CY22</f>
        <v>2030</v>
      </c>
      <c r="DB43" s="84"/>
      <c r="DC43" s="101">
        <f>DC22</f>
        <v>2026</v>
      </c>
      <c r="DD43" s="101">
        <f>DD22</f>
        <v>2027</v>
      </c>
      <c r="DE43" s="101">
        <f>DE22</f>
        <v>2028</v>
      </c>
      <c r="DF43" s="101">
        <f>DF22</f>
        <v>2029</v>
      </c>
      <c r="DG43" s="102">
        <f>DG22</f>
        <v>2030</v>
      </c>
    </row>
    <row r="44" spans="2:113" s="83" customFormat="1" ht="15" thickBot="1">
      <c r="B44" s="386"/>
      <c r="C44" s="388">
        <f ca="1">(C23*c_inicial)+(C23*c_on*12)+(C23*ci_int1)+(C23*(ct_int1+ca_int1)*'Time on treatment'!$D$12)</f>
        <v>0</v>
      </c>
      <c r="D44" s="388">
        <f ca="1">((D23-C23)*(c_inicial+ci_int1))+(D23*c_on*12)+(D23*(ct_int1+ca_int1)*'Time on treatment'!$D$12)</f>
        <v>0</v>
      </c>
      <c r="E44" s="388">
        <f ca="1">(((E23-(D23-C23))-C23)*(c_inicial+ci_int1))+(E23*c_on*12)+(E23*(ct_int1+ca_int1)*'Time on treatment'!$D$12)</f>
        <v>0</v>
      </c>
      <c r="F44" s="388">
        <f ca="1">((F23-(E23-D23)-(D23-C23)-C23)*(c_inicial+ci_int1))+(F23*c_on*12)+(F23*(ct_int1+ca_int1)*'Time on treatment'!$D$12)</f>
        <v>0</v>
      </c>
      <c r="G44" s="389">
        <f ca="1">((G23-(F23-E23)-(E23-D23)-(D23-C23)-C23)*(c_inicial+ci_int1))+(G23*c_on*12)+(G23*(ct_int1+ca_int1)*'Time on treatment'!$D$12)</f>
        <v>0</v>
      </c>
      <c r="H44" s="77"/>
      <c r="I44" s="77"/>
      <c r="J44" s="386"/>
      <c r="K44" s="388">
        <f ca="1">(K23*c_inicial)+(K23*c_on*12)+(K23*ci_int2)+(K23*(ct_int2+ca_int2)*'Time on treatment'!$D$12)</f>
        <v>0</v>
      </c>
      <c r="L44" s="388">
        <f ca="1">((L23-K23)*(c_inicial+ci_int2))+(L23*c_on*12)+(L23*(ct_int2+ca_int2)*'Time on treatment'!$D$12)</f>
        <v>0</v>
      </c>
      <c r="M44" s="388">
        <f ca="1">(((M23-(L23-K23))-K23)*(c_inicial+ci_int2))+(M23*c_on*12)+(M23*(ct_int2+ca_int2)*'Time on treatment'!$D$12)</f>
        <v>0</v>
      </c>
      <c r="N44" s="388">
        <f ca="1">((N23-(M23-L23)-(L23-K23)-K23)*(c_inicial+ci_int2))+(N23*c_on*12)+(N23*(ct_int2+ca_int2)*'Time on treatment'!$D$12)</f>
        <v>0</v>
      </c>
      <c r="O44" s="389">
        <f ca="1">((O23-(N23-M23)-(M23-L23)-(L23-K23)-K23)*(c_inicial+ci_int2))+(O23*c_on*12)+(O23*(ct_int2+ca_int2)*'Time on treatment'!$D$12)</f>
        <v>0</v>
      </c>
      <c r="P44" s="77"/>
      <c r="Q44" s="77"/>
      <c r="R44" s="386"/>
      <c r="S44" s="388">
        <f ca="1">(S23*c_inicial)+(S23*c_on*12)+(S23*ci_int3)+(S23*(ct_int3+ca_int3)*'Time on treatment'!$D$12)</f>
        <v>29769516.979841314</v>
      </c>
      <c r="T44" s="388">
        <f ca="1">((T23-S23)*(c_inicial+ci_int3))+(T23*c_on*12)+(T23*(ct_int3+ca_int3)*'Time on treatment'!$D$12)</f>
        <v>60027373.144373089</v>
      </c>
      <c r="U44" s="388">
        <f ca="1">(((U23-(T23-S23))-S23)*(c_inicial+ci_int3))+(U23*c_on*12)+(U23*(ct_int3+ca_int3)*'Time on treatment'!$D$12)</f>
        <v>90742875.306083307</v>
      </c>
      <c r="V44" s="388">
        <f ca="1">((V23-(U23-T23)-(T23-S23)-S23)*(c_inicial+ci_int3))+(V23*c_on*12)+(V23*(ct_int3+ca_int3)*'Time on treatment'!$D$12)</f>
        <v>121928478.13631886</v>
      </c>
      <c r="W44" s="389">
        <f ca="1">((W23-(V23-U23)-(U23-T23)-(T23-S23)-S23)*(c_inicial+ci_int3))+(W23*c_on*12)+(W23*(ct_int3+ca_int3)*'Time on treatment'!$D$12)</f>
        <v>153589491.39722463</v>
      </c>
      <c r="X44" s="77"/>
      <c r="Y44" s="77"/>
      <c r="Z44" s="386"/>
      <c r="AA44" s="388">
        <f ca="1">(AA23*c_inicial)+(AA23*c_on*12)+(AA23*ci_int4)+(AA23*(ct_int4+ca_int4)*'Time on treatment'!$D$12)</f>
        <v>33024473.029880863</v>
      </c>
      <c r="AB44" s="388">
        <f ca="1">((AB23-AA23)*(c_inicial+ci_int4))+(AB23*c_on*12)+(AB23*(ct_int4+ca_int4)*'Time on treatment'!$D$12)</f>
        <v>66590679.546575278</v>
      </c>
      <c r="AC44" s="388">
        <f ca="1">(((AC23-(AB23-AA23))-AA23)*(c_inicial+ci_int4))+(AC23*c_on*12)+(AC23*(ct_int4+ca_int4)*'Time on treatment'!$D$12)</f>
        <v>100664570.41371736</v>
      </c>
      <c r="AD44" s="388">
        <f ca="1">((AD23-(AC23-AB23)-(AB23-AA23)-AA23)*(c_inicial+ci_int4))+(AD23*c_on*12)+(AD23*(ct_int4+ca_int4)*'Time on treatment'!$D$12)</f>
        <v>135259962.07845581</v>
      </c>
      <c r="AE44" s="389">
        <f ca="1">((AE23-(AD23-AC23)-(AC23-AB23)-(AB23-AA23)-AA23)*(c_inicial+ci_int4))+(AE23*c_on*12)+(AE23*(ct_int4+ca_int4)*'Time on treatment'!$D$12)</f>
        <v>170382744.86467004</v>
      </c>
      <c r="AF44" s="77"/>
      <c r="AG44" s="77"/>
      <c r="AH44" s="386"/>
      <c r="AI44" s="388">
        <f ca="1">(AI23*c_inicial)+(AI23*c_on*12)+(AI23*ci_comp1)+(AI23*(ct_comp1+ca_comp1)*'Time on treatment'!$D$12)</f>
        <v>1311279.6090853959</v>
      </c>
      <c r="AJ44" s="388">
        <f ca="1">((AJ23-AI23)*(c_inicial+ci_comp1))+(AJ23*c_on*12)+(AJ23*(ct_comp1+ca_comp1)*'Time on treatment'!$D$12)</f>
        <v>1175141.9778303604</v>
      </c>
      <c r="AK44" s="388">
        <f ca="1">(((AK23-(AJ23-AI23))-AI23)*(c_inicial+ci_comp1))+(AK23*c_on*12)+(AK23*(ct_comp1+ca_comp1)*'Time on treatment'!$D$12)</f>
        <v>1036263.8113075627</v>
      </c>
      <c r="AL44" s="388">
        <f ca="1">((AL23-(AK23-AJ23)-(AJ23-AI23)-AI23)*(c_inicial+ci_comp1))+(AL23*c_on*12)+(AL23*(ct_comp1+ca_comp1)*'Time on treatment'!$D$12)</f>
        <v>895112.08873624634</v>
      </c>
      <c r="AM44" s="389">
        <f ca="1">((AM23-(AL23-AK23)-(AK23-AJ23)-(AJ23-AI23)-AI23)*(c_inicial+ci_comp1))+(AM23*c_on*12)+(AM23*(ct_comp1+ca_comp1)*'Time on treatment'!$D$12)</f>
        <v>751696.47295907279</v>
      </c>
      <c r="AN44" s="77"/>
      <c r="AO44" s="77"/>
      <c r="AP44" s="386"/>
      <c r="AQ44" s="388">
        <f ca="1">(AQ23*c_inicial)+(AQ23*c_on*12)+(AQ23*ci_comp2)+(AQ23*(ct_comp2+ca_comp2)*'Time on treatment'!$D$12)</f>
        <v>9865489.4497679938</v>
      </c>
      <c r="AR44" s="388">
        <f ca="1">((AR23-AQ23)*(c_inicial+ci_comp2))+(AR23*c_on*12)+(AR23*(ct_comp2+ca_comp2)*'Time on treatment'!$D$12)</f>
        <v>8841249.9545776956</v>
      </c>
      <c r="AS44" s="388">
        <f ca="1">(((AS23-(AR23-AQ23))-AQ23)*(c_inicial+ci_comp2))+(AS23*c_on*12)+(AS23*(ct_comp2+ca_comp2)*'Time on treatment'!$D$12)</f>
        <v>7796391.8807230927</v>
      </c>
      <c r="AT44" s="388">
        <f ca="1">((AT23-(AS23-AR23)-(AR23-AQ23)-AQ23)*(c_inicial+ci_comp2))+(AT23*c_on*12)+(AT23*(ct_comp2+ca_comp2)*'Time on treatment'!$D$12)</f>
        <v>6734428.5738924639</v>
      </c>
      <c r="AU44" s="389">
        <f ca="1">((AU23-(AT23-AS23)-(AS23-AR23)-(AR23-AQ23)-AQ23)*(c_inicial+ci_comp2))+(AU23*c_on*12)+(AU23*(ct_comp2+ca_comp2)*'Time on treatment'!$D$12)</f>
        <v>5655432.7330522807</v>
      </c>
      <c r="AV44" s="77"/>
      <c r="AW44" s="77"/>
      <c r="AX44" s="386"/>
      <c r="AY44" s="388">
        <f ca="1">(AY23*c_inicial)+(AY23*c_on*12)+(AY23*ci_comp3)+(AY23*(ct_comp3+ca_comp3)*'Time on treatment'!$D$12)</f>
        <v>54317817.638895214</v>
      </c>
      <c r="AZ44" s="388">
        <f ca="1">((AZ23-AY23)*(c_inicial+ci_comp3))+(AZ23*c_on*12)+(AZ23*(ct_comp3+ca_comp3)*'Time on treatment'!$D$12)</f>
        <v>48678517.693203315</v>
      </c>
      <c r="BA44" s="388">
        <f ca="1">(((BA23-(AZ23-AY23))-AY23)*(c_inicial+ci_comp3))+(BA23*c_on*12)+(BA23*(ct_comp3+ca_comp3)*'Time on treatment'!$D$12)</f>
        <v>42925695.128936484</v>
      </c>
      <c r="BB44" s="388">
        <f ca="1">((BB23-(BA23-AZ23)-(AZ23-AY23)-AY23)*(c_inicial+ci_comp3))+(BB23*c_on*12)+(BB23*(ct_comp3+ca_comp3)*'Time on treatment'!$D$12)</f>
        <v>37078693.869310103</v>
      </c>
      <c r="BC44" s="389">
        <f ca="1">((BC23-(BB23-BA23)-(BA23-AZ23)-(AZ23-AY23)-AY23)*(c_inicial+ci_comp3))+(BC23*c_on*12)+(BC23*(ct_comp3+ca_comp3)*'Time on treatment'!$D$12)</f>
        <v>31137914.183284309</v>
      </c>
      <c r="BD44" s="77"/>
      <c r="BE44" s="77"/>
      <c r="BF44" s="386"/>
      <c r="BG44" s="388">
        <f ca="1">(BG23*c_inicial)+(BG23*c_on*12)+(BG23*ci_comp4)+(BG23*(ct_comp4+ca_comp4)*'Time on treatment'!$D$12)</f>
        <v>10352103.395284122</v>
      </c>
      <c r="BH44" s="388">
        <f ca="1">((BH23-BG23)*(c_inicial+ci_comp4))+(BH23*c_on*12)+(BH23*(ct_comp4+ca_comp4)*'Time on treatment'!$D$12)</f>
        <v>9277343.4242020063</v>
      </c>
      <c r="BI44" s="388">
        <f ca="1">(((BI23-(BH23-BG23))-BG23)*(c_inicial+ci_comp4))+(BI23*c_on*12)+(BI23*(ct_comp4+ca_comp4)*'Time on treatment'!$D$12)</f>
        <v>8180947.8658250589</v>
      </c>
      <c r="BJ44" s="388">
        <f ca="1">((BJ23-(BI23-BH23)-(BH23-BG23)-BG23)*(c_inicial+ci_comp4))+(BJ23*c_on*12)+(BJ23*(ct_comp4+ca_comp4)*'Time on treatment'!$D$12)</f>
        <v>7066603.3611469809</v>
      </c>
      <c r="BK44" s="389">
        <f ca="1">((BK23-(BJ23-BI23)-(BI23-BH23)-(BH23-BG23)-BG23)*(c_inicial+ci_comp4))+(BK23*c_on*12)+(BK23*(ct_comp4+ca_comp4)*'Time on treatment'!$D$12)</f>
        <v>5934386.1950010285</v>
      </c>
      <c r="BL44" s="77"/>
      <c r="BM44" s="77"/>
      <c r="BN44" s="386"/>
      <c r="BO44" s="388">
        <f ca="1">(BO23*c_inicial)+(BO23*c_on*12)+(BO23*ci_comp5)+(BO23*(ct_comp5+ca_comp5)*'Time on treatment'!$D$12)</f>
        <v>1042638.2635894753</v>
      </c>
      <c r="BP44" s="388">
        <f ca="1">((BP23-BO23)*(c_inicial+ci_comp5))+(BP23*c_on*12)+(BP23*(ct_comp5+ca_comp5)*'Time on treatment'!$D$12)</f>
        <v>1051189.9831204498</v>
      </c>
      <c r="BQ44" s="388">
        <f ca="1">(((BQ23-(BP23-BO23))-BO23)*(c_inicial+ci_comp5))+(BQ23*c_on*12)+(BQ23*(ct_comp5+ca_comp5)*'Time on treatment'!$D$12)</f>
        <v>1059383.373114164</v>
      </c>
      <c r="BR44" s="388">
        <f ca="1">((BR23-(BQ23-BP23)-(BP23-BO23)-BO23)*(c_inicial+ci_comp5))+(BR23*c_on*12)+(BR23*(ct_comp5+ca_comp5)*'Time on treatment'!$D$12)</f>
        <v>1067596.2328532587</v>
      </c>
      <c r="BS44" s="389">
        <f ca="1">((BS23-(BR23-BQ23)-(BQ23-BP23)-(BP23-BO23)-BO23)*(c_inicial+ci_comp5))+(BS23*c_on*12)+(BS23*(ct_comp5+ca_comp5)*'Time on treatment'!$D$12)</f>
        <v>1075854.0739806562</v>
      </c>
      <c r="BT44" s="77"/>
      <c r="BU44" s="77"/>
      <c r="BV44" s="386"/>
      <c r="BW44" s="388">
        <f ca="1">(BW23*c_inicial)+(BW23*c_on*12)+(BW23*ci_comp6)+(BW23*(ct_comp6+ca_comp6)*'Time on treatment'!$D$12)</f>
        <v>38488.78478449375</v>
      </c>
      <c r="BX44" s="388">
        <f ca="1">((BX23-BW23)*(c_inicial+ci_comp6))+(BX23*c_on*12)+(BX23*(ct_comp6+ca_comp6)*'Time on treatment'!$D$12)</f>
        <v>34492.862058218379</v>
      </c>
      <c r="BY44" s="388">
        <f ca="1">(((BY23-(BX23-BW23))-BW23)*(c_inicial+ci_comp6))+(BY23*c_on*12)+(BY23*(ct_comp6+ca_comp6)*'Time on treatment'!$D$12)</f>
        <v>30416.498919856684</v>
      </c>
      <c r="BZ44" s="388">
        <f ca="1">((BZ23-(BY23-BX23)-(BX23-BW23)-BW23)*(c_inicial+ci_comp6))+(BZ23*c_on*12)+(BZ23*(ct_comp6+ca_comp6)*'Time on treatment'!$D$12)</f>
        <v>26273.402181093799</v>
      </c>
      <c r="CA44" s="389">
        <f ca="1">((CA23-(BZ23-BY23)-(BY23-BX23)-(BX23-BW23)-BW23)*(c_inicial+ci_comp6))+(CA23*c_on*12)+(CA23*(ct_comp6+ca_comp6)*'Time on treatment'!$D$12)</f>
        <v>22063.855466466437</v>
      </c>
      <c r="CB44" s="77"/>
      <c r="CC44" s="77"/>
      <c r="CD44" s="386"/>
      <c r="CE44" s="388">
        <f ca="1">(CE23*c_inicial)+(CE23*c_on*12)+(CE23*ci_comp7)+(CE23*(ct_comp7+ca_comp7)*'Time on treatment'!$D$12)</f>
        <v>2779199.1467679399</v>
      </c>
      <c r="CF44" s="388">
        <f ca="1">((CF23-CE23)*(c_inicial+ci_comp7))+(CF23*c_on*12)+(CF23*(ct_comp7+ca_comp7)*'Time on treatment'!$D$12)</f>
        <v>2490661.4573190054</v>
      </c>
      <c r="CG44" s="388">
        <f ca="1">(((CG23-(CF23-CE23))-CE23)*(c_inicial+ci_comp7))+(CG23*c_on*12)+(CG23*(ct_comp7+ca_comp7)*'Time on treatment'!$D$12)</f>
        <v>2196315.3245563176</v>
      </c>
      <c r="CH44" s="388">
        <f ca="1">((CH23-(CG23-CF23)-(CF23-CE23)-CE23)*(c_inicial+ci_comp7))+(CH23*c_on*12)+(CH23*(ct_comp7+ca_comp7)*'Time on treatment'!$D$12)</f>
        <v>1897150.4902852764</v>
      </c>
      <c r="CI44" s="389">
        <f ca="1">((CI23-(CH23-CG23)-(CG23-CF23)-(CF23-CE23)-CE23)*(c_inicial+ci_comp7))+(CI23*c_on*12)+(CI23*(ct_comp7+ca_comp7)*'Time on treatment'!$D$12)</f>
        <v>1593187.4344736142</v>
      </c>
      <c r="CJ44" s="77"/>
      <c r="CK44" s="77"/>
      <c r="CL44" s="386"/>
      <c r="CM44" s="388">
        <f ca="1">(CM23*c_inicial)+(CM23*c_on*12)+(CM23*ci_comp8)+(CM23*(ct_comp8+ca_comp8)*'Time on treatment'!$D$12)</f>
        <v>11908604.566659126</v>
      </c>
      <c r="CN44" s="388">
        <f ca="1">((CN23-CM23)*(c_inicial+ci_comp8))+(CN23*c_on*12)+(CN23*(ct_comp8+ca_comp8)*'Time on treatment'!$D$12)</f>
        <v>10672247.952840775</v>
      </c>
      <c r="CO44" s="388">
        <f ca="1">(((CO23-(CN23-CM23))-CM23)*(c_inicial+ci_comp8))+(CO23*c_on*12)+(CO23*(ct_comp8+ca_comp8)*'Time on treatment'!$D$12)</f>
        <v>9411002.7107095607</v>
      </c>
      <c r="CP44" s="388">
        <f ca="1">((CP23-(CO23-CN23)-(CN23-CM23)-CM23)*(c_inicial+ci_comp8))+(CP23*c_on*12)+(CP23*(ct_comp8+ca_comp8)*'Time on treatment'!$D$12)</f>
        <v>8129109.7899639942</v>
      </c>
      <c r="CQ44" s="389">
        <f ca="1">((CQ23-(CP23-CO23)-(CO23-CN23)-(CN23-CM23)-CM23)*(c_inicial+ci_comp8))+(CQ23*c_on*12)+(CQ23*(ct_comp8+ca_comp8)*'Time on treatment'!$D$12)</f>
        <v>6826656.9453220284</v>
      </c>
      <c r="CR44" s="77"/>
      <c r="CS44" s="77"/>
      <c r="CT44" s="386"/>
      <c r="CU44" s="388">
        <f ca="1">(CU23*c_inicial)+(CU23*c_on*12)+(CU23*ci_comp9)+(CU23*(ct_comp9+ca_comp9)*'Time on treatment'!$D$12)</f>
        <v>25400559.249601152</v>
      </c>
      <c r="CV44" s="388">
        <f ca="1">((CV23-CU23)*(c_inicial+ci_comp9))+(CV23*c_on*12)+(CV23*(ct_comp9+ca_comp9)*'Time on treatment'!$D$12)</f>
        <v>22759953.382149894</v>
      </c>
      <c r="CW44" s="388">
        <f ca="1">(((CW23-(CV23-CU23))-CU23)*(c_inicial+ci_comp9))+(CW23*c_on*12)+(CW23*(ct_comp9+ca_comp9)*'Time on treatment'!$D$12)</f>
        <v>20066206.409859173</v>
      </c>
      <c r="CX44" s="388">
        <f ca="1">((CX23-(CW23-CV23)-(CV23-CU23)-CU23)*(c_inicial+ci_comp9))+(CX23*c_on*12)+(CX23*(ct_comp9+ca_comp9)*'Time on treatment'!$D$12)</f>
        <v>17328363.907455623</v>
      </c>
      <c r="CY44" s="389">
        <f ca="1">((CY23-(CX23-CW23)-(CW23-CV23)-(CV23-CU23)-CU23)*(c_inicial+ci_comp9))+(CY23*c_on*12)+(CY23*(ct_comp9+ca_comp9)*'Time on treatment'!$D$12)</f>
        <v>14546612.516561389</v>
      </c>
      <c r="CZ44" s="77"/>
      <c r="DA44" s="77"/>
      <c r="DB44" s="386"/>
      <c r="DC44" s="388">
        <f ca="1">(DC23*c_inicial)+(DC23*c_on*12)+(DC23*ci_comp10)+(DC23*(ct_comp10+ca_comp10)*'Time on treatment'!$D$12)</f>
        <v>0</v>
      </c>
      <c r="DD44" s="388">
        <f ca="1">((DD23-DC23)*(c_inicial+ci_comp10))+(DD23*c_on*12)+(DD23*(ct_comp10+ca_comp10)*'Time on treatment'!$D$12)</f>
        <v>0</v>
      </c>
      <c r="DE44" s="388">
        <f ca="1">(((DE23-(DD23-DC23))-DC23)*(c_inicial+ci_comp10))+(DE23*c_on*12)+(DE23*(ct_comp10+ca_comp10)*'Time on treatment'!$D$12)</f>
        <v>0</v>
      </c>
      <c r="DF44" s="388">
        <f ca="1">((DF23-(DE23-DD23)-(DD23-DC23)-DC23)*(c_inicial+ci_comp10))+(DF23*c_on*12)+(DF23*(ct_comp10+ca_comp10)*'Time on treatment'!$D$12)</f>
        <v>0</v>
      </c>
      <c r="DG44" s="389">
        <f ca="1">((DG23-(DF23-DE23)-(DE23-DD23)-(DD23-DC23)-DC23)*(c_inicial+ci_comp10))+(DG23*c_on*12)+(DG23*(ct_comp10+ca_comp10)*'Time on treatment'!$D$12)</f>
        <v>0</v>
      </c>
      <c r="DH44" s="77"/>
      <c r="DI44" s="77"/>
    </row>
    <row r="45" spans="2:113" ht="15" thickBot="1">
      <c r="B45" s="83"/>
      <c r="C45" s="83"/>
      <c r="D45" s="83"/>
      <c r="E45" s="83"/>
      <c r="F45" s="83"/>
      <c r="G45" s="83"/>
      <c r="J45" s="83"/>
      <c r="K45" s="83"/>
      <c r="L45" s="83"/>
      <c r="M45" s="83"/>
      <c r="N45" s="83"/>
      <c r="O45" s="83"/>
      <c r="R45" s="83"/>
      <c r="S45" s="83"/>
      <c r="T45" s="83"/>
      <c r="U45" s="83"/>
      <c r="V45" s="83"/>
      <c r="W45" s="83"/>
      <c r="Z45" s="83"/>
      <c r="AA45" s="83"/>
      <c r="AB45" s="83"/>
      <c r="AC45" s="83"/>
      <c r="AD45" s="83"/>
      <c r="AE45" s="83"/>
      <c r="AH45" s="83"/>
      <c r="AI45" s="83"/>
      <c r="AJ45" s="83"/>
      <c r="AK45" s="83"/>
      <c r="AL45" s="83"/>
      <c r="AM45" s="83"/>
      <c r="AP45" s="83"/>
      <c r="AQ45" s="83"/>
      <c r="AR45" s="83"/>
      <c r="AS45" s="83"/>
      <c r="AT45" s="83"/>
      <c r="AU45" s="83"/>
      <c r="AX45" s="83"/>
      <c r="AY45" s="83"/>
      <c r="AZ45" s="83"/>
      <c r="BA45" s="83"/>
      <c r="BB45" s="83"/>
      <c r="BC45" s="83"/>
      <c r="BF45" s="83"/>
      <c r="BG45" s="83"/>
      <c r="BH45" s="83"/>
      <c r="BI45" s="83"/>
      <c r="BJ45" s="83"/>
      <c r="BK45" s="83"/>
      <c r="BN45" s="83"/>
      <c r="BO45" s="83"/>
      <c r="BP45" s="83"/>
      <c r="BQ45" s="83"/>
      <c r="BR45" s="83"/>
      <c r="BS45" s="83"/>
      <c r="BV45" s="83"/>
      <c r="BW45" s="83"/>
      <c r="BX45" s="83"/>
      <c r="BY45" s="83"/>
      <c r="BZ45" s="83"/>
      <c r="CA45" s="83"/>
      <c r="CD45" s="83"/>
      <c r="CE45" s="83"/>
      <c r="CF45" s="83"/>
      <c r="CG45" s="83"/>
      <c r="CH45" s="83"/>
      <c r="CI45" s="83"/>
      <c r="CL45" s="83"/>
      <c r="CM45" s="83"/>
      <c r="CN45" s="83"/>
      <c r="CO45" s="83"/>
      <c r="CP45" s="83"/>
      <c r="CQ45" s="83"/>
      <c r="CT45" s="83"/>
      <c r="CU45" s="83"/>
      <c r="CV45" s="83"/>
      <c r="CW45" s="83"/>
      <c r="CX45" s="83"/>
      <c r="CY45" s="83"/>
      <c r="DB45" s="83"/>
      <c r="DC45" s="83"/>
      <c r="DD45" s="83"/>
      <c r="DE45" s="83"/>
      <c r="DF45" s="83"/>
      <c r="DG45" s="83"/>
    </row>
    <row r="46" spans="2:113" ht="15" thickBot="1">
      <c r="B46" s="507" t="str">
        <f>B25</f>
        <v>moderate intensity only</v>
      </c>
      <c r="C46" s="505"/>
      <c r="D46" s="505"/>
      <c r="E46" s="505"/>
      <c r="F46" s="505"/>
      <c r="G46" s="506"/>
      <c r="J46" s="507" t="str">
        <f>J25</f>
        <v>moderate intensity only</v>
      </c>
      <c r="K46" s="505"/>
      <c r="L46" s="505"/>
      <c r="M46" s="505"/>
      <c r="N46" s="505"/>
      <c r="O46" s="506"/>
      <c r="R46" s="507" t="str">
        <f>R25</f>
        <v>moderate intensity only</v>
      </c>
      <c r="S46" s="505"/>
      <c r="T46" s="505"/>
      <c r="U46" s="505"/>
      <c r="V46" s="505"/>
      <c r="W46" s="506"/>
      <c r="Z46" s="507" t="str">
        <f>Z25</f>
        <v>moderate intensity only</v>
      </c>
      <c r="AA46" s="505"/>
      <c r="AB46" s="505"/>
      <c r="AC46" s="505"/>
      <c r="AD46" s="505"/>
      <c r="AE46" s="506"/>
      <c r="AH46" s="507" t="str">
        <f>AH25</f>
        <v>moderate intensity only</v>
      </c>
      <c r="AI46" s="505"/>
      <c r="AJ46" s="505"/>
      <c r="AK46" s="505"/>
      <c r="AL46" s="505"/>
      <c r="AM46" s="506"/>
      <c r="AP46" s="507" t="str">
        <f>AP25</f>
        <v>moderate intensity only</v>
      </c>
      <c r="AQ46" s="505"/>
      <c r="AR46" s="505"/>
      <c r="AS46" s="505"/>
      <c r="AT46" s="505"/>
      <c r="AU46" s="506"/>
      <c r="AX46" s="507" t="str">
        <f>AX25</f>
        <v>moderate intensity only</v>
      </c>
      <c r="AY46" s="505"/>
      <c r="AZ46" s="505"/>
      <c r="BA46" s="505"/>
      <c r="BB46" s="505"/>
      <c r="BC46" s="506"/>
      <c r="BF46" s="507" t="str">
        <f>BF25</f>
        <v>moderate intensity only</v>
      </c>
      <c r="BG46" s="505"/>
      <c r="BH46" s="505"/>
      <c r="BI46" s="505"/>
      <c r="BJ46" s="505"/>
      <c r="BK46" s="506"/>
      <c r="BN46" s="507" t="str">
        <f>BN25</f>
        <v>moderate intensity only</v>
      </c>
      <c r="BO46" s="505"/>
      <c r="BP46" s="505"/>
      <c r="BQ46" s="505"/>
      <c r="BR46" s="505"/>
      <c r="BS46" s="506"/>
      <c r="BV46" s="507" t="str">
        <f>BV25</f>
        <v>moderate intensity only</v>
      </c>
      <c r="BW46" s="505"/>
      <c r="BX46" s="505"/>
      <c r="BY46" s="505"/>
      <c r="BZ46" s="505"/>
      <c r="CA46" s="506"/>
      <c r="CD46" s="507" t="str">
        <f>CD25</f>
        <v>moderate intensity only</v>
      </c>
      <c r="CE46" s="505"/>
      <c r="CF46" s="505"/>
      <c r="CG46" s="505"/>
      <c r="CH46" s="505"/>
      <c r="CI46" s="506"/>
      <c r="CL46" s="507" t="str">
        <f>CL25</f>
        <v>moderate intensity only</v>
      </c>
      <c r="CM46" s="505"/>
      <c r="CN46" s="505"/>
      <c r="CO46" s="505"/>
      <c r="CP46" s="505"/>
      <c r="CQ46" s="506"/>
      <c r="CT46" s="507" t="str">
        <f>CT25</f>
        <v>moderate intensity only</v>
      </c>
      <c r="CU46" s="505"/>
      <c r="CV46" s="505"/>
      <c r="CW46" s="505"/>
      <c r="CX46" s="505"/>
      <c r="CY46" s="506"/>
      <c r="DB46" s="507" t="str">
        <f>DB25</f>
        <v>moderate intensity only</v>
      </c>
      <c r="DC46" s="505"/>
      <c r="DD46" s="505"/>
      <c r="DE46" s="505"/>
      <c r="DF46" s="505"/>
      <c r="DG46" s="506"/>
    </row>
    <row r="47" spans="2:113">
      <c r="B47" s="84"/>
      <c r="C47" s="101">
        <f>C26</f>
        <v>2026</v>
      </c>
      <c r="D47" s="101">
        <f>D26</f>
        <v>2027</v>
      </c>
      <c r="E47" s="101">
        <f>E26</f>
        <v>2028</v>
      </c>
      <c r="F47" s="101">
        <f>F26</f>
        <v>2029</v>
      </c>
      <c r="G47" s="102">
        <f>G26</f>
        <v>2030</v>
      </c>
      <c r="J47" s="84"/>
      <c r="K47" s="101">
        <f>K26</f>
        <v>2026</v>
      </c>
      <c r="L47" s="101">
        <f>L26</f>
        <v>2027</v>
      </c>
      <c r="M47" s="101">
        <f>M26</f>
        <v>2028</v>
      </c>
      <c r="N47" s="101">
        <f>N26</f>
        <v>2029</v>
      </c>
      <c r="O47" s="102">
        <f>O26</f>
        <v>2030</v>
      </c>
      <c r="R47" s="84"/>
      <c r="S47" s="101">
        <f>S26</f>
        <v>2026</v>
      </c>
      <c r="T47" s="101">
        <f>T26</f>
        <v>2027</v>
      </c>
      <c r="U47" s="101">
        <f>U26</f>
        <v>2028</v>
      </c>
      <c r="V47" s="101">
        <f>V26</f>
        <v>2029</v>
      </c>
      <c r="W47" s="102">
        <f>W26</f>
        <v>2030</v>
      </c>
      <c r="Z47" s="84"/>
      <c r="AA47" s="101">
        <f>AA26</f>
        <v>2026</v>
      </c>
      <c r="AB47" s="101">
        <f>AB26</f>
        <v>2027</v>
      </c>
      <c r="AC47" s="101">
        <f>AC26</f>
        <v>2028</v>
      </c>
      <c r="AD47" s="101">
        <f>AD26</f>
        <v>2029</v>
      </c>
      <c r="AE47" s="102">
        <f>AE26</f>
        <v>2030</v>
      </c>
      <c r="AH47" s="84"/>
      <c r="AI47" s="101">
        <f>AI26</f>
        <v>2026</v>
      </c>
      <c r="AJ47" s="101">
        <f>AJ26</f>
        <v>2027</v>
      </c>
      <c r="AK47" s="101">
        <f>AK26</f>
        <v>2028</v>
      </c>
      <c r="AL47" s="101">
        <f>AL26</f>
        <v>2029</v>
      </c>
      <c r="AM47" s="102">
        <f>AM26</f>
        <v>2030</v>
      </c>
      <c r="AP47" s="84"/>
      <c r="AQ47" s="101">
        <f>AQ26</f>
        <v>2026</v>
      </c>
      <c r="AR47" s="101">
        <f>AR26</f>
        <v>2027</v>
      </c>
      <c r="AS47" s="101">
        <f>AS26</f>
        <v>2028</v>
      </c>
      <c r="AT47" s="101">
        <f>AT26</f>
        <v>2029</v>
      </c>
      <c r="AU47" s="102">
        <f>AU26</f>
        <v>2030</v>
      </c>
      <c r="AX47" s="84"/>
      <c r="AY47" s="101">
        <f>AY26</f>
        <v>2026</v>
      </c>
      <c r="AZ47" s="101">
        <f>AZ26</f>
        <v>2027</v>
      </c>
      <c r="BA47" s="101">
        <f>BA26</f>
        <v>2028</v>
      </c>
      <c r="BB47" s="101">
        <f>BB26</f>
        <v>2029</v>
      </c>
      <c r="BC47" s="102">
        <f>BC26</f>
        <v>2030</v>
      </c>
      <c r="BF47" s="84"/>
      <c r="BG47" s="101">
        <f>BG26</f>
        <v>2026</v>
      </c>
      <c r="BH47" s="101">
        <f>BH26</f>
        <v>2027</v>
      </c>
      <c r="BI47" s="101">
        <f>BI26</f>
        <v>2028</v>
      </c>
      <c r="BJ47" s="101">
        <f>BJ26</f>
        <v>2029</v>
      </c>
      <c r="BK47" s="102">
        <f>BK26</f>
        <v>2030</v>
      </c>
      <c r="BN47" s="84"/>
      <c r="BO47" s="101">
        <f>BO26</f>
        <v>2026</v>
      </c>
      <c r="BP47" s="101">
        <f>BP26</f>
        <v>2027</v>
      </c>
      <c r="BQ47" s="101">
        <f>BQ26</f>
        <v>2028</v>
      </c>
      <c r="BR47" s="101">
        <f>BR26</f>
        <v>2029</v>
      </c>
      <c r="BS47" s="102">
        <f>BS26</f>
        <v>2030</v>
      </c>
      <c r="BV47" s="84"/>
      <c r="BW47" s="101">
        <f>BW26</f>
        <v>2026</v>
      </c>
      <c r="BX47" s="101">
        <f>BX26</f>
        <v>2027</v>
      </c>
      <c r="BY47" s="101">
        <f>BY26</f>
        <v>2028</v>
      </c>
      <c r="BZ47" s="101">
        <f>BZ26</f>
        <v>2029</v>
      </c>
      <c r="CA47" s="102">
        <f>CA26</f>
        <v>2030</v>
      </c>
      <c r="CD47" s="84"/>
      <c r="CE47" s="101">
        <f>CE26</f>
        <v>2026</v>
      </c>
      <c r="CF47" s="101">
        <f>CF26</f>
        <v>2027</v>
      </c>
      <c r="CG47" s="101">
        <f>CG26</f>
        <v>2028</v>
      </c>
      <c r="CH47" s="101">
        <f>CH26</f>
        <v>2029</v>
      </c>
      <c r="CI47" s="102">
        <f>CI26</f>
        <v>2030</v>
      </c>
      <c r="CL47" s="84"/>
      <c r="CM47" s="101">
        <f>CM26</f>
        <v>2026</v>
      </c>
      <c r="CN47" s="101">
        <f>CN26</f>
        <v>2027</v>
      </c>
      <c r="CO47" s="101">
        <f>CO26</f>
        <v>2028</v>
      </c>
      <c r="CP47" s="101">
        <f>CP26</f>
        <v>2029</v>
      </c>
      <c r="CQ47" s="102">
        <f>CQ26</f>
        <v>2030</v>
      </c>
      <c r="CT47" s="84"/>
      <c r="CU47" s="101">
        <f>CU26</f>
        <v>2026</v>
      </c>
      <c r="CV47" s="101">
        <f>CV26</f>
        <v>2027</v>
      </c>
      <c r="CW47" s="101">
        <f>CW26</f>
        <v>2028</v>
      </c>
      <c r="CX47" s="101">
        <f>CX26</f>
        <v>2029</v>
      </c>
      <c r="CY47" s="102">
        <f>CY26</f>
        <v>2030</v>
      </c>
      <c r="DB47" s="84"/>
      <c r="DC47" s="101">
        <f>DC26</f>
        <v>2026</v>
      </c>
      <c r="DD47" s="101">
        <f>DD26</f>
        <v>2027</v>
      </c>
      <c r="DE47" s="101">
        <f>DE26</f>
        <v>2028</v>
      </c>
      <c r="DF47" s="101">
        <f>DF26</f>
        <v>2029</v>
      </c>
      <c r="DG47" s="102">
        <f>DG26</f>
        <v>2030</v>
      </c>
    </row>
    <row r="48" spans="2:113" s="83" customFormat="1" ht="15" thickBot="1">
      <c r="B48" s="386"/>
      <c r="C48" s="388">
        <f ca="1">(C27*c_inicial)+(C27*c_on*12)+(C27*ci_int1)+(C27*(ct_int1+ca_int1)*'Time on treatment'!$D$12)</f>
        <v>13156420.811297385</v>
      </c>
      <c r="D48" s="388">
        <f ca="1">((D27-C27)*(c_inicial+ci_int1))+(D27*c_on*12)+(D27*(ct_int1+ca_int1)*'Time on treatment'!$D$12)</f>
        <v>26528659.562025379</v>
      </c>
      <c r="E48" s="388">
        <f ca="1">(((E27-(D27-C27))-C27)*(c_inicial+ci_int1))+(E27*c_on*12)+(E27*(ct_int1+ca_int1)*'Time on treatment'!$D$12)</f>
        <v>40103151.621920675</v>
      </c>
      <c r="F48" s="388">
        <f ca="1">((F27-(E27-D27)-(D27-C27)-C27)*(c_inicial+ci_int1))+(F27*c_on*12)+(F27*(ct_int1+ca_int1)*'Time on treatment'!$D$12)</f>
        <v>53885401.242107593</v>
      </c>
      <c r="G48" s="389">
        <f ca="1">((G27-(F27-E27)-(E27-D27)-(D27-C27)-C27)*(c_inicial+ci_int1))+(G27*c_on*12)+(G27*(ct_int1+ca_int1)*'Time on treatment'!$D$12)</f>
        <v>67877755.033222526</v>
      </c>
      <c r="H48" s="77"/>
      <c r="I48" s="77"/>
      <c r="J48" s="386"/>
      <c r="K48" s="388">
        <f ca="1">(K27*c_inicial)+(K27*c_on*12)+(K27*ci_int2)+(K27*(ct_int2+ca_int2)*'Time on treatment'!$D$12)</f>
        <v>26183204.453482121</v>
      </c>
      <c r="L48" s="388">
        <f ca="1">((L27-K27)*(c_inicial+ci_int2))+(L27*c_on*12)+(L27*(ct_int2+ca_int2)*'Time on treatment'!$D$12)</f>
        <v>52795918.217580721</v>
      </c>
      <c r="M48" s="388">
        <f ca="1">(((M27-(L27-K27))-K27)*(c_inicial+ci_int2))+(M27*c_on*12)+(M27*(ct_int2+ca_int2)*'Time on treatment'!$D$12)</f>
        <v>79811145.69124186</v>
      </c>
      <c r="N48" s="388">
        <f ca="1">((N27-(M27-L27)-(L27-K27)-K27)*(c_inicial+ci_int2))+(N27*c_on*12)+(N27*(ct_int2+ca_int2)*'Time on treatment'!$D$12)</f>
        <v>107239841.14041811</v>
      </c>
      <c r="O48" s="389">
        <f ca="1">((O27-(N27-M27)-(M27-L27)-(L27-K27)-K27)*(c_inicial+ci_int2))+(O27*c_on*12)+(O27*(ct_int2+ca_int2)*'Time on treatment'!$D$12)</f>
        <v>135086674.66398719</v>
      </c>
      <c r="P48" s="77"/>
      <c r="Q48" s="77"/>
      <c r="R48" s="386"/>
      <c r="S48" s="388">
        <f ca="1">(S27*c_inicial)+(S27*c_on*12)+(S27*ci_int3)+(S27*(ct_int3+ca_int3)*'Time on treatment'!$D$12)</f>
        <v>0</v>
      </c>
      <c r="T48" s="388">
        <f ca="1">((T27-S27)*(c_inicial+ci_int3))+(T27*c_on*12)+(T27*(ct_int3+ca_int3)*'Time on treatment'!$D$12)</f>
        <v>0</v>
      </c>
      <c r="U48" s="388">
        <f ca="1">(((U27-(T27-S27))-S27)*(c_inicial+ci_int3))+(U27*c_on*12)+(U27*(ct_int3+ca_int3)*'Time on treatment'!$D$12)</f>
        <v>0</v>
      </c>
      <c r="V48" s="388">
        <f ca="1">((V27-(U27-T27)-(T27-S27)-S27)*(c_inicial+ci_int3))+(V27*c_on*12)+(V27*(ct_int3+ca_int3)*'Time on treatment'!$D$12)</f>
        <v>0</v>
      </c>
      <c r="W48" s="389">
        <f ca="1">((W27-(V27-U27)-(U27-T27)-(T27-S27)-S27)*(c_inicial+ci_int3))+(W27*c_on*12)+(W27*(ct_int3+ca_int3)*'Time on treatment'!$D$12)</f>
        <v>0</v>
      </c>
      <c r="X48" s="77"/>
      <c r="Y48" s="77"/>
      <c r="Z48" s="386"/>
      <c r="AA48" s="388">
        <f ca="1">(AA27*c_inicial)+(AA27*c_on*12)+(AA27*ci_int4)+(AA27*(ct_int4+ca_int4)*'Time on treatment'!$D$12)</f>
        <v>0</v>
      </c>
      <c r="AB48" s="388">
        <f ca="1">((AB27-AA27)*(c_inicial+ci_int4))+(AB27*c_on*12)+(AB27*(ct_int4+ca_int4)*'Time on treatment'!$D$12)</f>
        <v>0</v>
      </c>
      <c r="AC48" s="388">
        <f ca="1">(((AC27-(AB27-AA27))-AA27)*(c_inicial+ci_int4))+(AC27*c_on*12)+(AC27*(ct_int4+ca_int4)*'Time on treatment'!$D$12)</f>
        <v>0</v>
      </c>
      <c r="AD48" s="388">
        <f ca="1">((AD27-(AC27-AB27)-(AB27-AA27)-AA27)*(c_inicial+ci_int4))+(AD27*c_on*12)+(AD27*(ct_int4+ca_int4)*'Time on treatment'!$D$12)</f>
        <v>0</v>
      </c>
      <c r="AE48" s="389">
        <f ca="1">((AE27-(AD27-AC27)-(AC27-AB27)-(AB27-AA27)-AA27)*(c_inicial+ci_int4))+(AE27*c_on*12)+(AE27*(ct_int4+ca_int4)*'Time on treatment'!$D$12)</f>
        <v>0</v>
      </c>
      <c r="AF48" s="77"/>
      <c r="AG48" s="77"/>
      <c r="AH48" s="386"/>
      <c r="AI48" s="388">
        <f ca="1">(AI27*c_inicial)+(AI27*c_on*12)+(AI27*ci_comp1)+(AI27*(ct_comp1+ca_comp1)*'Time on treatment'!$D$12)</f>
        <v>1311279.6090853959</v>
      </c>
      <c r="AJ48" s="388">
        <f ca="1">((AJ27-AI27)*(c_inicial+ci_comp1))+(AJ27*c_on*12)+(AJ27*(ct_comp1+ca_comp1)*'Time on treatment'!$D$12)</f>
        <v>1175141.9778303604</v>
      </c>
      <c r="AK48" s="388">
        <f ca="1">(((AK27-(AJ27-AI27))-AI27)*(c_inicial+ci_comp1))+(AK27*c_on*12)+(AK27*(ct_comp1+ca_comp1)*'Time on treatment'!$D$12)</f>
        <v>1036263.8113075627</v>
      </c>
      <c r="AL48" s="388">
        <f ca="1">((AL27-(AK27-AJ27)-(AJ27-AI27)-AI27)*(c_inicial+ci_comp1))+(AL27*c_on*12)+(AL27*(ct_comp1+ca_comp1)*'Time on treatment'!$D$12)</f>
        <v>895112.08873624634</v>
      </c>
      <c r="AM48" s="389">
        <f ca="1">((AM27-(AL27-AK27)-(AK27-AJ27)-(AJ27-AI27)-AI27)*(c_inicial+ci_comp1))+(AM27*c_on*12)+(AM27*(ct_comp1+ca_comp1)*'Time on treatment'!$D$12)</f>
        <v>751696.47295907279</v>
      </c>
      <c r="AN48" s="77"/>
      <c r="AO48" s="77"/>
      <c r="AP48" s="386"/>
      <c r="AQ48" s="388">
        <f ca="1">(AQ27*c_inicial)+(AQ27*c_on*12)+(AQ27*ci_comp2)+(AQ27*(ct_comp2+ca_comp2)*'Time on treatment'!$D$12)</f>
        <v>9865489.4497679938</v>
      </c>
      <c r="AR48" s="388">
        <f ca="1">((AR27-AQ27)*(c_inicial+ci_comp2))+(AR27*c_on*12)+(AR27*(ct_comp2+ca_comp2)*'Time on treatment'!$D$12)</f>
        <v>8841249.9545776956</v>
      </c>
      <c r="AS48" s="388">
        <f ca="1">(((AS27-(AR27-AQ27))-AQ27)*(c_inicial+ci_comp2))+(AS27*c_on*12)+(AS27*(ct_comp2+ca_comp2)*'Time on treatment'!$D$12)</f>
        <v>7796391.8807230927</v>
      </c>
      <c r="AT48" s="388">
        <f ca="1">((AT27-(AS27-AR27)-(AR27-AQ27)-AQ27)*(c_inicial+ci_comp2))+(AT27*c_on*12)+(AT27*(ct_comp2+ca_comp2)*'Time on treatment'!$D$12)</f>
        <v>6734428.5738924639</v>
      </c>
      <c r="AU48" s="389">
        <f ca="1">((AU27-(AT27-AS27)-(AS27-AR27)-(AR27-AQ27)-AQ27)*(c_inicial+ci_comp2))+(AU27*c_on*12)+(AU27*(ct_comp2+ca_comp2)*'Time on treatment'!$D$12)</f>
        <v>5655432.7330522807</v>
      </c>
      <c r="AV48" s="77"/>
      <c r="AW48" s="77"/>
      <c r="AX48" s="386"/>
      <c r="AY48" s="388">
        <f ca="1">(AY27*c_inicial)+(AY27*c_on*12)+(AY27*ci_comp3)+(AY27*(ct_comp3+ca_comp3)*'Time on treatment'!$D$12)</f>
        <v>54317817.638895214</v>
      </c>
      <c r="AZ48" s="388">
        <f ca="1">((AZ27-AY27)*(c_inicial+ci_comp3))+(AZ27*c_on*12)+(AZ27*(ct_comp3+ca_comp3)*'Time on treatment'!$D$12)</f>
        <v>48678517.693203315</v>
      </c>
      <c r="BA48" s="388">
        <f ca="1">(((BA27-(AZ27-AY27))-AY27)*(c_inicial+ci_comp3))+(BA27*c_on*12)+(BA27*(ct_comp3+ca_comp3)*'Time on treatment'!$D$12)</f>
        <v>42925695.128936484</v>
      </c>
      <c r="BB48" s="388">
        <f ca="1">((BB27-(BA27-AZ27)-(AZ27-AY27)-AY27)*(c_inicial+ci_comp3))+(BB27*c_on*12)+(BB27*(ct_comp3+ca_comp3)*'Time on treatment'!$D$12)</f>
        <v>37078693.869310103</v>
      </c>
      <c r="BC48" s="389">
        <f ca="1">((BC27-(BB27-BA27)-(BA27-AZ27)-(AZ27-AY27)-AY27)*(c_inicial+ci_comp3))+(BC27*c_on*12)+(BC27*(ct_comp3+ca_comp3)*'Time on treatment'!$D$12)</f>
        <v>31137914.183284309</v>
      </c>
      <c r="BD48" s="77"/>
      <c r="BE48" s="77"/>
      <c r="BF48" s="386"/>
      <c r="BG48" s="388">
        <f ca="1">(BG27*c_inicial)+(BG27*c_on*12)+(BG27*ci_comp4)+(BG27*(ct_comp4+ca_comp4)*'Time on treatment'!$D$12)</f>
        <v>10352103.395284122</v>
      </c>
      <c r="BH48" s="388">
        <f ca="1">((BH27-BG27)*(c_inicial+ci_comp4))+(BH27*c_on*12)+(BH27*(ct_comp4+ca_comp4)*'Time on treatment'!$D$12)</f>
        <v>9277343.4242020063</v>
      </c>
      <c r="BI48" s="388">
        <f ca="1">(((BI27-(BH27-BG27))-BG27)*(c_inicial+ci_comp4))+(BI27*c_on*12)+(BI27*(ct_comp4+ca_comp4)*'Time on treatment'!$D$12)</f>
        <v>8180947.8658250589</v>
      </c>
      <c r="BJ48" s="388">
        <f ca="1">((BJ27-(BI27-BH27)-(BH27-BG27)-BG27)*(c_inicial+ci_comp4))+(BJ27*c_on*12)+(BJ27*(ct_comp4+ca_comp4)*'Time on treatment'!$D$12)</f>
        <v>7066603.3611469809</v>
      </c>
      <c r="BK48" s="389">
        <f ca="1">((BK27-(BJ27-BI27)-(BI27-BH27)-(BH27-BG27)-BG27)*(c_inicial+ci_comp4))+(BK27*c_on*12)+(BK27*(ct_comp4+ca_comp4)*'Time on treatment'!$D$12)</f>
        <v>5934386.1950010285</v>
      </c>
      <c r="BL48" s="77"/>
      <c r="BM48" s="77"/>
      <c r="BN48" s="386"/>
      <c r="BO48" s="388">
        <f ca="1">(BO27*c_inicial)+(BO27*c_on*12)+(BO27*ci_comp5)+(BO27*(ct_comp5+ca_comp5)*'Time on treatment'!$D$12)</f>
        <v>1042638.2635894753</v>
      </c>
      <c r="BP48" s="388">
        <f ca="1">((BP27-BO27)*(c_inicial+ci_comp5))+(BP27*c_on*12)+(BP27*(ct_comp5+ca_comp5)*'Time on treatment'!$D$12)</f>
        <v>1051189.9831204498</v>
      </c>
      <c r="BQ48" s="388">
        <f ca="1">(((BQ27-(BP27-BO27))-BO27)*(c_inicial+ci_comp5))+(BQ27*c_on*12)+(BQ27*(ct_comp5+ca_comp5)*'Time on treatment'!$D$12)</f>
        <v>1059383.373114164</v>
      </c>
      <c r="BR48" s="388">
        <f ca="1">((BR27-(BQ27-BP27)-(BP27-BO27)-BO27)*(c_inicial+ci_comp5))+(BR27*c_on*12)+(BR27*(ct_comp5+ca_comp5)*'Time on treatment'!$D$12)</f>
        <v>1067596.2328532587</v>
      </c>
      <c r="BS48" s="389">
        <f ca="1">((BS27-(BR27-BQ27)-(BQ27-BP27)-(BP27-BO27)-BO27)*(c_inicial+ci_comp5))+(BS27*c_on*12)+(BS27*(ct_comp5+ca_comp5)*'Time on treatment'!$D$12)</f>
        <v>1075854.0739806562</v>
      </c>
      <c r="BT48" s="77"/>
      <c r="BU48" s="77"/>
      <c r="BV48" s="386"/>
      <c r="BW48" s="388">
        <f ca="1">(BW27*c_inicial)+(BW27*c_on*12)+(BW27*ci_comp6)+(BW27*(ct_comp6+ca_comp6)*'Time on treatment'!$D$12)</f>
        <v>38488.78478449375</v>
      </c>
      <c r="BX48" s="388">
        <f ca="1">((BX27-BW27)*(c_inicial+ci_comp6))+(BX27*c_on*12)+(BX27*(ct_comp6+ca_comp6)*'Time on treatment'!$D$12)</f>
        <v>34492.862058218379</v>
      </c>
      <c r="BY48" s="388">
        <f ca="1">(((BY27-(BX27-BW27))-BW27)*(c_inicial+ci_comp6))+(BY27*c_on*12)+(BY27*(ct_comp6+ca_comp6)*'Time on treatment'!$D$12)</f>
        <v>30416.498919856684</v>
      </c>
      <c r="BZ48" s="388">
        <f ca="1">((BZ27-(BY27-BX27)-(BX27-BW27)-BW27)*(c_inicial+ci_comp6))+(BZ27*c_on*12)+(BZ27*(ct_comp6+ca_comp6)*'Time on treatment'!$D$12)</f>
        <v>26273.402181093799</v>
      </c>
      <c r="CA48" s="389">
        <f ca="1">((CA27-(BZ27-BY27)-(BY27-BX27)-(BX27-BW27)-BW27)*(c_inicial+ci_comp6))+(CA27*c_on*12)+(CA27*(ct_comp6+ca_comp6)*'Time on treatment'!$D$12)</f>
        <v>22063.855466466437</v>
      </c>
      <c r="CB48" s="77"/>
      <c r="CC48" s="77"/>
      <c r="CD48" s="386"/>
      <c r="CE48" s="388">
        <f ca="1">(CE27*c_inicial)+(CE27*c_on*12)+(CE27*ci_comp7)+(CE27*(ct_comp7+ca_comp7)*'Time on treatment'!$D$12)</f>
        <v>2779199.1467679399</v>
      </c>
      <c r="CF48" s="388">
        <f ca="1">((CF27-CE27)*(c_inicial+ci_comp7))+(CF27*c_on*12)+(CF27*(ct_comp7+ca_comp7)*'Time on treatment'!$D$12)</f>
        <v>2490661.4573190054</v>
      </c>
      <c r="CG48" s="388">
        <f ca="1">(((CG27-(CF27-CE27))-CE27)*(c_inicial+ci_comp7))+(CG27*c_on*12)+(CG27*(ct_comp7+ca_comp7)*'Time on treatment'!$D$12)</f>
        <v>2196315.3245563176</v>
      </c>
      <c r="CH48" s="388">
        <f ca="1">((CH27-(CG27-CF27)-(CF27-CE27)-CE27)*(c_inicial+ci_comp7))+(CH27*c_on*12)+(CH27*(ct_comp7+ca_comp7)*'Time on treatment'!$D$12)</f>
        <v>1897150.4902852764</v>
      </c>
      <c r="CI48" s="389">
        <f ca="1">((CI27-(CH27-CG27)-(CG27-CF27)-(CF27-CE27)-CE27)*(c_inicial+ci_comp7))+(CI27*c_on*12)+(CI27*(ct_comp7+ca_comp7)*'Time on treatment'!$D$12)</f>
        <v>1593187.4344736142</v>
      </c>
      <c r="CJ48" s="77"/>
      <c r="CK48" s="77"/>
      <c r="CL48" s="386"/>
      <c r="CM48" s="388">
        <f ca="1">(CM27*c_inicial)+(CM27*c_on*12)+(CM27*ci_comp8)+(CM27*(ct_comp8+ca_comp8)*'Time on treatment'!$D$12)</f>
        <v>11908604.566659126</v>
      </c>
      <c r="CN48" s="388">
        <f ca="1">((CN27-CM27)*(c_inicial+ci_comp8))+(CN27*c_on*12)+(CN27*(ct_comp8+ca_comp8)*'Time on treatment'!$D$12)</f>
        <v>10672247.952840775</v>
      </c>
      <c r="CO48" s="388">
        <f ca="1">(((CO27-(CN27-CM27))-CM27)*(c_inicial+ci_comp8))+(CO27*c_on*12)+(CO27*(ct_comp8+ca_comp8)*'Time on treatment'!$D$12)</f>
        <v>9411002.7107095607</v>
      </c>
      <c r="CP48" s="388">
        <f ca="1">((CP27-(CO27-CN27)-(CN27-CM27)-CM27)*(c_inicial+ci_comp8))+(CP27*c_on*12)+(CP27*(ct_comp8+ca_comp8)*'Time on treatment'!$D$12)</f>
        <v>8129109.7899639942</v>
      </c>
      <c r="CQ48" s="389">
        <f ca="1">((CQ27-(CP27-CO27)-(CO27-CN27)-(CN27-CM27)-CM27)*(c_inicial+ci_comp8))+(CQ27*c_on*12)+(CQ27*(ct_comp8+ca_comp8)*'Time on treatment'!$D$12)</f>
        <v>6826656.9453220284</v>
      </c>
      <c r="CR48" s="77"/>
      <c r="CS48" s="77"/>
      <c r="CT48" s="386"/>
      <c r="CU48" s="388">
        <f ca="1">(CU27*c_inicial)+(CU27*c_on*12)+(CU27*ci_comp9)+(CU27*(ct_comp9+ca_comp9)*'Time on treatment'!$D$12)</f>
        <v>25400559.249601152</v>
      </c>
      <c r="CV48" s="388">
        <f ca="1">((CV27-CU27)*(c_inicial+ci_comp9))+(CV27*c_on*12)+(CV27*(ct_comp9+ca_comp9)*'Time on treatment'!$D$12)</f>
        <v>22759953.382149894</v>
      </c>
      <c r="CW48" s="388">
        <f ca="1">(((CW27-(CV27-CU27))-CU27)*(c_inicial+ci_comp9))+(CW27*c_on*12)+(CW27*(ct_comp9+ca_comp9)*'Time on treatment'!$D$12)</f>
        <v>20066206.409859195</v>
      </c>
      <c r="CX48" s="388">
        <f ca="1">((CX27-(CW27-CV27)-(CV27-CU27)-CU27)*(c_inicial+ci_comp9))+(CX27*c_on*12)+(CX27*(ct_comp9+ca_comp9)*'Time on treatment'!$D$12)</f>
        <v>17328363.907455623</v>
      </c>
      <c r="CY48" s="389">
        <f ca="1">((CY27-(CX27-CW27)-(CW27-CV27)-(CV27-CU27)-CU27)*(c_inicial+ci_comp9))+(CY27*c_on*12)+(CY27*(ct_comp9+ca_comp9)*'Time on treatment'!$D$12)</f>
        <v>14546612.516561389</v>
      </c>
      <c r="CZ48" s="77"/>
      <c r="DA48" s="77"/>
      <c r="DB48" s="386"/>
      <c r="DC48" s="388">
        <f ca="1">(DC27*c_inicial)+(DC27*c_on*12)+(DC27*ci_comp10)+(DC27*(ct_comp10+ca_comp10)*'Time on treatment'!$D$12)</f>
        <v>0</v>
      </c>
      <c r="DD48" s="388">
        <f ca="1">((DD27-DC27)*(c_inicial+ci_comp10))+(DD27*c_on*12)+(DD27*(ct_comp10+ca_comp10)*'Time on treatment'!$D$12)</f>
        <v>0</v>
      </c>
      <c r="DE48" s="388">
        <f ca="1">(((DE27-(DD27-DC27))-DC27)*(c_inicial+ci_comp10))+(DE27*c_on*12)+(DE27*(ct_comp10+ca_comp10)*'Time on treatment'!$D$12)</f>
        <v>0</v>
      </c>
      <c r="DF48" s="388">
        <f ca="1">((DF27-(DE27-DD27)-(DD27-DC27)-DC27)*(c_inicial+ci_comp10))+(DF27*c_on*12)+(DF27*(ct_comp10+ca_comp10)*'Time on treatment'!$D$12)</f>
        <v>0</v>
      </c>
      <c r="DG48" s="389">
        <f ca="1">((DG27-(DF27-DE27)-(DE27-DD27)-(DD27-DC27)-DC27)*(c_inicial+ci_comp10))+(DG27*c_on*12)+(DG27*(ct_comp10+ca_comp10)*'Time on treatment'!$D$12)</f>
        <v>0</v>
      </c>
      <c r="DH48" s="77"/>
      <c r="DI48" s="77"/>
    </row>
    <row r="51" spans="2:113" s="81" customFormat="1">
      <c r="B51" s="120"/>
      <c r="C51" s="120"/>
      <c r="D51" s="120"/>
      <c r="E51" s="120"/>
      <c r="F51" s="120"/>
      <c r="G51" s="120"/>
      <c r="H51" s="82"/>
      <c r="I51" s="82"/>
      <c r="J51" s="120"/>
      <c r="K51" s="120"/>
      <c r="L51" s="120"/>
      <c r="M51" s="120"/>
      <c r="N51" s="120"/>
      <c r="O51" s="120"/>
      <c r="P51" s="82"/>
      <c r="Q51" s="82"/>
      <c r="R51" s="120"/>
      <c r="S51" s="120"/>
      <c r="T51" s="120"/>
      <c r="U51" s="120"/>
      <c r="V51" s="120"/>
      <c r="W51" s="120"/>
      <c r="X51" s="82"/>
      <c r="Y51" s="82"/>
      <c r="Z51" s="120"/>
      <c r="AA51" s="120"/>
      <c r="AB51" s="120"/>
      <c r="AC51" s="120"/>
      <c r="AD51" s="120"/>
      <c r="AE51" s="120"/>
      <c r="AF51" s="82"/>
      <c r="AG51" s="82"/>
      <c r="AH51" s="120"/>
      <c r="AI51" s="120"/>
      <c r="AJ51" s="120"/>
      <c r="AK51" s="120"/>
      <c r="AL51" s="120"/>
      <c r="AM51" s="120"/>
      <c r="AN51" s="82"/>
      <c r="AO51" s="82"/>
      <c r="AP51" s="120"/>
      <c r="AQ51" s="120"/>
      <c r="AR51" s="120"/>
      <c r="AS51" s="120"/>
      <c r="AT51" s="120"/>
      <c r="AU51" s="120"/>
      <c r="AV51" s="82"/>
      <c r="AW51" s="82"/>
      <c r="AX51" s="120"/>
      <c r="AY51" s="120"/>
      <c r="AZ51" s="120"/>
      <c r="BA51" s="120"/>
      <c r="BB51" s="120"/>
      <c r="BC51" s="120"/>
      <c r="BD51" s="82"/>
      <c r="BE51" s="82"/>
      <c r="BF51" s="120"/>
      <c r="BG51" s="120"/>
      <c r="BH51" s="120"/>
      <c r="BI51" s="120"/>
      <c r="BJ51" s="120"/>
      <c r="BK51" s="120"/>
      <c r="BL51" s="82"/>
      <c r="BM51" s="82"/>
      <c r="BN51" s="120"/>
      <c r="BO51" s="120"/>
      <c r="BP51" s="120"/>
      <c r="BQ51" s="120"/>
      <c r="BR51" s="120"/>
      <c r="BS51" s="120"/>
      <c r="BT51" s="82"/>
      <c r="BU51" s="82"/>
      <c r="BV51" s="120"/>
      <c r="BW51" s="120"/>
      <c r="BX51" s="120"/>
      <c r="BY51" s="120"/>
      <c r="BZ51" s="120"/>
      <c r="CA51" s="120"/>
      <c r="CB51" s="82"/>
      <c r="CC51" s="82"/>
      <c r="CD51" s="120"/>
      <c r="CE51" s="120"/>
      <c r="CF51" s="120"/>
      <c r="CG51" s="120"/>
      <c r="CH51" s="120"/>
      <c r="CI51" s="120"/>
      <c r="CJ51" s="82"/>
      <c r="CK51" s="82"/>
      <c r="CL51" s="120"/>
      <c r="CM51" s="120"/>
      <c r="CN51" s="120"/>
      <c r="CO51" s="120"/>
      <c r="CP51" s="120"/>
      <c r="CQ51" s="120"/>
      <c r="CR51" s="82"/>
      <c r="CS51" s="82"/>
      <c r="CT51" s="120"/>
      <c r="CU51" s="120"/>
      <c r="CV51" s="120"/>
      <c r="CW51" s="120"/>
      <c r="CX51" s="120"/>
      <c r="CY51" s="120"/>
      <c r="CZ51" s="82"/>
      <c r="DA51" s="82"/>
      <c r="DB51" s="120"/>
      <c r="DC51" s="120"/>
      <c r="DD51" s="120"/>
      <c r="DE51" s="120"/>
      <c r="DF51" s="120"/>
      <c r="DG51" s="120"/>
      <c r="DH51" s="82"/>
      <c r="DI51" s="82"/>
    </row>
    <row r="52" spans="2:113" s="76" customFormat="1" ht="21">
      <c r="B52" s="502" t="str">
        <f>intervencao1</f>
        <v>Rosuvastatin 5mg</v>
      </c>
      <c r="C52" s="502"/>
      <c r="D52" s="502"/>
      <c r="E52" s="502"/>
      <c r="F52" s="502"/>
      <c r="G52" s="502"/>
      <c r="H52" s="502"/>
      <c r="I52" s="77"/>
      <c r="J52" s="502" t="str">
        <f>intervencao2</f>
        <v>Rosuvastatin 10mg</v>
      </c>
      <c r="K52" s="502"/>
      <c r="L52" s="502"/>
      <c r="M52" s="502"/>
      <c r="N52" s="502"/>
      <c r="O52" s="502"/>
      <c r="P52" s="502"/>
      <c r="Q52" s="77"/>
      <c r="R52" s="502" t="str">
        <f>intervencao3</f>
        <v>Rosuvastatin 20mg</v>
      </c>
      <c r="S52" s="502"/>
      <c r="T52" s="502"/>
      <c r="U52" s="502"/>
      <c r="V52" s="502"/>
      <c r="W52" s="502"/>
      <c r="X52" s="502"/>
      <c r="Y52" s="77"/>
      <c r="Z52" s="502" t="str">
        <f>intervencao4</f>
        <v>Rosuvastatin 40mg</v>
      </c>
      <c r="AA52" s="502"/>
      <c r="AB52" s="502"/>
      <c r="AC52" s="502"/>
      <c r="AD52" s="502"/>
      <c r="AE52" s="502"/>
      <c r="AF52" s="502"/>
      <c r="AG52" s="77"/>
      <c r="AH52" s="502" t="str">
        <f>comparador1</f>
        <v>Atorvastatin 10mg</v>
      </c>
      <c r="AI52" s="502"/>
      <c r="AJ52" s="502"/>
      <c r="AK52" s="502"/>
      <c r="AL52" s="502"/>
      <c r="AM52" s="502"/>
      <c r="AN52" s="502"/>
      <c r="AO52" s="77"/>
      <c r="AP52" s="502" t="str">
        <f>comparador2</f>
        <v>Atorvastatin 20mg</v>
      </c>
      <c r="AQ52" s="502"/>
      <c r="AR52" s="502"/>
      <c r="AS52" s="502"/>
      <c r="AT52" s="502"/>
      <c r="AU52" s="502"/>
      <c r="AV52" s="502"/>
      <c r="AW52" s="77"/>
      <c r="AX52" s="502" t="str">
        <f>comparador3</f>
        <v>Atorvastatin 40mg</v>
      </c>
      <c r="AY52" s="502"/>
      <c r="AZ52" s="502"/>
      <c r="BA52" s="502"/>
      <c r="BB52" s="502"/>
      <c r="BC52" s="502"/>
      <c r="BD52" s="502"/>
      <c r="BE52" s="77"/>
      <c r="BF52" s="502" t="str">
        <f>comparador4</f>
        <v>Atorvastatin 80mg</v>
      </c>
      <c r="BG52" s="502"/>
      <c r="BH52" s="502"/>
      <c r="BI52" s="502"/>
      <c r="BJ52" s="502"/>
      <c r="BK52" s="502"/>
      <c r="BL52" s="502"/>
      <c r="BM52" s="77"/>
      <c r="BN52" s="502" t="str">
        <f>comparador5</f>
        <v>Pravastatin</v>
      </c>
      <c r="BO52" s="502"/>
      <c r="BP52" s="502"/>
      <c r="BQ52" s="502"/>
      <c r="BR52" s="502"/>
      <c r="BS52" s="502"/>
      <c r="BT52" s="502"/>
      <c r="BU52" s="77"/>
      <c r="BV52" s="502" t="str">
        <f>comparador6</f>
        <v>Simvastatin 5mg</v>
      </c>
      <c r="BW52" s="502"/>
      <c r="BX52" s="502"/>
      <c r="BY52" s="502"/>
      <c r="BZ52" s="502"/>
      <c r="CA52" s="502"/>
      <c r="CB52" s="502"/>
      <c r="CC52" s="77"/>
      <c r="CD52" s="502" t="str">
        <f>comparador7</f>
        <v>Simvastatin 10mg</v>
      </c>
      <c r="CE52" s="502"/>
      <c r="CF52" s="502"/>
      <c r="CG52" s="502"/>
      <c r="CH52" s="502"/>
      <c r="CI52" s="502"/>
      <c r="CJ52" s="502"/>
      <c r="CK52" s="77"/>
      <c r="CL52" s="502" t="str">
        <f>comparador8</f>
        <v>Simvastatin 20mg</v>
      </c>
      <c r="CM52" s="502"/>
      <c r="CN52" s="502"/>
      <c r="CO52" s="502"/>
      <c r="CP52" s="502"/>
      <c r="CQ52" s="502"/>
      <c r="CR52" s="502"/>
      <c r="CS52" s="77"/>
      <c r="CT52" s="502" t="str">
        <f>comparador9</f>
        <v>Simvastatin 40mg</v>
      </c>
      <c r="CU52" s="502"/>
      <c r="CV52" s="502"/>
      <c r="CW52" s="502"/>
      <c r="CX52" s="502"/>
      <c r="CY52" s="502"/>
      <c r="CZ52" s="502"/>
      <c r="DA52" s="77"/>
      <c r="DB52" s="502">
        <f>comparador10</f>
        <v>0</v>
      </c>
      <c r="DC52" s="502"/>
      <c r="DD52" s="502"/>
      <c r="DE52" s="502"/>
      <c r="DF52" s="502"/>
      <c r="DG52" s="502"/>
      <c r="DH52" s="502"/>
      <c r="DI52" s="77"/>
    </row>
    <row r="53" spans="2:113" ht="18">
      <c r="B53" s="503" t="s">
        <v>182</v>
      </c>
      <c r="C53" s="503"/>
      <c r="D53" s="503"/>
      <c r="E53" s="503"/>
      <c r="F53" s="503"/>
      <c r="G53" s="503"/>
      <c r="H53" s="71"/>
      <c r="I53" s="71"/>
      <c r="J53" s="503" t="s">
        <v>182</v>
      </c>
      <c r="K53" s="503"/>
      <c r="L53" s="503"/>
      <c r="M53" s="503"/>
      <c r="N53" s="503"/>
      <c r="O53" s="503"/>
      <c r="P53" s="71"/>
      <c r="Q53" s="71"/>
      <c r="R53" s="503" t="s">
        <v>182</v>
      </c>
      <c r="S53" s="503"/>
      <c r="T53" s="503"/>
      <c r="U53" s="503"/>
      <c r="V53" s="503"/>
      <c r="W53" s="503"/>
      <c r="X53" s="71"/>
      <c r="Y53" s="71"/>
      <c r="Z53" s="503" t="s">
        <v>182</v>
      </c>
      <c r="AA53" s="503"/>
      <c r="AB53" s="503"/>
      <c r="AC53" s="503"/>
      <c r="AD53" s="503"/>
      <c r="AE53" s="503"/>
      <c r="AF53" s="71"/>
      <c r="AG53" s="71"/>
      <c r="AH53" s="503" t="s">
        <v>182</v>
      </c>
      <c r="AI53" s="503"/>
      <c r="AJ53" s="503"/>
      <c r="AK53" s="503"/>
      <c r="AL53" s="503"/>
      <c r="AM53" s="503"/>
      <c r="AN53" s="71"/>
      <c r="AO53" s="71"/>
      <c r="AP53" s="503" t="s">
        <v>182</v>
      </c>
      <c r="AQ53" s="503"/>
      <c r="AR53" s="503"/>
      <c r="AS53" s="503"/>
      <c r="AT53" s="503"/>
      <c r="AU53" s="503"/>
      <c r="AV53" s="71"/>
      <c r="AW53" s="71"/>
      <c r="AX53" s="503" t="s">
        <v>182</v>
      </c>
      <c r="AY53" s="503"/>
      <c r="AZ53" s="503"/>
      <c r="BA53" s="503"/>
      <c r="BB53" s="503"/>
      <c r="BC53" s="503"/>
      <c r="BD53" s="71"/>
      <c r="BE53" s="71"/>
      <c r="BF53" s="503" t="s">
        <v>182</v>
      </c>
      <c r="BG53" s="503"/>
      <c r="BH53" s="503"/>
      <c r="BI53" s="503"/>
      <c r="BJ53" s="503"/>
      <c r="BK53" s="503"/>
      <c r="BL53" s="71"/>
      <c r="BM53" s="71"/>
      <c r="BN53" s="503" t="s">
        <v>182</v>
      </c>
      <c r="BO53" s="503"/>
      <c r="BP53" s="503"/>
      <c r="BQ53" s="503"/>
      <c r="BR53" s="503"/>
      <c r="BS53" s="503"/>
      <c r="BT53" s="71"/>
      <c r="BU53" s="71"/>
      <c r="BV53" s="503" t="s">
        <v>182</v>
      </c>
      <c r="BW53" s="503"/>
      <c r="BX53" s="503"/>
      <c r="BY53" s="503"/>
      <c r="BZ53" s="503"/>
      <c r="CA53" s="503"/>
      <c r="CB53" s="71"/>
      <c r="CC53" s="71"/>
      <c r="CD53" s="503" t="s">
        <v>182</v>
      </c>
      <c r="CE53" s="503"/>
      <c r="CF53" s="503"/>
      <c r="CG53" s="503"/>
      <c r="CH53" s="503"/>
      <c r="CI53" s="503"/>
      <c r="CJ53" s="71"/>
      <c r="CK53" s="71"/>
      <c r="CL53" s="503" t="s">
        <v>182</v>
      </c>
      <c r="CM53" s="503"/>
      <c r="CN53" s="503"/>
      <c r="CO53" s="503"/>
      <c r="CP53" s="503"/>
      <c r="CQ53" s="503"/>
      <c r="CR53" s="71"/>
      <c r="CS53" s="71"/>
      <c r="CT53" s="503" t="s">
        <v>182</v>
      </c>
      <c r="CU53" s="503"/>
      <c r="CV53" s="503"/>
      <c r="CW53" s="503"/>
      <c r="CX53" s="503"/>
      <c r="CY53" s="503"/>
      <c r="CZ53" s="71"/>
      <c r="DA53" s="71"/>
      <c r="DB53" s="503" t="s">
        <v>182</v>
      </c>
      <c r="DC53" s="503"/>
      <c r="DD53" s="503"/>
      <c r="DE53" s="503"/>
      <c r="DF53" s="503"/>
      <c r="DG53" s="503"/>
      <c r="DH53" s="71"/>
    </row>
    <row r="54" spans="2:113" ht="15" thickBot="1">
      <c r="B54" s="83"/>
      <c r="C54" s="83"/>
      <c r="D54" s="83"/>
      <c r="E54" s="83"/>
      <c r="F54" s="83"/>
      <c r="G54" s="83"/>
      <c r="J54" s="83"/>
      <c r="K54" s="83"/>
      <c r="L54" s="83"/>
      <c r="M54" s="83"/>
      <c r="N54" s="83"/>
      <c r="O54" s="83"/>
      <c r="R54" s="83"/>
      <c r="S54" s="83"/>
      <c r="T54" s="83"/>
      <c r="U54" s="83"/>
      <c r="V54" s="83"/>
      <c r="W54" s="83"/>
      <c r="Z54" s="83"/>
      <c r="AA54" s="83"/>
      <c r="AB54" s="83"/>
      <c r="AC54" s="83"/>
      <c r="AD54" s="83"/>
      <c r="AE54" s="83"/>
      <c r="AH54" s="83"/>
      <c r="AI54" s="83"/>
      <c r="AJ54" s="83"/>
      <c r="AK54" s="83"/>
      <c r="AL54" s="83"/>
      <c r="AM54" s="83"/>
      <c r="AP54" s="83"/>
      <c r="AQ54" s="83"/>
      <c r="AR54" s="83"/>
      <c r="AS54" s="83"/>
      <c r="AT54" s="83"/>
      <c r="AU54" s="83"/>
      <c r="AX54" s="83"/>
      <c r="AY54" s="83"/>
      <c r="AZ54" s="83"/>
      <c r="BA54" s="83"/>
      <c r="BB54" s="83"/>
      <c r="BC54" s="83"/>
      <c r="BF54" s="83"/>
      <c r="BG54" s="83"/>
      <c r="BH54" s="83"/>
      <c r="BI54" s="83"/>
      <c r="BJ54" s="83"/>
      <c r="BK54" s="83"/>
      <c r="BN54" s="83"/>
      <c r="BO54" s="83"/>
      <c r="BP54" s="83"/>
      <c r="BQ54" s="83"/>
      <c r="BR54" s="83"/>
      <c r="BS54" s="83"/>
      <c r="BV54" s="83"/>
      <c r="BW54" s="83"/>
      <c r="BX54" s="83"/>
      <c r="BY54" s="83"/>
      <c r="BZ54" s="83"/>
      <c r="CA54" s="83"/>
      <c r="CD54" s="83"/>
      <c r="CE54" s="83"/>
      <c r="CF54" s="83"/>
      <c r="CG54" s="83"/>
      <c r="CH54" s="83"/>
      <c r="CI54" s="83"/>
      <c r="CL54" s="83"/>
      <c r="CM54" s="83"/>
      <c r="CN54" s="83"/>
      <c r="CO54" s="83"/>
      <c r="CP54" s="83"/>
      <c r="CQ54" s="83"/>
      <c r="CT54" s="83"/>
      <c r="CU54" s="83"/>
      <c r="CV54" s="83"/>
      <c r="CW54" s="83"/>
      <c r="CX54" s="83"/>
      <c r="CY54" s="83"/>
      <c r="DB54" s="83"/>
      <c r="DC54" s="83"/>
      <c r="DD54" s="83"/>
      <c r="DE54" s="83"/>
      <c r="DF54" s="83"/>
      <c r="DG54" s="83"/>
    </row>
    <row r="55" spans="2:113" ht="15" thickBot="1">
      <c r="B55" s="504" t="str">
        <f>B34</f>
        <v>without rosuvastatin</v>
      </c>
      <c r="C55" s="505"/>
      <c r="D55" s="505"/>
      <c r="E55" s="505"/>
      <c r="F55" s="505"/>
      <c r="G55" s="506"/>
      <c r="J55" s="504" t="str">
        <f>J34</f>
        <v>without rosuvastatin</v>
      </c>
      <c r="K55" s="505"/>
      <c r="L55" s="505"/>
      <c r="M55" s="505"/>
      <c r="N55" s="505"/>
      <c r="O55" s="506"/>
      <c r="R55" s="504" t="str">
        <f>R34</f>
        <v>without rosuvastatin</v>
      </c>
      <c r="S55" s="505"/>
      <c r="T55" s="505"/>
      <c r="U55" s="505"/>
      <c r="V55" s="505"/>
      <c r="W55" s="506"/>
      <c r="Z55" s="504" t="str">
        <f>Z34</f>
        <v>without rosuvastatin</v>
      </c>
      <c r="AA55" s="505"/>
      <c r="AB55" s="505"/>
      <c r="AC55" s="505"/>
      <c r="AD55" s="505"/>
      <c r="AE55" s="506"/>
      <c r="AH55" s="504" t="str">
        <f>AH34</f>
        <v>without rosuvastatin</v>
      </c>
      <c r="AI55" s="505"/>
      <c r="AJ55" s="505"/>
      <c r="AK55" s="505"/>
      <c r="AL55" s="505"/>
      <c r="AM55" s="506"/>
      <c r="AP55" s="504" t="str">
        <f>AP34</f>
        <v>without rosuvastatin</v>
      </c>
      <c r="AQ55" s="505"/>
      <c r="AR55" s="505"/>
      <c r="AS55" s="505"/>
      <c r="AT55" s="505"/>
      <c r="AU55" s="506"/>
      <c r="AX55" s="504" t="str">
        <f>AX34</f>
        <v>without rosuvastatin</v>
      </c>
      <c r="AY55" s="505"/>
      <c r="AZ55" s="505"/>
      <c r="BA55" s="505"/>
      <c r="BB55" s="505"/>
      <c r="BC55" s="506"/>
      <c r="BF55" s="504" t="str">
        <f>BF34</f>
        <v>without rosuvastatin</v>
      </c>
      <c r="BG55" s="505"/>
      <c r="BH55" s="505"/>
      <c r="BI55" s="505"/>
      <c r="BJ55" s="505"/>
      <c r="BK55" s="506"/>
      <c r="BN55" s="504" t="str">
        <f>BN34</f>
        <v>without rosuvastatin</v>
      </c>
      <c r="BO55" s="505"/>
      <c r="BP55" s="505"/>
      <c r="BQ55" s="505"/>
      <c r="BR55" s="505"/>
      <c r="BS55" s="506"/>
      <c r="BV55" s="504" t="str">
        <f>BV34</f>
        <v>without rosuvastatin</v>
      </c>
      <c r="BW55" s="505"/>
      <c r="BX55" s="505"/>
      <c r="BY55" s="505"/>
      <c r="BZ55" s="505"/>
      <c r="CA55" s="506"/>
      <c r="CD55" s="504" t="str">
        <f>CD34</f>
        <v>without rosuvastatin</v>
      </c>
      <c r="CE55" s="505"/>
      <c r="CF55" s="505"/>
      <c r="CG55" s="505"/>
      <c r="CH55" s="505"/>
      <c r="CI55" s="506"/>
      <c r="CL55" s="504" t="str">
        <f>CL34</f>
        <v>without rosuvastatin</v>
      </c>
      <c r="CM55" s="505"/>
      <c r="CN55" s="505"/>
      <c r="CO55" s="505"/>
      <c r="CP55" s="505"/>
      <c r="CQ55" s="506"/>
      <c r="CT55" s="504" t="str">
        <f>CT34</f>
        <v>without rosuvastatin</v>
      </c>
      <c r="CU55" s="505"/>
      <c r="CV55" s="505"/>
      <c r="CW55" s="505"/>
      <c r="CX55" s="505"/>
      <c r="CY55" s="506"/>
      <c r="DB55" s="504" t="str">
        <f>DB34</f>
        <v>without rosuvastatin</v>
      </c>
      <c r="DC55" s="505"/>
      <c r="DD55" s="505"/>
      <c r="DE55" s="505"/>
      <c r="DF55" s="505"/>
      <c r="DG55" s="506"/>
    </row>
    <row r="56" spans="2:113">
      <c r="B56" s="84"/>
      <c r="C56" s="101">
        <f>C35</f>
        <v>2026</v>
      </c>
      <c r="D56" s="101">
        <f>D35</f>
        <v>2027</v>
      </c>
      <c r="E56" s="101">
        <f>E35</f>
        <v>2028</v>
      </c>
      <c r="F56" s="101">
        <f>F35</f>
        <v>2029</v>
      </c>
      <c r="G56" s="102">
        <f>G35</f>
        <v>2030</v>
      </c>
      <c r="J56" s="84"/>
      <c r="K56" s="101">
        <f>K35</f>
        <v>2026</v>
      </c>
      <c r="L56" s="101">
        <f>L35</f>
        <v>2027</v>
      </c>
      <c r="M56" s="101">
        <f>M35</f>
        <v>2028</v>
      </c>
      <c r="N56" s="101">
        <f>N35</f>
        <v>2029</v>
      </c>
      <c r="O56" s="102">
        <f>O35</f>
        <v>2030</v>
      </c>
      <c r="R56" s="84"/>
      <c r="S56" s="101">
        <f>S35</f>
        <v>2026</v>
      </c>
      <c r="T56" s="101">
        <f>T35</f>
        <v>2027</v>
      </c>
      <c r="U56" s="101">
        <f>U35</f>
        <v>2028</v>
      </c>
      <c r="V56" s="101">
        <f>V35</f>
        <v>2029</v>
      </c>
      <c r="W56" s="102">
        <f>W35</f>
        <v>2030</v>
      </c>
      <c r="Z56" s="84"/>
      <c r="AA56" s="101">
        <f>AA35</f>
        <v>2026</v>
      </c>
      <c r="AB56" s="101">
        <f>AB35</f>
        <v>2027</v>
      </c>
      <c r="AC56" s="101">
        <f>AC35</f>
        <v>2028</v>
      </c>
      <c r="AD56" s="101">
        <f>AD35</f>
        <v>2029</v>
      </c>
      <c r="AE56" s="102">
        <f>AE35</f>
        <v>2030</v>
      </c>
      <c r="AH56" s="84"/>
      <c r="AI56" s="101">
        <f>AI35</f>
        <v>2026</v>
      </c>
      <c r="AJ56" s="101">
        <f>AJ35</f>
        <v>2027</v>
      </c>
      <c r="AK56" s="101">
        <f>AK35</f>
        <v>2028</v>
      </c>
      <c r="AL56" s="101">
        <f>AL35</f>
        <v>2029</v>
      </c>
      <c r="AM56" s="102">
        <f>AM35</f>
        <v>2030</v>
      </c>
      <c r="AP56" s="84"/>
      <c r="AQ56" s="101">
        <f>AQ35</f>
        <v>2026</v>
      </c>
      <c r="AR56" s="101">
        <f>AR35</f>
        <v>2027</v>
      </c>
      <c r="AS56" s="101">
        <f>AS35</f>
        <v>2028</v>
      </c>
      <c r="AT56" s="101">
        <f>AT35</f>
        <v>2029</v>
      </c>
      <c r="AU56" s="102">
        <f>AU35</f>
        <v>2030</v>
      </c>
      <c r="AX56" s="84"/>
      <c r="AY56" s="101">
        <f>AY35</f>
        <v>2026</v>
      </c>
      <c r="AZ56" s="101">
        <f>AZ35</f>
        <v>2027</v>
      </c>
      <c r="BA56" s="101">
        <f>BA35</f>
        <v>2028</v>
      </c>
      <c r="BB56" s="101">
        <f>BB35</f>
        <v>2029</v>
      </c>
      <c r="BC56" s="102">
        <f>BC35</f>
        <v>2030</v>
      </c>
      <c r="BF56" s="84"/>
      <c r="BG56" s="101">
        <f>BG35</f>
        <v>2026</v>
      </c>
      <c r="BH56" s="101">
        <f>BH35</f>
        <v>2027</v>
      </c>
      <c r="BI56" s="101">
        <f>BI35</f>
        <v>2028</v>
      </c>
      <c r="BJ56" s="101">
        <f>BJ35</f>
        <v>2029</v>
      </c>
      <c r="BK56" s="102">
        <f>BK35</f>
        <v>2030</v>
      </c>
      <c r="BN56" s="84"/>
      <c r="BO56" s="101">
        <f>BO35</f>
        <v>2026</v>
      </c>
      <c r="BP56" s="101">
        <f>BP35</f>
        <v>2027</v>
      </c>
      <c r="BQ56" s="101">
        <f>BQ35</f>
        <v>2028</v>
      </c>
      <c r="BR56" s="101">
        <f>BR35</f>
        <v>2029</v>
      </c>
      <c r="BS56" s="102">
        <f>BS35</f>
        <v>2030</v>
      </c>
      <c r="BV56" s="84"/>
      <c r="BW56" s="101">
        <f>BW35</f>
        <v>2026</v>
      </c>
      <c r="BX56" s="101">
        <f>BX35</f>
        <v>2027</v>
      </c>
      <c r="BY56" s="101">
        <f>BY35</f>
        <v>2028</v>
      </c>
      <c r="BZ56" s="101">
        <f>BZ35</f>
        <v>2029</v>
      </c>
      <c r="CA56" s="102">
        <f>CA35</f>
        <v>2030</v>
      </c>
      <c r="CD56" s="84"/>
      <c r="CE56" s="101">
        <f>CE35</f>
        <v>2026</v>
      </c>
      <c r="CF56" s="101">
        <f>CF35</f>
        <v>2027</v>
      </c>
      <c r="CG56" s="101">
        <f>CG35</f>
        <v>2028</v>
      </c>
      <c r="CH56" s="101">
        <f>CH35</f>
        <v>2029</v>
      </c>
      <c r="CI56" s="102">
        <f>CI35</f>
        <v>2030</v>
      </c>
      <c r="CL56" s="84"/>
      <c r="CM56" s="101">
        <f>CM35</f>
        <v>2026</v>
      </c>
      <c r="CN56" s="101">
        <f>CN35</f>
        <v>2027</v>
      </c>
      <c r="CO56" s="101">
        <f>CO35</f>
        <v>2028</v>
      </c>
      <c r="CP56" s="101">
        <f>CP35</f>
        <v>2029</v>
      </c>
      <c r="CQ56" s="102">
        <f>CQ35</f>
        <v>2030</v>
      </c>
      <c r="CT56" s="84"/>
      <c r="CU56" s="101">
        <f>CU35</f>
        <v>2026</v>
      </c>
      <c r="CV56" s="101">
        <f>CV35</f>
        <v>2027</v>
      </c>
      <c r="CW56" s="101">
        <f>CW35</f>
        <v>2028</v>
      </c>
      <c r="CX56" s="101">
        <f>CX35</f>
        <v>2029</v>
      </c>
      <c r="CY56" s="102">
        <f>CY35</f>
        <v>2030</v>
      </c>
      <c r="DB56" s="84"/>
      <c r="DC56" s="101">
        <f>DC35</f>
        <v>2026</v>
      </c>
      <c r="DD56" s="101">
        <f>DD35</f>
        <v>2027</v>
      </c>
      <c r="DE56" s="101">
        <f>DE35</f>
        <v>2028</v>
      </c>
      <c r="DF56" s="101">
        <f>DF35</f>
        <v>2029</v>
      </c>
      <c r="DG56" s="102">
        <f>DG35</f>
        <v>2030</v>
      </c>
    </row>
    <row r="57" spans="2:113" s="83" customFormat="1" ht="15" thickBot="1">
      <c r="B57" s="386"/>
      <c r="C57" s="388">
        <f ca="1">(C15*ci_int1)+(C15*ct_int1*'Time on treatment'!$D$12)</f>
        <v>0</v>
      </c>
      <c r="D57" s="388">
        <f ca="1">((D15-C15)*ci_int1)+(D15*ct_int1*'Time on treatment'!$D$12)</f>
        <v>0</v>
      </c>
      <c r="E57" s="388">
        <f ca="1">((E15-(D15-C15)-C15)*ci_int1)+(E15*ct_int1*'Time on treatment'!$D$12)</f>
        <v>0</v>
      </c>
      <c r="F57" s="388">
        <f ca="1">((F15-(E15-D15)-(D15-C15)-C15)*ci_int1)+(F15*ct_int1*'Time on treatment'!$D$12)</f>
        <v>0</v>
      </c>
      <c r="G57" s="389">
        <f ca="1">((G15-(F15-E15)-(E15-D15)-(D15-C15)-C15)*ci_int1)+(G15*ct_int1*'Time on treatment'!$D$12)</f>
        <v>0</v>
      </c>
      <c r="H57" s="77"/>
      <c r="I57" s="77"/>
      <c r="J57" s="386"/>
      <c r="K57" s="388">
        <f ca="1">(K15*ci_int2)+(K15*ct_int2*'Time on treatment'!$D$12)</f>
        <v>0</v>
      </c>
      <c r="L57" s="388">
        <f ca="1">((L15-K15)*ci_int2)+(L15*ct_int2*'Time on treatment'!$D$12)</f>
        <v>0</v>
      </c>
      <c r="M57" s="388">
        <f ca="1">((M15-(L15-K15)-K15)*ci_int2)+(M15*ct_int2*'Time on treatment'!$D$12)</f>
        <v>0</v>
      </c>
      <c r="N57" s="388">
        <f ca="1">((N15-(M15-L15)-(L15-K15)-K15)*ci_int2)+(N15*ct_int2*'Time on treatment'!$D$12)</f>
        <v>0</v>
      </c>
      <c r="O57" s="389">
        <f ca="1">((O15-(N15-M15)-(M15-L15)-(L15-K15)-K15)*ci_int2)+(O15*ct_int2*'Time on treatment'!$D$12)</f>
        <v>0</v>
      </c>
      <c r="P57" s="77"/>
      <c r="Q57" s="77"/>
      <c r="R57" s="386"/>
      <c r="S57" s="388">
        <f ca="1">(S15*ci_int3)+(S15*ct_int3*'Time on treatment'!$D$12)</f>
        <v>0</v>
      </c>
      <c r="T57" s="388">
        <f ca="1">((T15-S15)*ci_int3)+(T15*ct_int3*'Time on treatment'!$D$12)</f>
        <v>0</v>
      </c>
      <c r="U57" s="388">
        <f ca="1">((U15-(T15-S15)-S15)*ci_int3)+(U15*ct_int3*'Time on treatment'!$D$12)</f>
        <v>0</v>
      </c>
      <c r="V57" s="388">
        <f ca="1">((V15-(U15-T15)-(T15-S15)-S15)*ci_int3)+(V15*ct_int3*'Time on treatment'!$D$12)</f>
        <v>0</v>
      </c>
      <c r="W57" s="389">
        <f ca="1">((W15-(V15-U15)-(U15-T15)-(T15-S15)-S15)*ci_int3)+(W15*ct_int3*'Time on treatment'!$D$12)</f>
        <v>0</v>
      </c>
      <c r="X57" s="77"/>
      <c r="Y57" s="77"/>
      <c r="Z57" s="386"/>
      <c r="AA57" s="388">
        <f ca="1">(AA15*ci_int4)+(AA15*ct_int4*'Time on treatment'!$D$12)</f>
        <v>0</v>
      </c>
      <c r="AB57" s="388">
        <f ca="1">((AB15-AA15)*ci_int4)+(AB15*ct_int4*'Time on treatment'!$D$12)</f>
        <v>0</v>
      </c>
      <c r="AC57" s="388">
        <f ca="1">((AC15-(AB15-AA15)-AA15)*ci_int4)+(AC15*ct_int4*'Time on treatment'!$D$12)</f>
        <v>0</v>
      </c>
      <c r="AD57" s="388">
        <f ca="1">((AD15-(AC15-AB15)-(AB15-AA15)-AA15)*ci_int4)+(AD15*ct_int4*'Time on treatment'!$D$12)</f>
        <v>0</v>
      </c>
      <c r="AE57" s="389">
        <f ca="1">((AE15-(AD15-AC15)-(AC15-AB15)-(AB15-AA15)-AA15)*ci_int4)+(AE15*ct_int4*'Time on treatment'!$D$12)</f>
        <v>0</v>
      </c>
      <c r="AF57" s="77"/>
      <c r="AG57" s="77"/>
      <c r="AH57" s="386"/>
      <c r="AI57" s="388">
        <f ca="1">(AI15*ci_comp1)+(AI15*ct_comp1*'Time on treatment'!$D$12)</f>
        <v>1456977.3434282176</v>
      </c>
      <c r="AJ57" s="388">
        <f ca="1">((AJ15-AI15)*ci_comp1)+(AJ15*ct_comp1*'Time on treatment'!$D$12)</f>
        <v>1468927.4722879506</v>
      </c>
      <c r="AK57" s="388">
        <f ca="1">((AK15-(AJ15-AI15)-AI15)*ci_comp1)+(AK15*ct_comp1*'Time on treatment'!$D$12)</f>
        <v>1480376.8732965186</v>
      </c>
      <c r="AL57" s="388">
        <f ca="1">((AL15-(AK15-AJ15)-(AJ15-AI15)-AI15)*ci_comp1)+(AL15*ct_comp1*'Time on treatment'!$D$12)</f>
        <v>1491853.4812270771</v>
      </c>
      <c r="AM57" s="389">
        <f ca="1">((AM15-(AL15-AK15)-(AK15-AJ15)-(AJ15-AI15)-AI15)*ci_comp1)+(AM15*ct_comp1*'Time on treatment'!$D$12)</f>
        <v>1503392.9459181456</v>
      </c>
      <c r="AN57" s="77"/>
      <c r="AO57" s="77"/>
      <c r="AP57" s="386"/>
      <c r="AQ57" s="388">
        <f ca="1">(AQ15*ci_comp2)+(AQ15*ct_comp2*'Time on treatment'!$D$12)</f>
        <v>10961654.94418666</v>
      </c>
      <c r="AR57" s="388">
        <f ca="1">((AR15-AQ15)*ci_comp2)+(AR15*ct_comp2*'Time on treatment'!$D$12)</f>
        <v>11051562.44322212</v>
      </c>
      <c r="AS57" s="388">
        <f ca="1">((AS15-(AR15-AQ15)-AQ15)*ci_comp2)+(AS15*ct_comp2*'Time on treatment'!$D$12)</f>
        <v>11137702.686747279</v>
      </c>
      <c r="AT57" s="388">
        <f ca="1">((AT15-(AS15-AR15)-(AR15-AQ15)-AQ15)*ci_comp2)+(AT15*ct_comp2*'Time on treatment'!$D$12)</f>
        <v>11224047.623154107</v>
      </c>
      <c r="AU57" s="389">
        <f ca="1">((AU15-(AT15-AS15)-(AS15-AR15)-(AR15-AQ15)-AQ15)*ci_comp2)+(AU15*ct_comp2*'Time on treatment'!$D$12)</f>
        <v>11310865.466104561</v>
      </c>
      <c r="AV57" s="77"/>
      <c r="AW57" s="77"/>
      <c r="AX57" s="386"/>
      <c r="AY57" s="388">
        <f ca="1">(AY15*ci_comp3)+(AY15*ct_comp3*'Time on treatment'!$D$12)</f>
        <v>60353130.709883563</v>
      </c>
      <c r="AZ57" s="388">
        <f ca="1">((AZ15-AY15)*ci_comp3)+(AZ15*ct_comp3*'Time on treatment'!$D$12)</f>
        <v>60848147.116504133</v>
      </c>
      <c r="BA57" s="388">
        <f ca="1">((BA15-(AZ15-AY15)-AY15)*ci_comp3)+(BA15*ct_comp3*'Time on treatment'!$D$12)</f>
        <v>61322421.612766415</v>
      </c>
      <c r="BB57" s="388">
        <f ca="1">((BB15-(BA15-AZ15)-(AZ15-AY15)-AY15)*ci_comp3)+(BB15*ct_comp3*'Time on treatment'!$D$12)</f>
        <v>61797823.115516841</v>
      </c>
      <c r="BC57" s="389">
        <f ca="1">((BC15-(BB15-BA15)-(BA15-AZ15)-(AZ15-AY15)-AY15)*ci_comp3)+(BC15*ct_comp3*'Time on treatment'!$D$12)</f>
        <v>62275828.366568618</v>
      </c>
      <c r="BD57" s="77"/>
      <c r="BE57" s="77"/>
      <c r="BF57" s="386"/>
      <c r="BG57" s="388">
        <f ca="1">(BG15*ci_comp4)+(BG15*ct_comp4*'Time on treatment'!$D$12)</f>
        <v>11502337.105871247</v>
      </c>
      <c r="BH57" s="388">
        <f ca="1">((BH15-BG15)*ci_comp4)+(BH15*ct_comp4*'Time on treatment'!$D$12)</f>
        <v>11596679.280252507</v>
      </c>
      <c r="BI57" s="388">
        <f ca="1">((BI15-(BH15-BG15)-BG15)*ci_comp4)+(BI15*ct_comp4*'Time on treatment'!$D$12)</f>
        <v>11687068.379750084</v>
      </c>
      <c r="BJ57" s="388">
        <f ca="1">((BJ15-(BI15-BH15)-(BH15-BG15)-BG15)*ci_comp4)+(BJ15*ct_comp4*'Time on treatment'!$D$12)</f>
        <v>11777672.268578302</v>
      </c>
      <c r="BK57" s="389">
        <f ca="1">((BK15-(BJ15-BI15)-(BI15-BH15)-(BH15-BG15)-BG15)*ci_comp4)+(BK15*ct_comp4*'Time on treatment'!$D$12)</f>
        <v>11868772.390002057</v>
      </c>
      <c r="BL57" s="77"/>
      <c r="BM57" s="77"/>
      <c r="BN57" s="386"/>
      <c r="BO57" s="388">
        <f ca="1">(BO15*ci_comp5)+(BO15*ct_comp5*'Time on treatment'!$D$12)</f>
        <v>1158486.9595438614</v>
      </c>
      <c r="BP57" s="388">
        <f ca="1">((BP15-BO15)*ci_comp5)+(BP15*ct_comp5*'Time on treatment'!$D$12)</f>
        <v>1167988.8701338333</v>
      </c>
      <c r="BQ57" s="388">
        <f ca="1">((BQ15-(BP15-BO15)-BO15)*ci_comp5)+(BQ15*ct_comp5*'Time on treatment'!$D$12)</f>
        <v>1177092.6367935156</v>
      </c>
      <c r="BR57" s="388">
        <f ca="1">((BR15-(BQ15-BP15)-(BP15-BO15)-BO15)*ci_comp5)+(BR15*ct_comp5*'Time on treatment'!$D$12)</f>
        <v>1186218.0365036209</v>
      </c>
      <c r="BS57" s="389">
        <f ca="1">((BS15-(BR15-BQ15)-(BQ15-BP15)-(BP15-BO15)-BO15)*ci_comp5)+(BS15*ct_comp5*'Time on treatment'!$D$12)</f>
        <v>1195393.4155340623</v>
      </c>
      <c r="BT57" s="77"/>
      <c r="BU57" s="77"/>
      <c r="BV57" s="386"/>
      <c r="BW57" s="388">
        <f ca="1">(BW15*ci_comp6)+(BW15*ct_comp6*'Time on treatment'!$D$12)</f>
        <v>42765.316427215286</v>
      </c>
      <c r="BX57" s="388">
        <f ca="1">((BX15-BW15)*ci_comp6)+(BX15*ct_comp6*'Time on treatment'!$D$12)</f>
        <v>43116.077572772978</v>
      </c>
      <c r="BY57" s="388">
        <f ca="1">((BY15-(BX15-BW15)-BW15)*ci_comp6)+(BY15*ct_comp6*'Time on treatment'!$D$12)</f>
        <v>43452.141314080982</v>
      </c>
      <c r="BZ57" s="388">
        <f ca="1">((BZ15-(BY15-BX15)-(BX15-BW15)-BW15)*ci_comp6)+(BZ15*ct_comp6*'Time on treatment'!$D$12)</f>
        <v>43789.003635156332</v>
      </c>
      <c r="CA57" s="389">
        <f ca="1">((CA15-(BZ15-BY15)-(BY15-BX15)-(BX15-BW15)-BW15)*ci_comp6)+(CA15*ct_comp6*'Time on treatment'!$D$12)</f>
        <v>44127.710932932874</v>
      </c>
      <c r="CB57" s="77"/>
      <c r="CC57" s="77"/>
      <c r="CD57" s="386"/>
      <c r="CE57" s="388">
        <f ca="1">(CE15*ci_comp7)+(CE15*ct_comp7*'Time on treatment'!$D$12)</f>
        <v>3087999.0519643785</v>
      </c>
      <c r="CF57" s="388">
        <f ca="1">((CF15-CE15)*ci_comp7)+(CF15*ct_comp7*'Time on treatment'!$D$12)</f>
        <v>3113326.821648757</v>
      </c>
      <c r="CG57" s="388">
        <f ca="1">((CG15-(CF15-CE15)-CE15)*ci_comp7)+(CG15*ct_comp7*'Time on treatment'!$D$12)</f>
        <v>3137593.3207947402</v>
      </c>
      <c r="CH57" s="388">
        <f ca="1">((CH15-(CG15-CF15)-(CF15-CE15)-CE15)*ci_comp7)+(CH15*ct_comp7*'Time on treatment'!$D$12)</f>
        <v>3161917.4838087941</v>
      </c>
      <c r="CI57" s="389">
        <f ca="1">((CI15-(CH15-CG15)-(CG15-CF15)-(CF15-CE15)-CE15)*ci_comp7)+(CI15*ct_comp7*'Time on treatment'!$D$12)</f>
        <v>3186374.8689472284</v>
      </c>
      <c r="CJ57" s="77"/>
      <c r="CK57" s="77"/>
      <c r="CL57" s="386"/>
      <c r="CM57" s="388">
        <f ca="1">(CM15*ci_comp8)+(CM15*ct_comp8*'Time on treatment'!$D$12)</f>
        <v>13231782.851843471</v>
      </c>
      <c r="CN57" s="388">
        <f ca="1">((CN15-CM15)*ci_comp8)+(CN15*ct_comp8*'Time on treatment'!$D$12)</f>
        <v>13340309.941050969</v>
      </c>
      <c r="CO57" s="388">
        <f ca="1">((CO15-(CN15-CM15)-CM15)*ci_comp8)+(CO15*ct_comp8*'Time on treatment'!$D$12)</f>
        <v>13444289.586727945</v>
      </c>
      <c r="CP57" s="388">
        <f ca="1">((CP15-(CO15-CN15)-(CN15-CM15)-CM15)*ci_comp8)+(CP15*ct_comp8*'Time on treatment'!$D$12)</f>
        <v>13548516.316606656</v>
      </c>
      <c r="CQ57" s="389">
        <f ca="1">((CQ15-(CP15-CO15)-(CO15-CN15)-(CN15-CM15)-CM15)*ci_comp8)+(CQ15*ct_comp8*'Time on treatment'!$D$12)</f>
        <v>13653313.890644057</v>
      </c>
      <c r="CR57" s="77"/>
      <c r="CS57" s="77"/>
      <c r="CT57" s="386"/>
      <c r="CU57" s="388">
        <f ca="1">(CU15*ci_comp9)+(CU15*ct_comp9*'Time on treatment'!$D$12)</f>
        <v>28222843.610667959</v>
      </c>
      <c r="CV57" s="388">
        <f ca="1">((CV15-CU15)*ci_comp9)+(CV15*ct_comp9*'Time on treatment'!$D$12)</f>
        <v>28454327.38730789</v>
      </c>
      <c r="CW57" s="388">
        <f ca="1">((CW15-(CV15-CU15)-CU15)*ci_comp9)+(CW15*ct_comp9*'Time on treatment'!$D$12)</f>
        <v>28676111.655648205</v>
      </c>
      <c r="CX57" s="388">
        <f ca="1">((CX15-(CW15-CV15)-(CV15-CU15)-CU15)*ci_comp9)+(CX15*ct_comp9*'Time on treatment'!$D$12)</f>
        <v>28898422.944335081</v>
      </c>
      <c r="CY57" s="389">
        <f ca="1">((CY15-(CX15-CW15)-(CW15-CV15)-(CV15-CU15)-CU15)*ci_comp9)+(CY15*ct_comp9*'Time on treatment'!$D$12)</f>
        <v>29121951.819918379</v>
      </c>
      <c r="CZ57" s="77"/>
      <c r="DA57" s="77"/>
      <c r="DB57" s="386"/>
      <c r="DC57" s="388">
        <f ca="1">(DC15*ci_comp10)+(DC15*ct_comp10*'Time on treatment'!$D$12)</f>
        <v>0</v>
      </c>
      <c r="DD57" s="388">
        <f ca="1">((DD15-DC15)*ci_comp10)+(DD15*ct_comp10*'Time on treatment'!$D$12)</f>
        <v>0</v>
      </c>
      <c r="DE57" s="388">
        <f ca="1">((DE15-(DD15-DC15)-DC15)*ci_comp10)+(DE15*ct_comp10*'Time on treatment'!$D$12)</f>
        <v>0</v>
      </c>
      <c r="DF57" s="388">
        <f ca="1">((DF15-(DE15-DD15)-(DD15-DC15)-DC15)*ci_comp10)+(DF15*ct_comp10*'Time on treatment'!$D$12)</f>
        <v>0</v>
      </c>
      <c r="DG57" s="389">
        <f ca="1">((DG15-(DF15-DE15)-(DE15-DD15)-(DD15-DC15)-DC15)*ci_comp10)+(DG15*ct_comp10*'Time on treatment'!$D$12)</f>
        <v>0</v>
      </c>
      <c r="DH57" s="77"/>
      <c r="DI57" s="77"/>
    </row>
    <row r="58" spans="2:113" ht="15" thickBot="1">
      <c r="B58" s="83"/>
      <c r="C58" s="86"/>
      <c r="D58" s="86"/>
      <c r="E58" s="86"/>
      <c r="F58" s="86"/>
      <c r="G58" s="86"/>
      <c r="J58" s="83"/>
      <c r="K58" s="86"/>
      <c r="L58" s="86"/>
      <c r="M58" s="86"/>
      <c r="N58" s="86"/>
      <c r="O58" s="86"/>
      <c r="R58" s="83"/>
      <c r="S58" s="86"/>
      <c r="T58" s="86"/>
      <c r="U58" s="86"/>
      <c r="V58" s="86"/>
      <c r="W58" s="86"/>
      <c r="Z58" s="83"/>
      <c r="AA58" s="86"/>
      <c r="AB58" s="86"/>
      <c r="AC58" s="86"/>
      <c r="AD58" s="86"/>
      <c r="AE58" s="86"/>
      <c r="AH58" s="83"/>
      <c r="AI58" s="86"/>
      <c r="AJ58" s="86"/>
      <c r="AK58" s="86"/>
      <c r="AL58" s="86"/>
      <c r="AM58" s="86"/>
      <c r="AP58" s="83"/>
      <c r="AQ58" s="86"/>
      <c r="AR58" s="86"/>
      <c r="AS58" s="86"/>
      <c r="AT58" s="86"/>
      <c r="AU58" s="86"/>
      <c r="AX58" s="83"/>
      <c r="AY58" s="86"/>
      <c r="AZ58" s="86"/>
      <c r="BA58" s="86"/>
      <c r="BB58" s="86"/>
      <c r="BC58" s="86"/>
      <c r="BF58" s="83"/>
      <c r="BG58" s="86"/>
      <c r="BH58" s="86"/>
      <c r="BI58" s="86"/>
      <c r="BJ58" s="86"/>
      <c r="BK58" s="86"/>
      <c r="BN58" s="83"/>
      <c r="BO58" s="86"/>
      <c r="BP58" s="86"/>
      <c r="BQ58" s="86"/>
      <c r="BR58" s="86"/>
      <c r="BS58" s="86"/>
      <c r="BV58" s="83"/>
      <c r="BW58" s="86"/>
      <c r="BX58" s="86"/>
      <c r="BY58" s="86"/>
      <c r="BZ58" s="86"/>
      <c r="CA58" s="86"/>
      <c r="CD58" s="83"/>
      <c r="CE58" s="86"/>
      <c r="CF58" s="86"/>
      <c r="CG58" s="86"/>
      <c r="CH58" s="86"/>
      <c r="CI58" s="86"/>
      <c r="CL58" s="83"/>
      <c r="CM58" s="86"/>
      <c r="CN58" s="86"/>
      <c r="CO58" s="86"/>
      <c r="CP58" s="86"/>
      <c r="CQ58" s="86"/>
      <c r="CT58" s="83"/>
      <c r="CU58" s="86"/>
      <c r="CV58" s="86"/>
      <c r="CW58" s="86"/>
      <c r="CX58" s="86"/>
      <c r="CY58" s="86"/>
      <c r="DB58" s="83"/>
      <c r="DC58" s="86"/>
      <c r="DD58" s="86"/>
      <c r="DE58" s="86"/>
      <c r="DF58" s="86"/>
      <c r="DG58" s="86"/>
    </row>
    <row r="59" spans="2:113" ht="15" thickBot="1">
      <c r="B59" s="507" t="str">
        <f>B38</f>
        <v>all options</v>
      </c>
      <c r="C59" s="505"/>
      <c r="D59" s="505"/>
      <c r="E59" s="505"/>
      <c r="F59" s="505"/>
      <c r="G59" s="506"/>
      <c r="J59" s="507" t="str">
        <f>J38</f>
        <v>all options</v>
      </c>
      <c r="K59" s="505"/>
      <c r="L59" s="505"/>
      <c r="M59" s="505"/>
      <c r="N59" s="505"/>
      <c r="O59" s="506"/>
      <c r="R59" s="507" t="str">
        <f>R38</f>
        <v>all options</v>
      </c>
      <c r="S59" s="505"/>
      <c r="T59" s="505"/>
      <c r="U59" s="505"/>
      <c r="V59" s="505"/>
      <c r="W59" s="506"/>
      <c r="Z59" s="507" t="str">
        <f>Z38</f>
        <v>all options</v>
      </c>
      <c r="AA59" s="505"/>
      <c r="AB59" s="505"/>
      <c r="AC59" s="505"/>
      <c r="AD59" s="505"/>
      <c r="AE59" s="506"/>
      <c r="AH59" s="507" t="str">
        <f>AH38</f>
        <v>all options</v>
      </c>
      <c r="AI59" s="505"/>
      <c r="AJ59" s="505"/>
      <c r="AK59" s="505"/>
      <c r="AL59" s="505"/>
      <c r="AM59" s="506"/>
      <c r="AP59" s="507" t="str">
        <f>AP38</f>
        <v>all options</v>
      </c>
      <c r="AQ59" s="505"/>
      <c r="AR59" s="505"/>
      <c r="AS59" s="505"/>
      <c r="AT59" s="505"/>
      <c r="AU59" s="506"/>
      <c r="AX59" s="507" t="str">
        <f>AX38</f>
        <v>all options</v>
      </c>
      <c r="AY59" s="505"/>
      <c r="AZ59" s="505"/>
      <c r="BA59" s="505"/>
      <c r="BB59" s="505"/>
      <c r="BC59" s="506"/>
      <c r="BF59" s="507" t="str">
        <f>BF38</f>
        <v>all options</v>
      </c>
      <c r="BG59" s="505"/>
      <c r="BH59" s="505"/>
      <c r="BI59" s="505"/>
      <c r="BJ59" s="505"/>
      <c r="BK59" s="506"/>
      <c r="BN59" s="507" t="str">
        <f>BN38</f>
        <v>all options</v>
      </c>
      <c r="BO59" s="505"/>
      <c r="BP59" s="505"/>
      <c r="BQ59" s="505"/>
      <c r="BR59" s="505"/>
      <c r="BS59" s="506"/>
      <c r="BV59" s="507" t="str">
        <f>BV38</f>
        <v>all options</v>
      </c>
      <c r="BW59" s="505"/>
      <c r="BX59" s="505"/>
      <c r="BY59" s="505"/>
      <c r="BZ59" s="505"/>
      <c r="CA59" s="506"/>
      <c r="CD59" s="507" t="str">
        <f>CD38</f>
        <v>all options</v>
      </c>
      <c r="CE59" s="505"/>
      <c r="CF59" s="505"/>
      <c r="CG59" s="505"/>
      <c r="CH59" s="505"/>
      <c r="CI59" s="506"/>
      <c r="CL59" s="507" t="str">
        <f>CL38</f>
        <v>all options</v>
      </c>
      <c r="CM59" s="505"/>
      <c r="CN59" s="505"/>
      <c r="CO59" s="505"/>
      <c r="CP59" s="505"/>
      <c r="CQ59" s="506"/>
      <c r="CT59" s="507" t="str">
        <f>CT38</f>
        <v>all options</v>
      </c>
      <c r="CU59" s="505"/>
      <c r="CV59" s="505"/>
      <c r="CW59" s="505"/>
      <c r="CX59" s="505"/>
      <c r="CY59" s="506"/>
      <c r="DB59" s="507" t="str">
        <f>DB38</f>
        <v>all options</v>
      </c>
      <c r="DC59" s="505"/>
      <c r="DD59" s="505"/>
      <c r="DE59" s="505"/>
      <c r="DF59" s="505"/>
      <c r="DG59" s="506"/>
    </row>
    <row r="60" spans="2:113">
      <c r="B60" s="84"/>
      <c r="C60" s="101">
        <f>C39</f>
        <v>2026</v>
      </c>
      <c r="D60" s="101">
        <f>D39</f>
        <v>2027</v>
      </c>
      <c r="E60" s="101">
        <f>E39</f>
        <v>2028</v>
      </c>
      <c r="F60" s="101">
        <f>F39</f>
        <v>2029</v>
      </c>
      <c r="G60" s="102">
        <f>G39</f>
        <v>2030</v>
      </c>
      <c r="J60" s="84"/>
      <c r="K60" s="101">
        <f>K39</f>
        <v>2026</v>
      </c>
      <c r="L60" s="101">
        <f>L39</f>
        <v>2027</v>
      </c>
      <c r="M60" s="101">
        <f>M39</f>
        <v>2028</v>
      </c>
      <c r="N60" s="101">
        <f>N39</f>
        <v>2029</v>
      </c>
      <c r="O60" s="102">
        <f>O39</f>
        <v>2030</v>
      </c>
      <c r="R60" s="84"/>
      <c r="S60" s="101">
        <f>S39</f>
        <v>2026</v>
      </c>
      <c r="T60" s="101">
        <f>T39</f>
        <v>2027</v>
      </c>
      <c r="U60" s="101">
        <f>U39</f>
        <v>2028</v>
      </c>
      <c r="V60" s="101">
        <f>V39</f>
        <v>2029</v>
      </c>
      <c r="W60" s="102">
        <f>W39</f>
        <v>2030</v>
      </c>
      <c r="Z60" s="84"/>
      <c r="AA60" s="101">
        <f>AA39</f>
        <v>2026</v>
      </c>
      <c r="AB60" s="101">
        <f>AB39</f>
        <v>2027</v>
      </c>
      <c r="AC60" s="101">
        <f>AC39</f>
        <v>2028</v>
      </c>
      <c r="AD60" s="101">
        <f>AD39</f>
        <v>2029</v>
      </c>
      <c r="AE60" s="102">
        <f>AE39</f>
        <v>2030</v>
      </c>
      <c r="AH60" s="84"/>
      <c r="AI60" s="101">
        <f>AI39</f>
        <v>2026</v>
      </c>
      <c r="AJ60" s="101">
        <f>AJ39</f>
        <v>2027</v>
      </c>
      <c r="AK60" s="101">
        <f>AK39</f>
        <v>2028</v>
      </c>
      <c r="AL60" s="101">
        <f>AL39</f>
        <v>2029</v>
      </c>
      <c r="AM60" s="102">
        <f>AM39</f>
        <v>2030</v>
      </c>
      <c r="AP60" s="84"/>
      <c r="AQ60" s="101">
        <f>AQ39</f>
        <v>2026</v>
      </c>
      <c r="AR60" s="101">
        <f>AR39</f>
        <v>2027</v>
      </c>
      <c r="AS60" s="101">
        <f>AS39</f>
        <v>2028</v>
      </c>
      <c r="AT60" s="101">
        <f>AT39</f>
        <v>2029</v>
      </c>
      <c r="AU60" s="102">
        <f>AU39</f>
        <v>2030</v>
      </c>
      <c r="AX60" s="84"/>
      <c r="AY60" s="101">
        <f>AY39</f>
        <v>2026</v>
      </c>
      <c r="AZ60" s="101">
        <f>AZ39</f>
        <v>2027</v>
      </c>
      <c r="BA60" s="101">
        <f>BA39</f>
        <v>2028</v>
      </c>
      <c r="BB60" s="101">
        <f>BB39</f>
        <v>2029</v>
      </c>
      <c r="BC60" s="102">
        <f>BC39</f>
        <v>2030</v>
      </c>
      <c r="BF60" s="84"/>
      <c r="BG60" s="101">
        <f>BG39</f>
        <v>2026</v>
      </c>
      <c r="BH60" s="101">
        <f>BH39</f>
        <v>2027</v>
      </c>
      <c r="BI60" s="101">
        <f>BI39</f>
        <v>2028</v>
      </c>
      <c r="BJ60" s="101">
        <f>BJ39</f>
        <v>2029</v>
      </c>
      <c r="BK60" s="102">
        <f>BK39</f>
        <v>2030</v>
      </c>
      <c r="BN60" s="84"/>
      <c r="BO60" s="101">
        <f>BO39</f>
        <v>2026</v>
      </c>
      <c r="BP60" s="101">
        <f>BP39</f>
        <v>2027</v>
      </c>
      <c r="BQ60" s="101">
        <f>BQ39</f>
        <v>2028</v>
      </c>
      <c r="BR60" s="101">
        <f>BR39</f>
        <v>2029</v>
      </c>
      <c r="BS60" s="102">
        <f>BS39</f>
        <v>2030</v>
      </c>
      <c r="BV60" s="84"/>
      <c r="BW60" s="101">
        <f>BW39</f>
        <v>2026</v>
      </c>
      <c r="BX60" s="101">
        <f>BX39</f>
        <v>2027</v>
      </c>
      <c r="BY60" s="101">
        <f>BY39</f>
        <v>2028</v>
      </c>
      <c r="BZ60" s="101">
        <f>BZ39</f>
        <v>2029</v>
      </c>
      <c r="CA60" s="102">
        <f>CA39</f>
        <v>2030</v>
      </c>
      <c r="CD60" s="84"/>
      <c r="CE60" s="101">
        <f>CE39</f>
        <v>2026</v>
      </c>
      <c r="CF60" s="101">
        <f>CF39</f>
        <v>2027</v>
      </c>
      <c r="CG60" s="101">
        <f>CG39</f>
        <v>2028</v>
      </c>
      <c r="CH60" s="101">
        <f>CH39</f>
        <v>2029</v>
      </c>
      <c r="CI60" s="102">
        <f>CI39</f>
        <v>2030</v>
      </c>
      <c r="CL60" s="84"/>
      <c r="CM60" s="101">
        <f>CM39</f>
        <v>2026</v>
      </c>
      <c r="CN60" s="101">
        <f>CN39</f>
        <v>2027</v>
      </c>
      <c r="CO60" s="101">
        <f>CO39</f>
        <v>2028</v>
      </c>
      <c r="CP60" s="101">
        <f>CP39</f>
        <v>2029</v>
      </c>
      <c r="CQ60" s="102">
        <f>CQ39</f>
        <v>2030</v>
      </c>
      <c r="CT60" s="84"/>
      <c r="CU60" s="101">
        <f>CU39</f>
        <v>2026</v>
      </c>
      <c r="CV60" s="101">
        <f>CV39</f>
        <v>2027</v>
      </c>
      <c r="CW60" s="101">
        <f>CW39</f>
        <v>2028</v>
      </c>
      <c r="CX60" s="101">
        <f>CX39</f>
        <v>2029</v>
      </c>
      <c r="CY60" s="102">
        <f>CY39</f>
        <v>2030</v>
      </c>
      <c r="DB60" s="84"/>
      <c r="DC60" s="101">
        <f>DC39</f>
        <v>2026</v>
      </c>
      <c r="DD60" s="101">
        <f>DD39</f>
        <v>2027</v>
      </c>
      <c r="DE60" s="101">
        <f>DE39</f>
        <v>2028</v>
      </c>
      <c r="DF60" s="101">
        <f>DF39</f>
        <v>2029</v>
      </c>
      <c r="DG60" s="102">
        <f>DG39</f>
        <v>2030</v>
      </c>
    </row>
    <row r="61" spans="2:113" s="83" customFormat="1" ht="15" thickBot="1">
      <c r="B61" s="386"/>
      <c r="C61" s="388">
        <f ca="1">(C19*ci_int1)+(C19*ct_int1*'Time on treatment'!$D$12)</f>
        <v>9261678.4026258253</v>
      </c>
      <c r="D61" s="388">
        <f ca="1">((D19-C19)*ci_int1)+(D19*ct_int1*'Time on treatment'!$D$12)</f>
        <v>18675285.386527129</v>
      </c>
      <c r="E61" s="388">
        <f ca="1">((E19-(D19-C19)-C19)*ci_int1)+(E19*ct_int1*'Time on treatment'!$D$12)</f>
        <v>28231271.907556493</v>
      </c>
      <c r="F61" s="388">
        <f ca="1">((F19-(E19-D19)-(D19-C19)-C19)*ci_int1)+(F19*ct_int1*'Time on treatment'!$D$12)</f>
        <v>37933512.773649275</v>
      </c>
      <c r="G61" s="389">
        <f ca="1">((G19-(F19-E19)-(E19-D19)-(D19-C19)-C19)*ci_int1)+(G19*ct_int1*'Time on treatment'!$D$12)</f>
        <v>47783659.919884361</v>
      </c>
      <c r="H61" s="77"/>
      <c r="I61" s="77"/>
      <c r="J61" s="386"/>
      <c r="K61" s="388">
        <f ca="1">(K19*ci_int2)+(K19*ct_int2*'Time on treatment'!$D$12)</f>
        <v>18432096.591963455</v>
      </c>
      <c r="L61" s="388">
        <f ca="1">((L19-K19)*ci_int2)+(L19*ct_int2*'Time on treatment'!$D$12)</f>
        <v>37166553.313852787</v>
      </c>
      <c r="M61" s="388">
        <f ca="1">((M19-(L19-K19)-K19)*ci_int2)+(M19*ct_int2*'Time on treatment'!$D$12)</f>
        <v>56184366.169153035</v>
      </c>
      <c r="N61" s="388">
        <f ca="1">((N19-(M19-L19)-(L19-K19)-K19)*ci_int2)+(N19*ct_int2*'Time on treatment'!$D$12)</f>
        <v>75493246.593203992</v>
      </c>
      <c r="O61" s="389">
        <f ca="1">((O19-(N19-M19)-(M19-L19)-(L19-K19)-K19)*ci_int2)+(O19*ct_int2*'Time on treatment'!$D$12)</f>
        <v>95096482.178773835</v>
      </c>
      <c r="P61" s="77"/>
      <c r="Q61" s="77"/>
      <c r="R61" s="386"/>
      <c r="S61" s="388">
        <f ca="1">(S19*ci_int3)+(S19*ct_int3*'Time on treatment'!$D$12)</f>
        <v>8812776.8129379638</v>
      </c>
      <c r="T61" s="388">
        <f ca="1">((T19-S19)*ci_int3)+(T19*ct_int3*'Time on treatment'!$D$12)</f>
        <v>17770118.425049644</v>
      </c>
      <c r="U61" s="388">
        <f ca="1">((U19-(T19-S19)-S19)*ci_int3)+(U19*ct_int3*'Time on treatment'!$D$12)</f>
        <v>26862938.622023791</v>
      </c>
      <c r="V61" s="388">
        <f ca="1">((V19-(U19-T19)-(T19-S19)-S19)*ci_int3)+(V19*ct_int3*'Time on treatment'!$D$12)</f>
        <v>36094924.404859878</v>
      </c>
      <c r="W61" s="389">
        <f ca="1">((W19-(V19-U19)-(U19-T19)-(T19-S19)-S19)*ci_int3)+(W19*ct_int3*'Time on treatment'!$D$12)</f>
        <v>45467647.641477168</v>
      </c>
      <c r="X61" s="77"/>
      <c r="Y61" s="77"/>
      <c r="Z61" s="386"/>
      <c r="AA61" s="388">
        <f ca="1">(AA19*ci_int4)+(AA19*ct_int4*'Time on treatment'!$D$12)</f>
        <v>9776353.1190078706</v>
      </c>
      <c r="AB61" s="388">
        <f ca="1">((AB19-AA19)*ci_int4)+(AB19*ct_int4*'Time on treatment'!$D$12)</f>
        <v>19713077.543825485</v>
      </c>
      <c r="AC61" s="388">
        <f ca="1">((AC19-(AB19-AA19)-AA19)*ci_int4)+(AC19*ct_int4*'Time on treatment'!$D$12)</f>
        <v>29800093.586573832</v>
      </c>
      <c r="AD61" s="388">
        <f ca="1">((AD19-(AC19-AB19)-(AB19-AA19)-AA19)*ci_int4)+(AD19*ct_int4*'Time on treatment'!$D$12)</f>
        <v>40041491.379623927</v>
      </c>
      <c r="AE61" s="389">
        <f ca="1">((AE19-(AD19-AC19)-(AC19-AB19)-(AB19-AA19)-AA19)*ci_int4)+(AE19*ct_int4*'Time on treatment'!$D$12)</f>
        <v>50439014.656666219</v>
      </c>
      <c r="AF61" s="77"/>
      <c r="AG61" s="77"/>
      <c r="AH61" s="386"/>
      <c r="AI61" s="388">
        <f ca="1">(AI19*ci_comp1)+(AI19*ct_comp1*'Time on treatment'!$D$12)</f>
        <v>1311279.6090853959</v>
      </c>
      <c r="AJ61" s="388">
        <f ca="1">((AJ19-AI19)*ci_comp1)+(AJ19*ct_comp1*'Time on treatment'!$D$12)</f>
        <v>1175141.9778303604</v>
      </c>
      <c r="AK61" s="388">
        <f ca="1">((AK19-(AJ19-AI19)-AI19)*ci_comp1)+(AK19*ct_comp1*'Time on treatment'!$D$12)</f>
        <v>1036263.8113075627</v>
      </c>
      <c r="AL61" s="388">
        <f ca="1">((AL19-(AK19-AJ19)-(AJ19-AI19)-AI19)*ci_comp1)+(AL19*ct_comp1*'Time on treatment'!$D$12)</f>
        <v>895112.08873624634</v>
      </c>
      <c r="AM61" s="389">
        <f ca="1">((AM19-(AL19-AK19)-(AK19-AJ19)-(AJ19-AI19)-AI19)*ci_comp1)+(AM19*ct_comp1*'Time on treatment'!$D$12)</f>
        <v>751696.47295907279</v>
      </c>
      <c r="AN61" s="77"/>
      <c r="AO61" s="77"/>
      <c r="AP61" s="386"/>
      <c r="AQ61" s="388">
        <f ca="1">(AQ19*ci_comp2)+(AQ19*ct_comp2*'Time on treatment'!$D$12)</f>
        <v>9865489.4497679938</v>
      </c>
      <c r="AR61" s="388">
        <f ca="1">((AR19-AQ19)*ci_comp2)+(AR19*ct_comp2*'Time on treatment'!$D$12)</f>
        <v>8841249.9545776956</v>
      </c>
      <c r="AS61" s="388">
        <f ca="1">((AS19-(AR19-AQ19)-AQ19)*ci_comp2)+(AS19*ct_comp2*'Time on treatment'!$D$12)</f>
        <v>7796391.8807230927</v>
      </c>
      <c r="AT61" s="388">
        <f ca="1">((AT19-(AS19-AR19)-(AR19-AQ19)-AQ19)*ci_comp2)+(AT19*ct_comp2*'Time on treatment'!$D$12)</f>
        <v>6734428.5738924639</v>
      </c>
      <c r="AU61" s="389">
        <f ca="1">((AU19-(AT19-AS19)-(AS19-AR19)-(AR19-AQ19)-AQ19)*ci_comp2)+(AU19*ct_comp2*'Time on treatment'!$D$12)</f>
        <v>5655432.7330522807</v>
      </c>
      <c r="AV61" s="77"/>
      <c r="AW61" s="77"/>
      <c r="AX61" s="386"/>
      <c r="AY61" s="388">
        <f ca="1">(AY19*ci_comp3)+(AY19*ct_comp3*'Time on treatment'!$D$12)</f>
        <v>54317817.638895214</v>
      </c>
      <c r="AZ61" s="388">
        <f ca="1">((AZ19-AY19)*ci_comp3)+(AZ19*ct_comp3*'Time on treatment'!$D$12)</f>
        <v>48678517.693203315</v>
      </c>
      <c r="BA61" s="388">
        <f ca="1">((BA19-(AZ19-AY19)-AY19)*ci_comp3)+(BA19*ct_comp3*'Time on treatment'!$D$12)</f>
        <v>42925695.128936484</v>
      </c>
      <c r="BB61" s="388">
        <f ca="1">((BB19-(BA19-AZ19)-(AZ19-AY19)-AY19)*ci_comp3)+(BB19*ct_comp3*'Time on treatment'!$D$12)</f>
        <v>37078693.869310103</v>
      </c>
      <c r="BC61" s="389">
        <f ca="1">((BC19-(BB19-BA19)-(BA19-AZ19)-(AZ19-AY19)-AY19)*ci_comp3)+(BC19*ct_comp3*'Time on treatment'!$D$12)</f>
        <v>31137914.183284309</v>
      </c>
      <c r="BD61" s="77"/>
      <c r="BE61" s="77"/>
      <c r="BF61" s="386"/>
      <c r="BG61" s="388">
        <f ca="1">(BG19*ci_comp4)+(BG19*ct_comp4*'Time on treatment'!$D$12)</f>
        <v>10352103.395284122</v>
      </c>
      <c r="BH61" s="388">
        <f ca="1">((BH19-BG19)*ci_comp4)+(BH19*ct_comp4*'Time on treatment'!$D$12)</f>
        <v>9277343.4242020063</v>
      </c>
      <c r="BI61" s="388">
        <f ca="1">((BI19-(BH19-BG19)-BG19)*ci_comp4)+(BI19*ct_comp4*'Time on treatment'!$D$12)</f>
        <v>8180947.8658250589</v>
      </c>
      <c r="BJ61" s="388">
        <f ca="1">((BJ19-(BI19-BH19)-(BH19-BG19)-BG19)*ci_comp4)+(BJ19*ct_comp4*'Time on treatment'!$D$12)</f>
        <v>7066603.3611469809</v>
      </c>
      <c r="BK61" s="389">
        <f ca="1">((BK19-(BJ19-BI19)-(BI19-BH19)-(BH19-BG19)-BG19)*ci_comp4)+(BK19*ct_comp4*'Time on treatment'!$D$12)</f>
        <v>5934386.1950010285</v>
      </c>
      <c r="BL61" s="77"/>
      <c r="BM61" s="77"/>
      <c r="BN61" s="386"/>
      <c r="BO61" s="388">
        <f ca="1">(BO19*ci_comp5)+(BO19*ct_comp5*'Time on treatment'!$D$12)</f>
        <v>1042638.2635894753</v>
      </c>
      <c r="BP61" s="388">
        <f ca="1">((BP19-BO19)*ci_comp5)+(BP19*ct_comp5*'Time on treatment'!$D$12)</f>
        <v>1051189.9831204498</v>
      </c>
      <c r="BQ61" s="388">
        <f ca="1">((BQ19-(BP19-BO19)-BO19)*ci_comp5)+(BQ19*ct_comp5*'Time on treatment'!$D$12)</f>
        <v>1059383.373114164</v>
      </c>
      <c r="BR61" s="388">
        <f ca="1">((BR19-(BQ19-BP19)-(BP19-BO19)-BO19)*ci_comp5)+(BR19*ct_comp5*'Time on treatment'!$D$12)</f>
        <v>1067596.2328532587</v>
      </c>
      <c r="BS61" s="389">
        <f ca="1">((BS19-(BR19-BQ19)-(BQ19-BP19)-(BP19-BO19)-BO19)*ci_comp5)+(BS19*ct_comp5*'Time on treatment'!$D$12)</f>
        <v>1075854.0739806562</v>
      </c>
      <c r="BT61" s="77"/>
      <c r="BU61" s="77"/>
      <c r="BV61" s="386"/>
      <c r="BW61" s="388">
        <f ca="1">(BW19*ci_comp6)+(BW19*ct_comp6*'Time on treatment'!$D$12)</f>
        <v>38488.78478449375</v>
      </c>
      <c r="BX61" s="388">
        <f ca="1">((BX19-BW19)*ci_comp6)+(BX19*ct_comp6*'Time on treatment'!$D$12)</f>
        <v>34492.862058218379</v>
      </c>
      <c r="BY61" s="388">
        <f ca="1">((BY19-(BX19-BW19)-BW19)*ci_comp6)+(BY19*ct_comp6*'Time on treatment'!$D$12)</f>
        <v>30416.498919856684</v>
      </c>
      <c r="BZ61" s="388">
        <f ca="1">((BZ19-(BY19-BX19)-(BX19-BW19)-BW19)*ci_comp6)+(BZ19*ct_comp6*'Time on treatment'!$D$12)</f>
        <v>26273.402181093799</v>
      </c>
      <c r="CA61" s="389">
        <f ca="1">((CA19-(BZ19-BY19)-(BY19-BX19)-(BX19-BW19)-BW19)*ci_comp6)+(CA19*ct_comp6*'Time on treatment'!$D$12)</f>
        <v>22063.855466466437</v>
      </c>
      <c r="CB61" s="77"/>
      <c r="CC61" s="77"/>
      <c r="CD61" s="386"/>
      <c r="CE61" s="388">
        <f ca="1">(CE19*ci_comp7)+(CE19*ct_comp7*'Time on treatment'!$D$12)</f>
        <v>2779199.1467679399</v>
      </c>
      <c r="CF61" s="388">
        <f ca="1">((CF19-CE19)*ci_comp7)+(CF19*ct_comp7*'Time on treatment'!$D$12)</f>
        <v>2490661.4573190054</v>
      </c>
      <c r="CG61" s="388">
        <f ca="1">((CG19-(CF19-CE19)-CE19)*ci_comp7)+(CG19*ct_comp7*'Time on treatment'!$D$12)</f>
        <v>2196315.3245563176</v>
      </c>
      <c r="CH61" s="388">
        <f ca="1">((CH19-(CG19-CF19)-(CF19-CE19)-CE19)*ci_comp7)+(CH19*ct_comp7*'Time on treatment'!$D$12)</f>
        <v>1897150.4902852764</v>
      </c>
      <c r="CI61" s="389">
        <f ca="1">((CI19-(CH19-CG19)-(CG19-CF19)-(CF19-CE19)-CE19)*ci_comp7)+(CI19*ct_comp7*'Time on treatment'!$D$12)</f>
        <v>1593187.4344736142</v>
      </c>
      <c r="CJ61" s="77"/>
      <c r="CK61" s="77"/>
      <c r="CL61" s="386"/>
      <c r="CM61" s="388">
        <f ca="1">(CM19*ci_comp8)+(CM19*ct_comp8*'Time on treatment'!$D$12)</f>
        <v>11908604.566659126</v>
      </c>
      <c r="CN61" s="388">
        <f ca="1">((CN19-CM19)*ci_comp8)+(CN19*ct_comp8*'Time on treatment'!$D$12)</f>
        <v>10672247.952840775</v>
      </c>
      <c r="CO61" s="388">
        <f ca="1">((CO19-(CN19-CM19)-CM19)*ci_comp8)+(CO19*ct_comp8*'Time on treatment'!$D$12)</f>
        <v>9411002.7107095607</v>
      </c>
      <c r="CP61" s="388">
        <f ca="1">((CP19-(CO19-CN19)-(CN19-CM19)-CM19)*ci_comp8)+(CP19*ct_comp8*'Time on treatment'!$D$12)</f>
        <v>8129109.7899639942</v>
      </c>
      <c r="CQ61" s="389">
        <f ca="1">((CQ19-(CP19-CO19)-(CO19-CN19)-(CN19-CM19)-CM19)*ci_comp8)+(CQ19*ct_comp8*'Time on treatment'!$D$12)</f>
        <v>6826656.9453220284</v>
      </c>
      <c r="CR61" s="77"/>
      <c r="CS61" s="77"/>
      <c r="CT61" s="386"/>
      <c r="CU61" s="388">
        <f ca="1">(CU19*ci_comp9)+(CU19*ct_comp9*'Time on treatment'!$D$12)</f>
        <v>25400559.249601152</v>
      </c>
      <c r="CV61" s="388">
        <f ca="1">((CV19-CU19)*ci_comp9)+(CV19*ct_comp9*'Time on treatment'!$D$12)</f>
        <v>22759953.382149894</v>
      </c>
      <c r="CW61" s="388">
        <f ca="1">((CW19-(CV19-CU19)-CU19)*ci_comp9)+(CW19*ct_comp9*'Time on treatment'!$D$12)</f>
        <v>20066206.409859173</v>
      </c>
      <c r="CX61" s="388">
        <f ca="1">((CX19-(CW19-CV19)-(CV19-CU19)-CU19)*ci_comp9)+(CX19*ct_comp9*'Time on treatment'!$D$12)</f>
        <v>17328363.907455623</v>
      </c>
      <c r="CY61" s="389">
        <f ca="1">((CY19-(CX19-CW19)-(CW19-CV19)-(CV19-CU19)-CU19)*ci_comp9)+(CY19*ct_comp9*'Time on treatment'!$D$12)</f>
        <v>14546612.516561389</v>
      </c>
      <c r="CZ61" s="77"/>
      <c r="DA61" s="77"/>
      <c r="DB61" s="386"/>
      <c r="DC61" s="388">
        <f ca="1">(DC19*ci_comp10)+(DC19*ct_comp10*'Time on treatment'!$D$12)</f>
        <v>0</v>
      </c>
      <c r="DD61" s="388">
        <f ca="1">((DD19-DC19)*ci_comp10)+(DD19*ct_comp10*'Time on treatment'!$D$12)</f>
        <v>0</v>
      </c>
      <c r="DE61" s="388">
        <f ca="1">((DE19-(DD19-DC19)-DC19)*ci_comp10)+(DE19*ct_comp10*'Time on treatment'!$D$12)</f>
        <v>0</v>
      </c>
      <c r="DF61" s="388">
        <f ca="1">((DF19-(DE19-DD19)-(DD19-DC19)-DC19)*ci_comp10)+(DF19*ct_comp10*'Time on treatment'!$D$12)</f>
        <v>0</v>
      </c>
      <c r="DG61" s="389">
        <f ca="1">((DG19-(DF19-DE19)-(DE19-DD19)-(DD19-DC19)-DC19)*ci_comp10)+(DG19*ct_comp10*'Time on treatment'!$D$12)</f>
        <v>0</v>
      </c>
      <c r="DH61" s="77"/>
      <c r="DI61" s="77"/>
    </row>
    <row r="62" spans="2:113" ht="15" thickBot="1">
      <c r="B62" s="83"/>
      <c r="C62" s="86"/>
      <c r="D62" s="86"/>
      <c r="E62" s="86"/>
      <c r="F62" s="86"/>
      <c r="G62" s="86"/>
      <c r="J62" s="83"/>
      <c r="K62" s="86"/>
      <c r="L62" s="86"/>
      <c r="M62" s="86"/>
      <c r="N62" s="86"/>
      <c r="O62" s="86"/>
      <c r="R62" s="83"/>
      <c r="S62" s="86"/>
      <c r="T62" s="86"/>
      <c r="U62" s="86"/>
      <c r="V62" s="86"/>
      <c r="W62" s="86"/>
      <c r="Z62" s="83"/>
      <c r="AA62" s="86"/>
      <c r="AB62" s="86"/>
      <c r="AC62" s="86"/>
      <c r="AD62" s="86"/>
      <c r="AE62" s="86"/>
      <c r="AH62" s="83"/>
      <c r="AI62" s="86"/>
      <c r="AJ62" s="86"/>
      <c r="AK62" s="86"/>
      <c r="AL62" s="86"/>
      <c r="AM62" s="86"/>
      <c r="AP62" s="83"/>
      <c r="AQ62" s="86"/>
      <c r="AR62" s="86"/>
      <c r="AS62" s="86"/>
      <c r="AT62" s="86"/>
      <c r="AU62" s="86"/>
      <c r="AX62" s="83"/>
      <c r="AY62" s="86"/>
      <c r="AZ62" s="86"/>
      <c r="BA62" s="86"/>
      <c r="BB62" s="86"/>
      <c r="BC62" s="86"/>
      <c r="BF62" s="83"/>
      <c r="BG62" s="86"/>
      <c r="BH62" s="86"/>
      <c r="BI62" s="86"/>
      <c r="BJ62" s="86"/>
      <c r="BK62" s="86"/>
      <c r="BN62" s="83"/>
      <c r="BO62" s="86"/>
      <c r="BP62" s="86"/>
      <c r="BQ62" s="86"/>
      <c r="BR62" s="86"/>
      <c r="BS62" s="86"/>
      <c r="BV62" s="83"/>
      <c r="BW62" s="86"/>
      <c r="BX62" s="86"/>
      <c r="BY62" s="86"/>
      <c r="BZ62" s="86"/>
      <c r="CA62" s="86"/>
      <c r="CD62" s="83"/>
      <c r="CE62" s="86"/>
      <c r="CF62" s="86"/>
      <c r="CG62" s="86"/>
      <c r="CH62" s="86"/>
      <c r="CI62" s="86"/>
      <c r="CL62" s="83"/>
      <c r="CM62" s="86"/>
      <c r="CN62" s="86"/>
      <c r="CO62" s="86"/>
      <c r="CP62" s="86"/>
      <c r="CQ62" s="86"/>
      <c r="CT62" s="83"/>
      <c r="CU62" s="86"/>
      <c r="CV62" s="86"/>
      <c r="CW62" s="86"/>
      <c r="CX62" s="86"/>
      <c r="CY62" s="86"/>
      <c r="DB62" s="83"/>
      <c r="DC62" s="86"/>
      <c r="DD62" s="86"/>
      <c r="DE62" s="86"/>
      <c r="DF62" s="86"/>
      <c r="DG62" s="86"/>
    </row>
    <row r="63" spans="2:113" ht="15" thickBot="1">
      <c r="B63" s="507" t="str">
        <f>B42</f>
        <v>high intensity only</v>
      </c>
      <c r="C63" s="505"/>
      <c r="D63" s="505"/>
      <c r="E63" s="505"/>
      <c r="F63" s="505"/>
      <c r="G63" s="506"/>
      <c r="J63" s="507" t="str">
        <f>J42</f>
        <v>high intensity only</v>
      </c>
      <c r="K63" s="505"/>
      <c r="L63" s="505"/>
      <c r="M63" s="505"/>
      <c r="N63" s="505"/>
      <c r="O63" s="506"/>
      <c r="R63" s="507" t="str">
        <f>R42</f>
        <v>high intensity only</v>
      </c>
      <c r="S63" s="505"/>
      <c r="T63" s="505"/>
      <c r="U63" s="505"/>
      <c r="V63" s="505"/>
      <c r="W63" s="506"/>
      <c r="Z63" s="507" t="str">
        <f>Z42</f>
        <v>high intensity only</v>
      </c>
      <c r="AA63" s="505"/>
      <c r="AB63" s="505"/>
      <c r="AC63" s="505"/>
      <c r="AD63" s="505"/>
      <c r="AE63" s="506"/>
      <c r="AH63" s="507" t="str">
        <f>AH42</f>
        <v>high intensity only</v>
      </c>
      <c r="AI63" s="505"/>
      <c r="AJ63" s="505"/>
      <c r="AK63" s="505"/>
      <c r="AL63" s="505"/>
      <c r="AM63" s="506"/>
      <c r="AP63" s="507" t="str">
        <f>AP42</f>
        <v>high intensity only</v>
      </c>
      <c r="AQ63" s="505"/>
      <c r="AR63" s="505"/>
      <c r="AS63" s="505"/>
      <c r="AT63" s="505"/>
      <c r="AU63" s="506"/>
      <c r="AX63" s="507" t="str">
        <f>AX42</f>
        <v>high intensity only</v>
      </c>
      <c r="AY63" s="505"/>
      <c r="AZ63" s="505"/>
      <c r="BA63" s="505"/>
      <c r="BB63" s="505"/>
      <c r="BC63" s="506"/>
      <c r="BF63" s="507" t="str">
        <f>BF42</f>
        <v>high intensity only</v>
      </c>
      <c r="BG63" s="505"/>
      <c r="BH63" s="505"/>
      <c r="BI63" s="505"/>
      <c r="BJ63" s="505"/>
      <c r="BK63" s="506"/>
      <c r="BN63" s="507" t="str">
        <f>BN42</f>
        <v>high intensity only</v>
      </c>
      <c r="BO63" s="505"/>
      <c r="BP63" s="505"/>
      <c r="BQ63" s="505"/>
      <c r="BR63" s="505"/>
      <c r="BS63" s="506"/>
      <c r="BV63" s="507" t="str">
        <f>BV42</f>
        <v>high intensity only</v>
      </c>
      <c r="BW63" s="505"/>
      <c r="BX63" s="505"/>
      <c r="BY63" s="505"/>
      <c r="BZ63" s="505"/>
      <c r="CA63" s="506"/>
      <c r="CD63" s="507" t="str">
        <f>CD42</f>
        <v>high intensity only</v>
      </c>
      <c r="CE63" s="505"/>
      <c r="CF63" s="505"/>
      <c r="CG63" s="505"/>
      <c r="CH63" s="505"/>
      <c r="CI63" s="506"/>
      <c r="CL63" s="507" t="str">
        <f>CL42</f>
        <v>high intensity only</v>
      </c>
      <c r="CM63" s="505"/>
      <c r="CN63" s="505"/>
      <c r="CO63" s="505"/>
      <c r="CP63" s="505"/>
      <c r="CQ63" s="506"/>
      <c r="CT63" s="507" t="str">
        <f>CT42</f>
        <v>high intensity only</v>
      </c>
      <c r="CU63" s="505"/>
      <c r="CV63" s="505"/>
      <c r="CW63" s="505"/>
      <c r="CX63" s="505"/>
      <c r="CY63" s="506"/>
      <c r="DB63" s="507" t="str">
        <f>DB42</f>
        <v>high intensity only</v>
      </c>
      <c r="DC63" s="505"/>
      <c r="DD63" s="505"/>
      <c r="DE63" s="505"/>
      <c r="DF63" s="505"/>
      <c r="DG63" s="506"/>
    </row>
    <row r="64" spans="2:113">
      <c r="B64" s="84"/>
      <c r="C64" s="101">
        <f>C43</f>
        <v>2026</v>
      </c>
      <c r="D64" s="101">
        <f>D43</f>
        <v>2027</v>
      </c>
      <c r="E64" s="101">
        <f>E43</f>
        <v>2028</v>
      </c>
      <c r="F64" s="101">
        <f>F43</f>
        <v>2029</v>
      </c>
      <c r="G64" s="102">
        <f>G43</f>
        <v>2030</v>
      </c>
      <c r="J64" s="84"/>
      <c r="K64" s="101">
        <f>K43</f>
        <v>2026</v>
      </c>
      <c r="L64" s="101">
        <f>L43</f>
        <v>2027</v>
      </c>
      <c r="M64" s="101">
        <f>M43</f>
        <v>2028</v>
      </c>
      <c r="N64" s="101">
        <f>N43</f>
        <v>2029</v>
      </c>
      <c r="O64" s="102">
        <f>O43</f>
        <v>2030</v>
      </c>
      <c r="R64" s="84"/>
      <c r="S64" s="101">
        <f>S43</f>
        <v>2026</v>
      </c>
      <c r="T64" s="101">
        <f>T43</f>
        <v>2027</v>
      </c>
      <c r="U64" s="101">
        <f>U43</f>
        <v>2028</v>
      </c>
      <c r="V64" s="101">
        <f>V43</f>
        <v>2029</v>
      </c>
      <c r="W64" s="102">
        <f>W43</f>
        <v>2030</v>
      </c>
      <c r="Z64" s="84"/>
      <c r="AA64" s="101">
        <f>AA43</f>
        <v>2026</v>
      </c>
      <c r="AB64" s="101">
        <f>AB43</f>
        <v>2027</v>
      </c>
      <c r="AC64" s="101">
        <f>AC43</f>
        <v>2028</v>
      </c>
      <c r="AD64" s="101">
        <f>AD43</f>
        <v>2029</v>
      </c>
      <c r="AE64" s="102">
        <f>AE43</f>
        <v>2030</v>
      </c>
      <c r="AH64" s="84"/>
      <c r="AI64" s="101">
        <f>AI43</f>
        <v>2026</v>
      </c>
      <c r="AJ64" s="101">
        <f>AJ43</f>
        <v>2027</v>
      </c>
      <c r="AK64" s="101">
        <f>AK43</f>
        <v>2028</v>
      </c>
      <c r="AL64" s="101">
        <f>AL43</f>
        <v>2029</v>
      </c>
      <c r="AM64" s="102">
        <f>AM43</f>
        <v>2030</v>
      </c>
      <c r="AP64" s="84"/>
      <c r="AQ64" s="101">
        <f>AQ43</f>
        <v>2026</v>
      </c>
      <c r="AR64" s="101">
        <f>AR43</f>
        <v>2027</v>
      </c>
      <c r="AS64" s="101">
        <f>AS43</f>
        <v>2028</v>
      </c>
      <c r="AT64" s="101">
        <f>AT43</f>
        <v>2029</v>
      </c>
      <c r="AU64" s="102">
        <f>AU43</f>
        <v>2030</v>
      </c>
      <c r="AX64" s="84"/>
      <c r="AY64" s="101">
        <f>AY43</f>
        <v>2026</v>
      </c>
      <c r="AZ64" s="101">
        <f>AZ43</f>
        <v>2027</v>
      </c>
      <c r="BA64" s="101">
        <f>BA43</f>
        <v>2028</v>
      </c>
      <c r="BB64" s="101">
        <f>BB43</f>
        <v>2029</v>
      </c>
      <c r="BC64" s="102">
        <f>BC43</f>
        <v>2030</v>
      </c>
      <c r="BF64" s="84"/>
      <c r="BG64" s="101">
        <f>BG43</f>
        <v>2026</v>
      </c>
      <c r="BH64" s="101">
        <f>BH43</f>
        <v>2027</v>
      </c>
      <c r="BI64" s="101">
        <f>BI43</f>
        <v>2028</v>
      </c>
      <c r="BJ64" s="101">
        <f>BJ43</f>
        <v>2029</v>
      </c>
      <c r="BK64" s="102">
        <f>BK43</f>
        <v>2030</v>
      </c>
      <c r="BN64" s="84"/>
      <c r="BO64" s="101">
        <f>BO43</f>
        <v>2026</v>
      </c>
      <c r="BP64" s="101">
        <f>BP43</f>
        <v>2027</v>
      </c>
      <c r="BQ64" s="101">
        <f>BQ43</f>
        <v>2028</v>
      </c>
      <c r="BR64" s="101">
        <f>BR43</f>
        <v>2029</v>
      </c>
      <c r="BS64" s="102">
        <f>BS43</f>
        <v>2030</v>
      </c>
      <c r="BV64" s="84"/>
      <c r="BW64" s="101">
        <f>BW43</f>
        <v>2026</v>
      </c>
      <c r="BX64" s="101">
        <f>BX43</f>
        <v>2027</v>
      </c>
      <c r="BY64" s="101">
        <f>BY43</f>
        <v>2028</v>
      </c>
      <c r="BZ64" s="101">
        <f>BZ43</f>
        <v>2029</v>
      </c>
      <c r="CA64" s="102">
        <f>CA43</f>
        <v>2030</v>
      </c>
      <c r="CD64" s="84"/>
      <c r="CE64" s="101">
        <f>CE43</f>
        <v>2026</v>
      </c>
      <c r="CF64" s="101">
        <f>CF43</f>
        <v>2027</v>
      </c>
      <c r="CG64" s="101">
        <f>CG43</f>
        <v>2028</v>
      </c>
      <c r="CH64" s="101">
        <f>CH43</f>
        <v>2029</v>
      </c>
      <c r="CI64" s="102">
        <f>CI43</f>
        <v>2030</v>
      </c>
      <c r="CL64" s="84"/>
      <c r="CM64" s="101">
        <f>CM43</f>
        <v>2026</v>
      </c>
      <c r="CN64" s="101">
        <f>CN43</f>
        <v>2027</v>
      </c>
      <c r="CO64" s="101">
        <f>CO43</f>
        <v>2028</v>
      </c>
      <c r="CP64" s="101">
        <f>CP43</f>
        <v>2029</v>
      </c>
      <c r="CQ64" s="102">
        <f>CQ43</f>
        <v>2030</v>
      </c>
      <c r="CT64" s="84"/>
      <c r="CU64" s="101">
        <f>CU43</f>
        <v>2026</v>
      </c>
      <c r="CV64" s="101">
        <f>CV43</f>
        <v>2027</v>
      </c>
      <c r="CW64" s="101">
        <f>CW43</f>
        <v>2028</v>
      </c>
      <c r="CX64" s="101">
        <f>CX43</f>
        <v>2029</v>
      </c>
      <c r="CY64" s="102">
        <f>CY43</f>
        <v>2030</v>
      </c>
      <c r="DB64" s="84"/>
      <c r="DC64" s="101">
        <f>DC43</f>
        <v>2026</v>
      </c>
      <c r="DD64" s="101">
        <f>DD43</f>
        <v>2027</v>
      </c>
      <c r="DE64" s="101">
        <f>DE43</f>
        <v>2028</v>
      </c>
      <c r="DF64" s="101">
        <f>DF43</f>
        <v>2029</v>
      </c>
      <c r="DG64" s="102">
        <f>DG43</f>
        <v>2030</v>
      </c>
    </row>
    <row r="65" spans="2:113" s="83" customFormat="1" ht="15" thickBot="1">
      <c r="B65" s="386"/>
      <c r="C65" s="388">
        <f ca="1">(C23*ci_int1)+(C23*ct_int1*'Time on treatment'!$D$12)</f>
        <v>0</v>
      </c>
      <c r="D65" s="388">
        <f ca="1">((D23-C23)*ci_int1)+(D23*ct_int1*'Time on treatment'!$D$12)</f>
        <v>0</v>
      </c>
      <c r="E65" s="388">
        <f ca="1">((E23-(D23-C23)-C23)*ci_int1)+(E23*ct_int1*'Time on treatment'!$D$12)</f>
        <v>0</v>
      </c>
      <c r="F65" s="388">
        <f ca="1">((F23-(E23-D23)-(D23-C23)-C23)*ci_int1)+(F23*ct_int1*'Time on treatment'!$D$12)</f>
        <v>0</v>
      </c>
      <c r="G65" s="389">
        <f ca="1">((G23-(F23-E23)-(E23-D23)-(D23-C23)-C23)*ci_int1)+(G23*ct_int1*'Time on treatment'!$D$12)</f>
        <v>0</v>
      </c>
      <c r="H65" s="77"/>
      <c r="I65" s="77"/>
      <c r="J65" s="386"/>
      <c r="K65" s="388">
        <f ca="1">(K23*ci_int2)+(K23*ct_int2*'Time on treatment'!$D$12)</f>
        <v>0</v>
      </c>
      <c r="L65" s="388">
        <f ca="1">((L23-K23)*ci_int2)+(L23*ct_int2*'Time on treatment'!$D$12)</f>
        <v>0</v>
      </c>
      <c r="M65" s="388">
        <f ca="1">((M23-(L23-K23)-K23)*ci_int2)+(M23*ct_int2*'Time on treatment'!$D$12)</f>
        <v>0</v>
      </c>
      <c r="N65" s="388">
        <f ca="1">((N23-(M23-L23)-(L23-K23)-K23)*ci_int2)+(N23*ct_int2*'Time on treatment'!$D$12)</f>
        <v>0</v>
      </c>
      <c r="O65" s="389">
        <f ca="1">((O23-(N23-M23)-(M23-L23)-(L23-K23)-K23)*ci_int2)+(O23*ct_int2*'Time on treatment'!$D$12)</f>
        <v>0</v>
      </c>
      <c r="P65" s="77"/>
      <c r="Q65" s="77"/>
      <c r="R65" s="386"/>
      <c r="S65" s="388">
        <f ca="1">(S23*ci_int3)+(S23*ct_int3*'Time on treatment'!$D$12)</f>
        <v>29769516.979841314</v>
      </c>
      <c r="T65" s="388">
        <f ca="1">((T23-S23)*ci_int3)+(T23*ct_int3*'Time on treatment'!$D$12)</f>
        <v>60027373.144373089</v>
      </c>
      <c r="U65" s="388">
        <f ca="1">((U23-(T23-S23)-S23)*ci_int3)+(U23*ct_int3*'Time on treatment'!$D$12)</f>
        <v>90742875.306083307</v>
      </c>
      <c r="V65" s="388">
        <f ca="1">((V23-(U23-T23)-(T23-S23)-S23)*ci_int3)+(V23*ct_int3*'Time on treatment'!$D$12)</f>
        <v>121928478.13631886</v>
      </c>
      <c r="W65" s="389">
        <f ca="1">((W23-(V23-U23)-(U23-T23)-(T23-S23)-S23)*ci_int3)+(W23*ct_int3*'Time on treatment'!$D$12)</f>
        <v>153589491.39722463</v>
      </c>
      <c r="X65" s="77"/>
      <c r="Y65" s="77"/>
      <c r="Z65" s="386"/>
      <c r="AA65" s="388">
        <f ca="1">(AA23*ci_int4)+(AA23*ct_int4*'Time on treatment'!$D$12)</f>
        <v>33024473.029880863</v>
      </c>
      <c r="AB65" s="388">
        <f ca="1">((AB23-AA23)*ci_int4)+(AB23*ct_int4*'Time on treatment'!$D$12)</f>
        <v>66590679.546575278</v>
      </c>
      <c r="AC65" s="388">
        <f ca="1">((AC23-(AB23-AA23)-AA23)*ci_int4)+(AC23*ct_int4*'Time on treatment'!$D$12)</f>
        <v>100664570.41371736</v>
      </c>
      <c r="AD65" s="388">
        <f ca="1">((AD23-(AC23-AB23)-(AB23-AA23)-AA23)*ci_int4)+(AD23*ct_int4*'Time on treatment'!$D$12)</f>
        <v>135259962.07845581</v>
      </c>
      <c r="AE65" s="389">
        <f ca="1">((AE23-(AD23-AC23)-(AC23-AB23)-(AB23-AA23)-AA23)*ci_int4)+(AE23*ct_int4*'Time on treatment'!$D$12)</f>
        <v>170382744.86467004</v>
      </c>
      <c r="AF65" s="77"/>
      <c r="AG65" s="77"/>
      <c r="AH65" s="386"/>
      <c r="AI65" s="388">
        <f ca="1">(AI23*ci_comp1)+(AI23*ct_comp1*'Time on treatment'!$D$12)</f>
        <v>1311279.6090853959</v>
      </c>
      <c r="AJ65" s="388">
        <f ca="1">((AJ23-AI23)*ci_comp1)+(AJ23*ct_comp1*'Time on treatment'!$D$12)</f>
        <v>1175141.9778303604</v>
      </c>
      <c r="AK65" s="388">
        <f ca="1">((AK23-(AJ23-AI23)-AI23)*ci_comp1)+(AK23*ct_comp1*'Time on treatment'!$D$12)</f>
        <v>1036263.8113075627</v>
      </c>
      <c r="AL65" s="388">
        <f ca="1">((AL23-(AK23-AJ23)-(AJ23-AI23)-AI23)*ci_comp1)+(AL23*ct_comp1*'Time on treatment'!$D$12)</f>
        <v>895112.08873624634</v>
      </c>
      <c r="AM65" s="389">
        <f ca="1">((AM23-(AL23-AK23)-(AK23-AJ23)-(AJ23-AI23)-AI23)*ci_comp1)+(AM23*ct_comp1*'Time on treatment'!$D$12)</f>
        <v>751696.47295907279</v>
      </c>
      <c r="AN65" s="77"/>
      <c r="AO65" s="77"/>
      <c r="AP65" s="386"/>
      <c r="AQ65" s="388">
        <f ca="1">(AQ23*ci_comp2)+(AQ23*ct_comp2*'Time on treatment'!$D$12)</f>
        <v>9865489.4497679938</v>
      </c>
      <c r="AR65" s="388">
        <f ca="1">((AR23-AQ23)*ci_comp2)+(AR23*ct_comp2*'Time on treatment'!$D$12)</f>
        <v>8841249.9545776956</v>
      </c>
      <c r="AS65" s="388">
        <f ca="1">((AS23-(AR23-AQ23)-AQ23)*ci_comp2)+(AS23*ct_comp2*'Time on treatment'!$D$12)</f>
        <v>7796391.8807230927</v>
      </c>
      <c r="AT65" s="388">
        <f ca="1">((AT23-(AS23-AR23)-(AR23-AQ23)-AQ23)*ci_comp2)+(AT23*ct_comp2*'Time on treatment'!$D$12)</f>
        <v>6734428.5738924639</v>
      </c>
      <c r="AU65" s="389">
        <f ca="1">((AU23-(AT23-AS23)-(AS23-AR23)-(AR23-AQ23)-AQ23)*ci_comp2)+(AU23*ct_comp2*'Time on treatment'!$D$12)</f>
        <v>5655432.7330522807</v>
      </c>
      <c r="AV65" s="77"/>
      <c r="AW65" s="77"/>
      <c r="AX65" s="386"/>
      <c r="AY65" s="388">
        <f ca="1">(AY23*ci_comp3)+(AY23*ct_comp3*'Time on treatment'!$D$12)</f>
        <v>54317817.638895214</v>
      </c>
      <c r="AZ65" s="388">
        <f ca="1">((AZ23-AY23)*ci_comp3)+(AZ23*ct_comp3*'Time on treatment'!$D$12)</f>
        <v>48678517.693203315</v>
      </c>
      <c r="BA65" s="388">
        <f ca="1">((BA23-(AZ23-AY23)-AY23)*ci_comp3)+(BA23*ct_comp3*'Time on treatment'!$D$12)</f>
        <v>42925695.128936484</v>
      </c>
      <c r="BB65" s="388">
        <f ca="1">((BB23-(BA23-AZ23)-(AZ23-AY23)-AY23)*ci_comp3)+(BB23*ct_comp3*'Time on treatment'!$D$12)</f>
        <v>37078693.869310103</v>
      </c>
      <c r="BC65" s="389">
        <f ca="1">((BC23-(BB23-BA23)-(BA23-AZ23)-(AZ23-AY23)-AY23)*ci_comp3)+(BC23*ct_comp3*'Time on treatment'!$D$12)</f>
        <v>31137914.183284309</v>
      </c>
      <c r="BD65" s="77"/>
      <c r="BE65" s="77"/>
      <c r="BF65" s="386"/>
      <c r="BG65" s="388">
        <f ca="1">(BG23*ci_comp4)+(BG23*ct_comp4*'Time on treatment'!$D$12)</f>
        <v>10352103.395284122</v>
      </c>
      <c r="BH65" s="388">
        <f ca="1">((BH23-BG23)*ci_comp4)+(BH23*ct_comp4*'Time on treatment'!$D$12)</f>
        <v>9277343.4242020063</v>
      </c>
      <c r="BI65" s="388">
        <f ca="1">((BI23-(BH23-BG23)-BG23)*ci_comp4)+(BI23*ct_comp4*'Time on treatment'!$D$12)</f>
        <v>8180947.8658250589</v>
      </c>
      <c r="BJ65" s="388">
        <f ca="1">((BJ23-(BI23-BH23)-(BH23-BG23)-BG23)*ci_comp4)+(BJ23*ct_comp4*'Time on treatment'!$D$12)</f>
        <v>7066603.3611469809</v>
      </c>
      <c r="BK65" s="389">
        <f ca="1">((BK23-(BJ23-BI23)-(BI23-BH23)-(BH23-BG23)-BG23)*ci_comp4)+(BK23*ct_comp4*'Time on treatment'!$D$12)</f>
        <v>5934386.1950010285</v>
      </c>
      <c r="BL65" s="77"/>
      <c r="BM65" s="77"/>
      <c r="BN65" s="386"/>
      <c r="BO65" s="388">
        <f ca="1">(BO23*ci_comp5)+(BO23*ct_comp5*'Time on treatment'!$D$12)</f>
        <v>1042638.2635894753</v>
      </c>
      <c r="BP65" s="388">
        <f ca="1">((BP23-BO23)*ci_comp5)+(BP23*ct_comp5*'Time on treatment'!$D$12)</f>
        <v>1051189.9831204498</v>
      </c>
      <c r="BQ65" s="388">
        <f ca="1">((BQ23-(BP23-BO23)-BO23)*ci_comp5)+(BQ23*ct_comp5*'Time on treatment'!$D$12)</f>
        <v>1059383.373114164</v>
      </c>
      <c r="BR65" s="388">
        <f ca="1">((BR23-(BQ23-BP23)-(BP23-BO23)-BO23)*ci_comp5)+(BR23*ct_comp5*'Time on treatment'!$D$12)</f>
        <v>1067596.2328532587</v>
      </c>
      <c r="BS65" s="389">
        <f ca="1">((BS23-(BR23-BQ23)-(BQ23-BP23)-(BP23-BO23)-BO23)*ci_comp5)+(BS23*ct_comp5*'Time on treatment'!$D$12)</f>
        <v>1075854.0739806562</v>
      </c>
      <c r="BT65" s="77"/>
      <c r="BU65" s="77"/>
      <c r="BV65" s="386"/>
      <c r="BW65" s="388">
        <f ca="1">(BW23*ci_comp6)+(BW23*ct_comp6*'Time on treatment'!$D$12)</f>
        <v>38488.78478449375</v>
      </c>
      <c r="BX65" s="388">
        <f ca="1">((BX23-BW23)*ci_comp6)+(BX23*ct_comp6*'Time on treatment'!$D$12)</f>
        <v>34492.862058218379</v>
      </c>
      <c r="BY65" s="388">
        <f ca="1">((BY23-(BX23-BW23)-BW23)*ci_comp6)+(BY23*ct_comp6*'Time on treatment'!$D$12)</f>
        <v>30416.498919856684</v>
      </c>
      <c r="BZ65" s="388">
        <f ca="1">((BZ23-(BY23-BX23)-(BX23-BW23)-BW23)*ci_comp6)+(BZ23*ct_comp6*'Time on treatment'!$D$12)</f>
        <v>26273.402181093799</v>
      </c>
      <c r="CA65" s="389">
        <f ca="1">((CA23-(BZ23-BY23)-(BY23-BX23)-(BX23-BW23)-BW23)*ci_comp6)+(CA23*ct_comp6*'Time on treatment'!$D$12)</f>
        <v>22063.855466466437</v>
      </c>
      <c r="CB65" s="77"/>
      <c r="CC65" s="77"/>
      <c r="CD65" s="386"/>
      <c r="CE65" s="388">
        <f ca="1">(CE23*ci_comp7)+(CE23*ct_comp7*'Time on treatment'!$D$12)</f>
        <v>2779199.1467679399</v>
      </c>
      <c r="CF65" s="388">
        <f ca="1">((CF23-CE23)*ci_comp7)+(CF23*ct_comp7*'Time on treatment'!$D$12)</f>
        <v>2490661.4573190054</v>
      </c>
      <c r="CG65" s="388">
        <f ca="1">((CG23-(CF23-CE23)-CE23)*ci_comp7)+(CG23*ct_comp7*'Time on treatment'!$D$12)</f>
        <v>2196315.3245563176</v>
      </c>
      <c r="CH65" s="388">
        <f ca="1">((CH23-(CG23-CF23)-(CF23-CE23)-CE23)*ci_comp7)+(CH23*ct_comp7*'Time on treatment'!$D$12)</f>
        <v>1897150.4902852764</v>
      </c>
      <c r="CI65" s="389">
        <f ca="1">((CI23-(CH23-CG23)-(CG23-CF23)-(CF23-CE23)-CE23)*ci_comp7)+(CI23*ct_comp7*'Time on treatment'!$D$12)</f>
        <v>1593187.4344736142</v>
      </c>
      <c r="CJ65" s="77"/>
      <c r="CK65" s="77"/>
      <c r="CL65" s="386"/>
      <c r="CM65" s="388">
        <f ca="1">(CM23*ci_comp8)+(CM23*ct_comp8*'Time on treatment'!$D$12)</f>
        <v>11908604.566659126</v>
      </c>
      <c r="CN65" s="388">
        <f ca="1">((CN23-CM23)*ci_comp8)+(CN23*ct_comp8*'Time on treatment'!$D$12)</f>
        <v>10672247.952840775</v>
      </c>
      <c r="CO65" s="388">
        <f ca="1">((CO23-(CN23-CM23)-CM23)*ci_comp8)+(CO23*ct_comp8*'Time on treatment'!$D$12)</f>
        <v>9411002.7107095607</v>
      </c>
      <c r="CP65" s="388">
        <f ca="1">((CP23-(CO23-CN23)-(CN23-CM23)-CM23)*ci_comp8)+(CP23*ct_comp8*'Time on treatment'!$D$12)</f>
        <v>8129109.7899639942</v>
      </c>
      <c r="CQ65" s="389">
        <f ca="1">((CQ23-(CP23-CO23)-(CO23-CN23)-(CN23-CM23)-CM23)*ci_comp8)+(CQ23*ct_comp8*'Time on treatment'!$D$12)</f>
        <v>6826656.9453220284</v>
      </c>
      <c r="CR65" s="77"/>
      <c r="CS65" s="77"/>
      <c r="CT65" s="386"/>
      <c r="CU65" s="388">
        <f ca="1">(CU23*ci_comp9)+(CU23*ct_comp9*'Time on treatment'!$D$12)</f>
        <v>25400559.249601152</v>
      </c>
      <c r="CV65" s="388">
        <f ca="1">((CV23-CU23)*ci_comp9)+(CV23*ct_comp9*'Time on treatment'!$D$12)</f>
        <v>22759953.382149894</v>
      </c>
      <c r="CW65" s="388">
        <f ca="1">((CW23-(CV23-CU23)-CU23)*ci_comp9)+(CW23*ct_comp9*'Time on treatment'!$D$12)</f>
        <v>20066206.409859173</v>
      </c>
      <c r="CX65" s="388">
        <f ca="1">((CX23-(CW23-CV23)-(CV23-CU23)-CU23)*ci_comp9)+(CX23*ct_comp9*'Time on treatment'!$D$12)</f>
        <v>17328363.907455623</v>
      </c>
      <c r="CY65" s="389">
        <f ca="1">((CY23-(CX23-CW23)-(CW23-CV23)-(CV23-CU23)-CU23)*ci_comp9)+(CY23*ct_comp9*'Time on treatment'!$D$12)</f>
        <v>14546612.516561389</v>
      </c>
      <c r="CZ65" s="77"/>
      <c r="DA65" s="77"/>
      <c r="DB65" s="386"/>
      <c r="DC65" s="388">
        <f ca="1">(DC23*ci_comp10)+(DC23*ct_comp10*'Time on treatment'!$D$12)</f>
        <v>0</v>
      </c>
      <c r="DD65" s="388">
        <f ca="1">((DD23-DC23)*ci_comp10)+(DD23*ct_comp10*'Time on treatment'!$D$12)</f>
        <v>0</v>
      </c>
      <c r="DE65" s="388">
        <f ca="1">((DE23-(DD23-DC23)-DC23)*ci_comp10)+(DE23*ct_comp10*'Time on treatment'!$D$12)</f>
        <v>0</v>
      </c>
      <c r="DF65" s="388">
        <f ca="1">((DF23-(DE23-DD23)-(DD23-DC23)-DC23)*ci_comp10)+(DF23*ct_comp10*'Time on treatment'!$D$12)</f>
        <v>0</v>
      </c>
      <c r="DG65" s="389">
        <f ca="1">((DG23-(DF23-DE23)-(DE23-DD23)-(DD23-DC23)-DC23)*ci_comp10)+(DG23*ct_comp10*'Time on treatment'!$D$12)</f>
        <v>0</v>
      </c>
      <c r="DH65" s="77"/>
      <c r="DI65" s="77"/>
    </row>
    <row r="66" spans="2:113" ht="15" thickBot="1">
      <c r="B66" s="83"/>
      <c r="C66" s="83"/>
      <c r="D66" s="83"/>
      <c r="E66" s="83"/>
      <c r="F66" s="83"/>
      <c r="G66" s="83"/>
      <c r="J66" s="83"/>
      <c r="K66" s="83"/>
      <c r="L66" s="83"/>
      <c r="M66" s="83"/>
      <c r="N66" s="83"/>
      <c r="O66" s="83"/>
      <c r="R66" s="83"/>
      <c r="S66" s="83"/>
      <c r="T66" s="83"/>
      <c r="U66" s="83"/>
      <c r="V66" s="83"/>
      <c r="W66" s="83"/>
      <c r="Z66" s="83"/>
      <c r="AA66" s="83"/>
      <c r="AB66" s="83"/>
      <c r="AC66" s="83"/>
      <c r="AD66" s="83"/>
      <c r="AE66" s="83"/>
      <c r="AH66" s="83"/>
      <c r="AI66" s="83"/>
      <c r="AJ66" s="83"/>
      <c r="AK66" s="83"/>
      <c r="AL66" s="83"/>
      <c r="AM66" s="83"/>
      <c r="AP66" s="83"/>
      <c r="AQ66" s="83"/>
      <c r="AR66" s="83"/>
      <c r="AS66" s="83"/>
      <c r="AT66" s="83"/>
      <c r="AU66" s="83"/>
      <c r="AX66" s="83"/>
      <c r="AY66" s="83"/>
      <c r="AZ66" s="83"/>
      <c r="BA66" s="83"/>
      <c r="BB66" s="83"/>
      <c r="BC66" s="83"/>
      <c r="BF66" s="83"/>
      <c r="BG66" s="83"/>
      <c r="BH66" s="83"/>
      <c r="BI66" s="83"/>
      <c r="BJ66" s="83"/>
      <c r="BK66" s="83"/>
      <c r="BN66" s="83"/>
      <c r="BO66" s="83"/>
      <c r="BP66" s="83"/>
      <c r="BQ66" s="83"/>
      <c r="BR66" s="83"/>
      <c r="BS66" s="83"/>
      <c r="BV66" s="83"/>
      <c r="BW66" s="83"/>
      <c r="BX66" s="83"/>
      <c r="BY66" s="83"/>
      <c r="BZ66" s="83"/>
      <c r="CA66" s="83"/>
      <c r="CD66" s="83"/>
      <c r="CE66" s="83"/>
      <c r="CF66" s="83"/>
      <c r="CG66" s="83"/>
      <c r="CH66" s="83"/>
      <c r="CI66" s="83"/>
      <c r="CL66" s="83"/>
      <c r="CM66" s="83"/>
      <c r="CN66" s="83"/>
      <c r="CO66" s="83"/>
      <c r="CP66" s="83"/>
      <c r="CQ66" s="83"/>
      <c r="CT66" s="83"/>
      <c r="CU66" s="83"/>
      <c r="CV66" s="83"/>
      <c r="CW66" s="83"/>
      <c r="CX66" s="83"/>
      <c r="CY66" s="83"/>
      <c r="DB66" s="83"/>
      <c r="DC66" s="83"/>
      <c r="DD66" s="83"/>
      <c r="DE66" s="83"/>
      <c r="DF66" s="83"/>
      <c r="DG66" s="83"/>
    </row>
    <row r="67" spans="2:113" ht="15" thickBot="1">
      <c r="B67" s="507" t="str">
        <f>B46</f>
        <v>moderate intensity only</v>
      </c>
      <c r="C67" s="505"/>
      <c r="D67" s="505"/>
      <c r="E67" s="505"/>
      <c r="F67" s="505"/>
      <c r="G67" s="506"/>
      <c r="J67" s="507" t="str">
        <f>J46</f>
        <v>moderate intensity only</v>
      </c>
      <c r="K67" s="505"/>
      <c r="L67" s="505"/>
      <c r="M67" s="505"/>
      <c r="N67" s="505"/>
      <c r="O67" s="506"/>
      <c r="R67" s="507" t="str">
        <f>R46</f>
        <v>moderate intensity only</v>
      </c>
      <c r="S67" s="505"/>
      <c r="T67" s="505"/>
      <c r="U67" s="505"/>
      <c r="V67" s="505"/>
      <c r="W67" s="506"/>
      <c r="Z67" s="507" t="str">
        <f>Z46</f>
        <v>moderate intensity only</v>
      </c>
      <c r="AA67" s="505"/>
      <c r="AB67" s="505"/>
      <c r="AC67" s="505"/>
      <c r="AD67" s="505"/>
      <c r="AE67" s="506"/>
      <c r="AH67" s="507" t="str">
        <f>AH46</f>
        <v>moderate intensity only</v>
      </c>
      <c r="AI67" s="505"/>
      <c r="AJ67" s="505"/>
      <c r="AK67" s="505"/>
      <c r="AL67" s="505"/>
      <c r="AM67" s="506"/>
      <c r="AP67" s="507" t="str">
        <f>AP46</f>
        <v>moderate intensity only</v>
      </c>
      <c r="AQ67" s="505"/>
      <c r="AR67" s="505"/>
      <c r="AS67" s="505"/>
      <c r="AT67" s="505"/>
      <c r="AU67" s="506"/>
      <c r="AX67" s="507" t="str">
        <f>AX46</f>
        <v>moderate intensity only</v>
      </c>
      <c r="AY67" s="505"/>
      <c r="AZ67" s="505"/>
      <c r="BA67" s="505"/>
      <c r="BB67" s="505"/>
      <c r="BC67" s="506"/>
      <c r="BF67" s="507" t="str">
        <f>BF46</f>
        <v>moderate intensity only</v>
      </c>
      <c r="BG67" s="505"/>
      <c r="BH67" s="505"/>
      <c r="BI67" s="505"/>
      <c r="BJ67" s="505"/>
      <c r="BK67" s="506"/>
      <c r="BN67" s="507" t="str">
        <f>BN46</f>
        <v>moderate intensity only</v>
      </c>
      <c r="BO67" s="505"/>
      <c r="BP67" s="505"/>
      <c r="BQ67" s="505"/>
      <c r="BR67" s="505"/>
      <c r="BS67" s="506"/>
      <c r="BV67" s="507" t="str">
        <f>BV46</f>
        <v>moderate intensity only</v>
      </c>
      <c r="BW67" s="505"/>
      <c r="BX67" s="505"/>
      <c r="BY67" s="505"/>
      <c r="BZ67" s="505"/>
      <c r="CA67" s="506"/>
      <c r="CD67" s="507" t="str">
        <f>CD46</f>
        <v>moderate intensity only</v>
      </c>
      <c r="CE67" s="505"/>
      <c r="CF67" s="505"/>
      <c r="CG67" s="505"/>
      <c r="CH67" s="505"/>
      <c r="CI67" s="506"/>
      <c r="CL67" s="507" t="str">
        <f>CL46</f>
        <v>moderate intensity only</v>
      </c>
      <c r="CM67" s="505"/>
      <c r="CN67" s="505"/>
      <c r="CO67" s="505"/>
      <c r="CP67" s="505"/>
      <c r="CQ67" s="506"/>
      <c r="CT67" s="507" t="str">
        <f>CT46</f>
        <v>moderate intensity only</v>
      </c>
      <c r="CU67" s="505"/>
      <c r="CV67" s="505"/>
      <c r="CW67" s="505"/>
      <c r="CX67" s="505"/>
      <c r="CY67" s="506"/>
      <c r="DB67" s="507" t="str">
        <f>DB46</f>
        <v>moderate intensity only</v>
      </c>
      <c r="DC67" s="505"/>
      <c r="DD67" s="505"/>
      <c r="DE67" s="505"/>
      <c r="DF67" s="505"/>
      <c r="DG67" s="506"/>
    </row>
    <row r="68" spans="2:113">
      <c r="B68" s="84"/>
      <c r="C68" s="101">
        <f>C47</f>
        <v>2026</v>
      </c>
      <c r="D68" s="101">
        <f t="shared" ref="D68:F68" si="70">D47</f>
        <v>2027</v>
      </c>
      <c r="E68" s="101">
        <f t="shared" si="70"/>
        <v>2028</v>
      </c>
      <c r="F68" s="101">
        <f t="shared" si="70"/>
        <v>2029</v>
      </c>
      <c r="G68" s="102">
        <f>G47</f>
        <v>2030</v>
      </c>
      <c r="J68" s="84"/>
      <c r="K68" s="101">
        <f>K47</f>
        <v>2026</v>
      </c>
      <c r="L68" s="101">
        <f t="shared" ref="L68:N68" si="71">L47</f>
        <v>2027</v>
      </c>
      <c r="M68" s="101">
        <f t="shared" si="71"/>
        <v>2028</v>
      </c>
      <c r="N68" s="101">
        <f t="shared" si="71"/>
        <v>2029</v>
      </c>
      <c r="O68" s="102">
        <f>O47</f>
        <v>2030</v>
      </c>
      <c r="R68" s="84"/>
      <c r="S68" s="101">
        <f>S47</f>
        <v>2026</v>
      </c>
      <c r="T68" s="101">
        <f t="shared" ref="T68:V68" si="72">T47</f>
        <v>2027</v>
      </c>
      <c r="U68" s="101">
        <f t="shared" si="72"/>
        <v>2028</v>
      </c>
      <c r="V68" s="101">
        <f t="shared" si="72"/>
        <v>2029</v>
      </c>
      <c r="W68" s="102">
        <f>W47</f>
        <v>2030</v>
      </c>
      <c r="Z68" s="84"/>
      <c r="AA68" s="101">
        <f>AA47</f>
        <v>2026</v>
      </c>
      <c r="AB68" s="101">
        <f t="shared" ref="AB68:AD68" si="73">AB47</f>
        <v>2027</v>
      </c>
      <c r="AC68" s="101">
        <f t="shared" si="73"/>
        <v>2028</v>
      </c>
      <c r="AD68" s="101">
        <f t="shared" si="73"/>
        <v>2029</v>
      </c>
      <c r="AE68" s="102">
        <f>AE47</f>
        <v>2030</v>
      </c>
      <c r="AH68" s="84"/>
      <c r="AI68" s="101">
        <f>AI47</f>
        <v>2026</v>
      </c>
      <c r="AJ68" s="101">
        <f t="shared" ref="AJ68:AL68" si="74">AJ47</f>
        <v>2027</v>
      </c>
      <c r="AK68" s="101">
        <f t="shared" si="74"/>
        <v>2028</v>
      </c>
      <c r="AL68" s="101">
        <f t="shared" si="74"/>
        <v>2029</v>
      </c>
      <c r="AM68" s="102">
        <f>AM47</f>
        <v>2030</v>
      </c>
      <c r="AP68" s="84"/>
      <c r="AQ68" s="101">
        <f>AQ47</f>
        <v>2026</v>
      </c>
      <c r="AR68" s="101">
        <f t="shared" ref="AR68:AT68" si="75">AR47</f>
        <v>2027</v>
      </c>
      <c r="AS68" s="101">
        <f t="shared" si="75"/>
        <v>2028</v>
      </c>
      <c r="AT68" s="101">
        <f t="shared" si="75"/>
        <v>2029</v>
      </c>
      <c r="AU68" s="102">
        <f>AU47</f>
        <v>2030</v>
      </c>
      <c r="AX68" s="84"/>
      <c r="AY68" s="101">
        <f>AY47</f>
        <v>2026</v>
      </c>
      <c r="AZ68" s="101">
        <f t="shared" ref="AZ68:BB68" si="76">AZ47</f>
        <v>2027</v>
      </c>
      <c r="BA68" s="101">
        <f t="shared" si="76"/>
        <v>2028</v>
      </c>
      <c r="BB68" s="101">
        <f t="shared" si="76"/>
        <v>2029</v>
      </c>
      <c r="BC68" s="102">
        <f>BC47</f>
        <v>2030</v>
      </c>
      <c r="BF68" s="84"/>
      <c r="BG68" s="101">
        <f>BG47</f>
        <v>2026</v>
      </c>
      <c r="BH68" s="101">
        <f t="shared" ref="BH68:BJ68" si="77">BH47</f>
        <v>2027</v>
      </c>
      <c r="BI68" s="101">
        <f t="shared" si="77"/>
        <v>2028</v>
      </c>
      <c r="BJ68" s="101">
        <f t="shared" si="77"/>
        <v>2029</v>
      </c>
      <c r="BK68" s="102">
        <f>BK47</f>
        <v>2030</v>
      </c>
      <c r="BN68" s="84"/>
      <c r="BO68" s="101">
        <f>BO47</f>
        <v>2026</v>
      </c>
      <c r="BP68" s="101">
        <f t="shared" ref="BP68:BR68" si="78">BP47</f>
        <v>2027</v>
      </c>
      <c r="BQ68" s="101">
        <f t="shared" si="78"/>
        <v>2028</v>
      </c>
      <c r="BR68" s="101">
        <f t="shared" si="78"/>
        <v>2029</v>
      </c>
      <c r="BS68" s="102">
        <f>BS47</f>
        <v>2030</v>
      </c>
      <c r="BV68" s="84"/>
      <c r="BW68" s="101">
        <f>BW47</f>
        <v>2026</v>
      </c>
      <c r="BX68" s="101">
        <f t="shared" ref="BX68:BZ68" si="79">BX47</f>
        <v>2027</v>
      </c>
      <c r="BY68" s="101">
        <f t="shared" si="79"/>
        <v>2028</v>
      </c>
      <c r="BZ68" s="101">
        <f t="shared" si="79"/>
        <v>2029</v>
      </c>
      <c r="CA68" s="102">
        <f>CA47</f>
        <v>2030</v>
      </c>
      <c r="CD68" s="84"/>
      <c r="CE68" s="101">
        <f>CE47</f>
        <v>2026</v>
      </c>
      <c r="CF68" s="101">
        <f t="shared" ref="CF68:CH68" si="80">CF47</f>
        <v>2027</v>
      </c>
      <c r="CG68" s="101">
        <f t="shared" si="80"/>
        <v>2028</v>
      </c>
      <c r="CH68" s="101">
        <f t="shared" si="80"/>
        <v>2029</v>
      </c>
      <c r="CI68" s="102">
        <f>CI47</f>
        <v>2030</v>
      </c>
      <c r="CL68" s="84"/>
      <c r="CM68" s="101">
        <f>CM47</f>
        <v>2026</v>
      </c>
      <c r="CN68" s="101">
        <f t="shared" ref="CN68:CP68" si="81">CN47</f>
        <v>2027</v>
      </c>
      <c r="CO68" s="101">
        <f t="shared" si="81"/>
        <v>2028</v>
      </c>
      <c r="CP68" s="101">
        <f t="shared" si="81"/>
        <v>2029</v>
      </c>
      <c r="CQ68" s="102">
        <f>CQ47</f>
        <v>2030</v>
      </c>
      <c r="CT68" s="84"/>
      <c r="CU68" s="101">
        <f>CU47</f>
        <v>2026</v>
      </c>
      <c r="CV68" s="101">
        <f t="shared" ref="CV68:CX68" si="82">CV47</f>
        <v>2027</v>
      </c>
      <c r="CW68" s="101">
        <f t="shared" si="82"/>
        <v>2028</v>
      </c>
      <c r="CX68" s="101">
        <f t="shared" si="82"/>
        <v>2029</v>
      </c>
      <c r="CY68" s="102">
        <f>CY47</f>
        <v>2030</v>
      </c>
      <c r="DB68" s="84"/>
      <c r="DC68" s="101">
        <f>DC47</f>
        <v>2026</v>
      </c>
      <c r="DD68" s="101">
        <f t="shared" ref="DD68:DF68" si="83">DD47</f>
        <v>2027</v>
      </c>
      <c r="DE68" s="101">
        <f t="shared" si="83"/>
        <v>2028</v>
      </c>
      <c r="DF68" s="101">
        <f t="shared" si="83"/>
        <v>2029</v>
      </c>
      <c r="DG68" s="102">
        <f>DG47</f>
        <v>2030</v>
      </c>
    </row>
    <row r="69" spans="2:113" s="83" customFormat="1" ht="15" thickBot="1">
      <c r="B69" s="386"/>
      <c r="C69" s="388">
        <f ca="1">(C27*ci_int1)+(C27*ct_int1*'Time on treatment'!$D$12)</f>
        <v>13156420.811297385</v>
      </c>
      <c r="D69" s="388">
        <f ca="1">((D27-C27)*ci_int1)+(D27*ct_int1*'Time on treatment'!$D$12)</f>
        <v>26528659.562025379</v>
      </c>
      <c r="E69" s="388">
        <f ca="1">((E27-(D27-C27)-C27)*ci_int1)+(E27*ct_int1*'Time on treatment'!$D$12)</f>
        <v>40103151.621920675</v>
      </c>
      <c r="F69" s="388">
        <f ca="1">((F27-(E27-D27)-(D27-C27)-C27)*ci_int1)+(F27*ct_int1*'Time on treatment'!$D$12)</f>
        <v>53885401.242107593</v>
      </c>
      <c r="G69" s="389">
        <f ca="1">((G27-(F27-E27)-(E27-D27)-(D27-C27)-C27)*ci_int1)+(G27*ct_int1*'Time on treatment'!$D$12)</f>
        <v>67877755.033222526</v>
      </c>
      <c r="H69" s="77"/>
      <c r="I69" s="77"/>
      <c r="J69" s="386"/>
      <c r="K69" s="388">
        <f ca="1">(K27*ci_int2)+(K27*ct_int2*'Time on treatment'!$D$12)</f>
        <v>26183204.453482121</v>
      </c>
      <c r="L69" s="388">
        <f ca="1">((L27-K27)*ci_int2)+(L27*ct_int2*'Time on treatment'!$D$12)</f>
        <v>52795918.217580721</v>
      </c>
      <c r="M69" s="388">
        <f ca="1">((M27-(L27-K27)-K27)*ci_int2)+(M27*ct_int2*'Time on treatment'!$D$12)</f>
        <v>79811145.69124186</v>
      </c>
      <c r="N69" s="388">
        <f ca="1">((N27-(M27-L27)-(L27-K27)-K27)*ci_int2)+(N27*ct_int2*'Time on treatment'!$D$12)</f>
        <v>107239841.14041811</v>
      </c>
      <c r="O69" s="389">
        <f ca="1">((O27-(N27-M27)-(M27-L27)-(L27-K27)-K27)*ci_int2)+(O27*ct_int2*'Time on treatment'!$D$12)</f>
        <v>135086674.66398719</v>
      </c>
      <c r="P69" s="77"/>
      <c r="Q69" s="77"/>
      <c r="R69" s="386"/>
      <c r="S69" s="388">
        <f ca="1">(S27*ci_int3)+(S27*ct_int3*'Time on treatment'!$D$12)</f>
        <v>0</v>
      </c>
      <c r="T69" s="388">
        <f ca="1">((T27-S27)*ci_int3)+(T27*ct_int3*'Time on treatment'!$D$12)</f>
        <v>0</v>
      </c>
      <c r="U69" s="388">
        <f ca="1">((U27-(T27-S27)-S27)*ci_int3)+(U27*ct_int3*'Time on treatment'!$D$12)</f>
        <v>0</v>
      </c>
      <c r="V69" s="388">
        <f ca="1">((V27-(U27-T27)-(T27-S27)-S27)*ci_int3)+(V27*ct_int3*'Time on treatment'!$D$12)</f>
        <v>0</v>
      </c>
      <c r="W69" s="389">
        <f ca="1">((W27-(V27-U27)-(U27-T27)-(T27-S27)-S27)*ci_int3)+(W27*ct_int3*'Time on treatment'!$D$12)</f>
        <v>0</v>
      </c>
      <c r="X69" s="77"/>
      <c r="Y69" s="77"/>
      <c r="Z69" s="386"/>
      <c r="AA69" s="388">
        <f ca="1">(AA27*ci_int4)+(AA27*ct_int4*'Time on treatment'!$D$12)</f>
        <v>0</v>
      </c>
      <c r="AB69" s="388">
        <f ca="1">((AB27-AA27)*ci_int4)+(AB27*ct_int4*'Time on treatment'!$D$12)</f>
        <v>0</v>
      </c>
      <c r="AC69" s="388">
        <f ca="1">((AC27-(AB27-AA27)-AA27)*ci_int4)+(AC27*ct_int4*'Time on treatment'!$D$12)</f>
        <v>0</v>
      </c>
      <c r="AD69" s="388">
        <f ca="1">((AD27-(AC27-AB27)-(AB27-AA27)-AA27)*ci_int4)+(AD27*ct_int4*'Time on treatment'!$D$12)</f>
        <v>0</v>
      </c>
      <c r="AE69" s="389">
        <f ca="1">((AE27-(AD27-AC27)-(AC27-AB27)-(AB27-AA27)-AA27)*ci_int4)+(AE27*ct_int4*'Time on treatment'!$D$12)</f>
        <v>0</v>
      </c>
      <c r="AF69" s="77"/>
      <c r="AG69" s="77"/>
      <c r="AH69" s="386"/>
      <c r="AI69" s="388">
        <f ca="1">(AI27*ci_comp1)+(AI27*ct_comp1*'Time on treatment'!$D$12)</f>
        <v>1311279.6090853959</v>
      </c>
      <c r="AJ69" s="388">
        <f ca="1">((AJ27-AI27)*ci_comp1)+(AJ27*ct_comp1*'Time on treatment'!$D$12)</f>
        <v>1175141.9778303604</v>
      </c>
      <c r="AK69" s="388">
        <f ca="1">((AK27-(AJ27-AI27)-AI27)*ci_comp1)+(AK27*ct_comp1*'Time on treatment'!$D$12)</f>
        <v>1036263.8113075627</v>
      </c>
      <c r="AL69" s="388">
        <f ca="1">((AL27-(AK27-AJ27)-(AJ27-AI27)-AI27)*ci_comp1)+(AL27*ct_comp1*'Time on treatment'!$D$12)</f>
        <v>895112.08873624634</v>
      </c>
      <c r="AM69" s="389">
        <f ca="1">((AM27-(AL27-AK27)-(AK27-AJ27)-(AJ27-AI27)-AI27)*ci_comp1)+(AM27*ct_comp1*'Time on treatment'!$D$12)</f>
        <v>751696.47295907279</v>
      </c>
      <c r="AN69" s="77"/>
      <c r="AO69" s="77"/>
      <c r="AP69" s="386"/>
      <c r="AQ69" s="388">
        <f ca="1">(AQ27*ci_comp2)+(AQ27*ct_comp2*'Time on treatment'!$D$12)</f>
        <v>9865489.4497679938</v>
      </c>
      <c r="AR69" s="388">
        <f ca="1">((AR27-AQ27)*ci_comp2)+(AR27*ct_comp2*'Time on treatment'!$D$12)</f>
        <v>8841249.9545776956</v>
      </c>
      <c r="AS69" s="388">
        <f ca="1">((AS27-(AR27-AQ27)-AQ27)*ci_comp2)+(AS27*ct_comp2*'Time on treatment'!$D$12)</f>
        <v>7796391.8807230927</v>
      </c>
      <c r="AT69" s="388">
        <f ca="1">((AT27-(AS27-AR27)-(AR27-AQ27)-AQ27)*ci_comp2)+(AT27*ct_comp2*'Time on treatment'!$D$12)</f>
        <v>6734428.5738924639</v>
      </c>
      <c r="AU69" s="389">
        <f ca="1">((AU27-(AT27-AS27)-(AS27-AR27)-(AR27-AQ27)-AQ27)*ci_comp2)+(AU27*ct_comp2*'Time on treatment'!$D$12)</f>
        <v>5655432.7330522807</v>
      </c>
      <c r="AV69" s="77"/>
      <c r="AW69" s="77"/>
      <c r="AX69" s="386"/>
      <c r="AY69" s="388">
        <f ca="1">(AY27*ci_comp3)+(AY27*ct_comp3*'Time on treatment'!$D$12)</f>
        <v>54317817.638895214</v>
      </c>
      <c r="AZ69" s="388">
        <f ca="1">((AZ27-AY27)*ci_comp3)+(AZ27*ct_comp3*'Time on treatment'!$D$12)</f>
        <v>48678517.693203315</v>
      </c>
      <c r="BA69" s="388">
        <f ca="1">((BA27-(AZ27-AY27)-AY27)*ci_comp3)+(BA27*ct_comp3*'Time on treatment'!$D$12)</f>
        <v>42925695.128936484</v>
      </c>
      <c r="BB69" s="388">
        <f ca="1">((BB27-(BA27-AZ27)-(AZ27-AY27)-AY27)*ci_comp3)+(BB27*ct_comp3*'Time on treatment'!$D$12)</f>
        <v>37078693.869310103</v>
      </c>
      <c r="BC69" s="389">
        <f ca="1">((BC27-(BB27-BA27)-(BA27-AZ27)-(AZ27-AY27)-AY27)*ci_comp3)+(BC27*ct_comp3*'Time on treatment'!$D$12)</f>
        <v>31137914.183284309</v>
      </c>
      <c r="BD69" s="77"/>
      <c r="BE69" s="77"/>
      <c r="BF69" s="386"/>
      <c r="BG69" s="388">
        <f ca="1">(BG27*ci_comp4)+(BG27*ct_comp4*'Time on treatment'!$D$12)</f>
        <v>10352103.395284122</v>
      </c>
      <c r="BH69" s="388">
        <f ca="1">((BH27-BG27)*ci_comp4)+(BH27*ct_comp4*'Time on treatment'!$D$12)</f>
        <v>9277343.4242020063</v>
      </c>
      <c r="BI69" s="388">
        <f ca="1">((BI27-(BH27-BG27)-BG27)*ci_comp4)+(BI27*ct_comp4*'Time on treatment'!$D$12)</f>
        <v>8180947.8658250589</v>
      </c>
      <c r="BJ69" s="388">
        <f ca="1">((BJ27-(BI27-BH27)-(BH27-BG27)-BG27)*ci_comp4)+(BJ27*ct_comp4*'Time on treatment'!$D$12)</f>
        <v>7066603.3611469809</v>
      </c>
      <c r="BK69" s="389">
        <f ca="1">((BK27-(BJ27-BI27)-(BI27-BH27)-(BH27-BG27)-BG27)*ci_comp4)+(BK27*ct_comp4*'Time on treatment'!$D$12)</f>
        <v>5934386.1950010285</v>
      </c>
      <c r="BL69" s="77"/>
      <c r="BM69" s="77"/>
      <c r="BN69" s="386"/>
      <c r="BO69" s="388">
        <f ca="1">(BO27*ci_comp5)+(BO27*ct_comp5*'Time on treatment'!$D$12)</f>
        <v>1042638.2635894753</v>
      </c>
      <c r="BP69" s="388">
        <f ca="1">((BP27-BO27)*ci_comp5)+(BP27*ct_comp5*'Time on treatment'!$D$12)</f>
        <v>1051189.9831204498</v>
      </c>
      <c r="BQ69" s="388">
        <f ca="1">((BQ27-(BP27-BO27)-BO27)*ci_comp5)+(BQ27*ct_comp5*'Time on treatment'!$D$12)</f>
        <v>1059383.373114164</v>
      </c>
      <c r="BR69" s="388">
        <f ca="1">((BR27-(BQ27-BP27)-(BP27-BO27)-BO27)*ci_comp5)+(BR27*ct_comp5*'Time on treatment'!$D$12)</f>
        <v>1067596.2328532587</v>
      </c>
      <c r="BS69" s="389">
        <f ca="1">((BS27-(BR27-BQ27)-(BQ27-BP27)-(BP27-BO27)-BO27)*ci_comp5)+(BS27*ct_comp5*'Time on treatment'!$D$12)</f>
        <v>1075854.0739806562</v>
      </c>
      <c r="BT69" s="77"/>
      <c r="BU69" s="77"/>
      <c r="BV69" s="386"/>
      <c r="BW69" s="388">
        <f ca="1">(BW27*ci_comp6)+(BW27*ct_comp6*'Time on treatment'!$D$12)</f>
        <v>38488.78478449375</v>
      </c>
      <c r="BX69" s="388">
        <f ca="1">((BX27-BW27)*ci_comp6)+(BX27*ct_comp6*'Time on treatment'!$D$12)</f>
        <v>34492.862058218379</v>
      </c>
      <c r="BY69" s="388">
        <f ca="1">((BY27-(BX27-BW27)-BW27)*ci_comp6)+(BY27*ct_comp6*'Time on treatment'!$D$12)</f>
        <v>30416.498919856684</v>
      </c>
      <c r="BZ69" s="388">
        <f ca="1">((BZ27-(BY27-BX27)-(BX27-BW27)-BW27)*ci_comp6)+(BZ27*ct_comp6*'Time on treatment'!$D$12)</f>
        <v>26273.402181093799</v>
      </c>
      <c r="CA69" s="389">
        <f ca="1">((CA27-(BZ27-BY27)-(BY27-BX27)-(BX27-BW27)-BW27)*ci_comp6)+(CA27*ct_comp6*'Time on treatment'!$D$12)</f>
        <v>22063.855466466437</v>
      </c>
      <c r="CB69" s="77"/>
      <c r="CC69" s="77"/>
      <c r="CD69" s="386"/>
      <c r="CE69" s="388">
        <f ca="1">(CE27*ci_comp7)+(CE27*ct_comp7*'Time on treatment'!$D$12)</f>
        <v>2779199.1467679399</v>
      </c>
      <c r="CF69" s="388">
        <f ca="1">((CF27-CE27)*ci_comp7)+(CF27*ct_comp7*'Time on treatment'!$D$12)</f>
        <v>2490661.4573190054</v>
      </c>
      <c r="CG69" s="388">
        <f ca="1">((CG27-(CF27-CE27)-CE27)*ci_comp7)+(CG27*ct_comp7*'Time on treatment'!$D$12)</f>
        <v>2196315.3245563176</v>
      </c>
      <c r="CH69" s="388">
        <f ca="1">((CH27-(CG27-CF27)-(CF27-CE27)-CE27)*ci_comp7)+(CH27*ct_comp7*'Time on treatment'!$D$12)</f>
        <v>1897150.4902852764</v>
      </c>
      <c r="CI69" s="389">
        <f ca="1">((CI27-(CH27-CG27)-(CG27-CF27)-(CF27-CE27)-CE27)*ci_comp7)+(CI27*ct_comp7*'Time on treatment'!$D$12)</f>
        <v>1593187.4344736142</v>
      </c>
      <c r="CJ69" s="77"/>
      <c r="CK69" s="77"/>
      <c r="CL69" s="386"/>
      <c r="CM69" s="388">
        <f ca="1">(CM27*ci_comp8)+(CM27*ct_comp8*'Time on treatment'!$D$12)</f>
        <v>11908604.566659126</v>
      </c>
      <c r="CN69" s="388">
        <f ca="1">((CN27-CM27)*ci_comp8)+(CN27*ct_comp8*'Time on treatment'!$D$12)</f>
        <v>10672247.952840775</v>
      </c>
      <c r="CO69" s="388">
        <f ca="1">((CO27-(CN27-CM27)-CM27)*ci_comp8)+(CO27*ct_comp8*'Time on treatment'!$D$12)</f>
        <v>9411002.7107095607</v>
      </c>
      <c r="CP69" s="388">
        <f ca="1">((CP27-(CO27-CN27)-(CN27-CM27)-CM27)*ci_comp8)+(CP27*ct_comp8*'Time on treatment'!$D$12)</f>
        <v>8129109.7899639942</v>
      </c>
      <c r="CQ69" s="389">
        <f ca="1">((CQ27-(CP27-CO27)-(CO27-CN27)-(CN27-CM27)-CM27)*ci_comp8)+(CQ27*ct_comp8*'Time on treatment'!$D$12)</f>
        <v>6826656.9453220284</v>
      </c>
      <c r="CR69" s="77"/>
      <c r="CS69" s="77"/>
      <c r="CT69" s="386"/>
      <c r="CU69" s="388">
        <f ca="1">(CU27*ci_comp9)+(CU27*ct_comp9*'Time on treatment'!$D$12)</f>
        <v>25400559.249601152</v>
      </c>
      <c r="CV69" s="388">
        <f ca="1">((CV27-CU27)*ci_comp9)+(CV27*ct_comp9*'Time on treatment'!$D$12)</f>
        <v>22759953.382149894</v>
      </c>
      <c r="CW69" s="388">
        <f ca="1">((CW27-(CV27-CU27)-CU27)*ci_comp9)+(CW27*ct_comp9*'Time on treatment'!$D$12)</f>
        <v>20066206.409859195</v>
      </c>
      <c r="CX69" s="388">
        <f ca="1">((CX27-(CW27-CV27)-(CV27-CU27)-CU27)*ci_comp9)+(CX27*ct_comp9*'Time on treatment'!$D$12)</f>
        <v>17328363.907455623</v>
      </c>
      <c r="CY69" s="389">
        <f ca="1">((CY27-(CX27-CW27)-(CW27-CV27)-(CV27-CU27)-CU27)*ci_comp9)+(CY27*ct_comp9*'Time on treatment'!$D$12)</f>
        <v>14546612.516561389</v>
      </c>
      <c r="CZ69" s="77"/>
      <c r="DA69" s="77"/>
      <c r="DB69" s="386"/>
      <c r="DC69" s="388">
        <f ca="1">(DC27*ci_comp10)+(DC27*ct_comp10*'Time on treatment'!$D$12)</f>
        <v>0</v>
      </c>
      <c r="DD69" s="388">
        <f ca="1">((DD27-DC27)*ci_comp10)+(DD27*ct_comp10*'Time on treatment'!$D$12)</f>
        <v>0</v>
      </c>
      <c r="DE69" s="388">
        <f ca="1">((DE27-(DD27-DC27)-DC27)*ci_comp10)+(DE27*ct_comp10*'Time on treatment'!$D$12)</f>
        <v>0</v>
      </c>
      <c r="DF69" s="388">
        <f ca="1">((DF27-(DE27-DD27)-(DD27-DC27)-DC27)*ci_comp10)+(DF27*ct_comp10*'Time on treatment'!$D$12)</f>
        <v>0</v>
      </c>
      <c r="DG69" s="389">
        <f ca="1">((DG27-(DF27-DE27)-(DE27-DD27)-(DD27-DC27)-DC27)*ci_comp10)+(DG27*ct_comp10*'Time on treatment'!$D$12)</f>
        <v>0</v>
      </c>
      <c r="DH69" s="77"/>
      <c r="DI69" s="77"/>
    </row>
    <row r="70" spans="2:113">
      <c r="B70" s="80"/>
      <c r="C70" s="109"/>
      <c r="D70" s="109"/>
      <c r="E70" s="109"/>
      <c r="F70" s="109"/>
      <c r="G70" s="109"/>
      <c r="J70" s="80"/>
      <c r="K70" s="109"/>
      <c r="L70" s="109"/>
      <c r="M70" s="109"/>
      <c r="N70" s="109"/>
      <c r="O70" s="109"/>
      <c r="R70" s="80"/>
      <c r="S70" s="109"/>
      <c r="T70" s="109"/>
      <c r="U70" s="109"/>
      <c r="V70" s="109"/>
      <c r="W70" s="109"/>
      <c r="Z70" s="80"/>
      <c r="AA70" s="109"/>
      <c r="AB70" s="109"/>
      <c r="AC70" s="109"/>
      <c r="AD70" s="109"/>
      <c r="AE70" s="109"/>
      <c r="AH70" s="80"/>
      <c r="AI70" s="109"/>
      <c r="AJ70" s="109"/>
      <c r="AK70" s="109"/>
      <c r="AL70" s="109"/>
      <c r="AM70" s="109"/>
      <c r="AP70" s="80"/>
      <c r="AQ70" s="109"/>
      <c r="AR70" s="109"/>
      <c r="AS70" s="109"/>
      <c r="AT70" s="109"/>
      <c r="AU70" s="109"/>
      <c r="AX70" s="80"/>
      <c r="AY70" s="109"/>
      <c r="AZ70" s="109"/>
      <c r="BA70" s="109"/>
      <c r="BB70" s="109"/>
      <c r="BC70" s="109"/>
      <c r="BF70" s="80"/>
      <c r="BG70" s="109"/>
      <c r="BH70" s="109"/>
      <c r="BI70" s="109"/>
      <c r="BJ70" s="109"/>
      <c r="BK70" s="109"/>
      <c r="BN70" s="80"/>
      <c r="BO70" s="109"/>
      <c r="BP70" s="109"/>
      <c r="BQ70" s="109"/>
      <c r="BR70" s="109"/>
      <c r="BS70" s="109"/>
      <c r="BV70" s="80"/>
      <c r="BW70" s="109"/>
      <c r="BX70" s="109"/>
      <c r="BY70" s="109"/>
      <c r="BZ70" s="109"/>
      <c r="CA70" s="109"/>
      <c r="CD70" s="80"/>
      <c r="CE70" s="109"/>
      <c r="CF70" s="109"/>
      <c r="CG70" s="109"/>
      <c r="CH70" s="109"/>
      <c r="CI70" s="109"/>
      <c r="CL70" s="80"/>
      <c r="CM70" s="109"/>
      <c r="CN70" s="109"/>
      <c r="CO70" s="109"/>
      <c r="CP70" s="109"/>
      <c r="CQ70" s="109"/>
      <c r="CT70" s="80"/>
      <c r="CU70" s="109"/>
      <c r="CV70" s="109"/>
      <c r="CW70" s="109"/>
      <c r="CX70" s="109"/>
      <c r="CY70" s="109"/>
      <c r="DB70" s="80"/>
      <c r="DC70" s="109"/>
      <c r="DD70" s="109"/>
      <c r="DE70" s="109"/>
      <c r="DF70" s="109"/>
      <c r="DG70" s="109"/>
    </row>
    <row r="73" spans="2:113" s="3" customFormat="1" ht="13.95" customHeight="1">
      <c r="B73" s="7"/>
      <c r="C73" s="7"/>
      <c r="D73" s="7"/>
      <c r="E73" s="7"/>
      <c r="F73" s="7"/>
      <c r="G73" s="7"/>
      <c r="H73" s="7"/>
      <c r="I73" s="7"/>
      <c r="J73" s="7"/>
      <c r="K73" s="7"/>
      <c r="L73" s="142"/>
      <c r="M73" s="142"/>
      <c r="N73" s="9"/>
      <c r="O73" s="9"/>
      <c r="P73" s="9"/>
      <c r="Q73" s="9"/>
      <c r="R73" s="9"/>
      <c r="S73" s="9"/>
      <c r="T73" s="9"/>
      <c r="U73" s="9"/>
      <c r="V73" s="9"/>
      <c r="W73" s="9"/>
      <c r="X73" s="9"/>
    </row>
    <row r="74" spans="2:113" s="3" customFormat="1">
      <c r="B74" s="65"/>
      <c r="C74" s="65"/>
      <c r="D74" s="65"/>
      <c r="E74" s="65"/>
      <c r="F74" s="65"/>
      <c r="G74" s="65"/>
      <c r="H74" s="65"/>
      <c r="I74" s="65"/>
      <c r="J74" s="65"/>
      <c r="K74" s="65"/>
      <c r="L74" s="65"/>
      <c r="M74" s="65"/>
    </row>
    <row r="75" spans="2:113" s="3" customFormat="1">
      <c r="B75" s="406" t="s">
        <v>77</v>
      </c>
      <c r="C75" s="406"/>
      <c r="D75" s="406"/>
      <c r="E75" s="406"/>
      <c r="F75" s="406"/>
      <c r="G75" s="406"/>
      <c r="H75" s="406"/>
      <c r="I75" s="406"/>
      <c r="J75" s="406"/>
      <c r="K75" s="406"/>
      <c r="L75" s="406"/>
      <c r="M75" s="406"/>
    </row>
    <row r="76" spans="2:113" s="3" customFormat="1">
      <c r="B76" s="406"/>
      <c r="C76" s="406"/>
      <c r="D76" s="406"/>
      <c r="E76" s="406"/>
      <c r="F76" s="406"/>
      <c r="G76" s="406"/>
      <c r="H76" s="406"/>
      <c r="I76" s="406"/>
      <c r="J76" s="406"/>
      <c r="K76" s="406"/>
      <c r="L76" s="406"/>
      <c r="M76" s="406"/>
    </row>
    <row r="77" spans="2:113" s="1" customFormat="1" ht="85.95" customHeight="1">
      <c r="B77" s="405" t="e" vm="1">
        <v>#VALUE!</v>
      </c>
      <c r="C77" s="405"/>
      <c r="D77" s="405"/>
      <c r="E77" s="405"/>
      <c r="F77" s="405"/>
      <c r="G77" s="405"/>
      <c r="H77" s="405"/>
      <c r="I77" s="405"/>
      <c r="J77" s="405"/>
      <c r="K77" s="405"/>
      <c r="L77" s="405"/>
      <c r="M77" s="405"/>
    </row>
  </sheetData>
  <sheetProtection algorithmName="SHA-512" hashValue="FAJ8i+C5mtm/Bg47PxEt5u1ACTy8QSBcSoxenaGMJ7Gq07ieIpa2yH8BXR3XRksh1XW0wSt+HpkvKqcKlmNTAA==" saltValue="WuZu5NL5zWl7e5dCKIpCYA==" spinCount="100000" sheet="1" objects="1" scenarios="1" formatColumns="0"/>
  <mergeCells count="276">
    <mergeCell ref="B75:M76"/>
    <mergeCell ref="B77:M77"/>
    <mergeCell ref="BN67:BS67"/>
    <mergeCell ref="BV67:CA67"/>
    <mergeCell ref="CD67:CI67"/>
    <mergeCell ref="CL67:CQ67"/>
    <mergeCell ref="CT67:CY67"/>
    <mergeCell ref="DB67:DG67"/>
    <mergeCell ref="CT63:CY63"/>
    <mergeCell ref="DB63:DG63"/>
    <mergeCell ref="B67:G67"/>
    <mergeCell ref="J67:O67"/>
    <mergeCell ref="R67:W67"/>
    <mergeCell ref="Z67:AE67"/>
    <mergeCell ref="AH67:AM67"/>
    <mergeCell ref="AP67:AU67"/>
    <mergeCell ref="AX67:BC67"/>
    <mergeCell ref="BF67:BK67"/>
    <mergeCell ref="AX63:BC63"/>
    <mergeCell ref="BF63:BK63"/>
    <mergeCell ref="BN63:BS63"/>
    <mergeCell ref="BV63:CA63"/>
    <mergeCell ref="CD63:CI63"/>
    <mergeCell ref="CL63:CQ63"/>
    <mergeCell ref="B63:G63"/>
    <mergeCell ref="J63:O63"/>
    <mergeCell ref="R63:W63"/>
    <mergeCell ref="Z63:AE63"/>
    <mergeCell ref="AH63:AM63"/>
    <mergeCell ref="AP63:AU63"/>
    <mergeCell ref="BN59:BS59"/>
    <mergeCell ref="BV59:CA59"/>
    <mergeCell ref="CD59:CI59"/>
    <mergeCell ref="CL59:CQ59"/>
    <mergeCell ref="CT59:CY59"/>
    <mergeCell ref="DB59:DG59"/>
    <mergeCell ref="CT55:CY55"/>
    <mergeCell ref="DB55:DG55"/>
    <mergeCell ref="B59:G59"/>
    <mergeCell ref="J59:O59"/>
    <mergeCell ref="R59:W59"/>
    <mergeCell ref="Z59:AE59"/>
    <mergeCell ref="AH59:AM59"/>
    <mergeCell ref="AP59:AU59"/>
    <mergeCell ref="AX59:BC59"/>
    <mergeCell ref="BF59:BK59"/>
    <mergeCell ref="AX55:BC55"/>
    <mergeCell ref="BF55:BK55"/>
    <mergeCell ref="BN55:BS55"/>
    <mergeCell ref="BV55:CA55"/>
    <mergeCell ref="CD55:CI55"/>
    <mergeCell ref="CL55:CQ55"/>
    <mergeCell ref="B55:G55"/>
    <mergeCell ref="J55:O55"/>
    <mergeCell ref="R55:W55"/>
    <mergeCell ref="Z55:AE55"/>
    <mergeCell ref="AH55:AM55"/>
    <mergeCell ref="AP55:AU55"/>
    <mergeCell ref="BN53:BS53"/>
    <mergeCell ref="BV53:CA53"/>
    <mergeCell ref="CD53:CI53"/>
    <mergeCell ref="CL53:CQ53"/>
    <mergeCell ref="CT53:CY53"/>
    <mergeCell ref="DB53:DG53"/>
    <mergeCell ref="CT52:CZ52"/>
    <mergeCell ref="DB52:DH52"/>
    <mergeCell ref="BN52:BT52"/>
    <mergeCell ref="BV52:CB52"/>
    <mergeCell ref="CD52:CJ52"/>
    <mergeCell ref="CL52:CR52"/>
    <mergeCell ref="B53:G53"/>
    <mergeCell ref="J53:O53"/>
    <mergeCell ref="R53:W53"/>
    <mergeCell ref="Z53:AE53"/>
    <mergeCell ref="AH53:AM53"/>
    <mergeCell ref="AP53:AU53"/>
    <mergeCell ref="AX53:BC53"/>
    <mergeCell ref="BF53:BK53"/>
    <mergeCell ref="AX52:BD52"/>
    <mergeCell ref="BF52:BL52"/>
    <mergeCell ref="B52:H52"/>
    <mergeCell ref="J52:P52"/>
    <mergeCell ref="R52:X52"/>
    <mergeCell ref="Z52:AF52"/>
    <mergeCell ref="AH52:AN52"/>
    <mergeCell ref="AP52:AV52"/>
    <mergeCell ref="BN46:BS46"/>
    <mergeCell ref="BV46:CA46"/>
    <mergeCell ref="CD46:CI46"/>
    <mergeCell ref="CL46:CQ46"/>
    <mergeCell ref="CT46:CY46"/>
    <mergeCell ref="DB46:DG46"/>
    <mergeCell ref="CT42:CY42"/>
    <mergeCell ref="DB42:DG42"/>
    <mergeCell ref="B46:G46"/>
    <mergeCell ref="J46:O46"/>
    <mergeCell ref="R46:W46"/>
    <mergeCell ref="Z46:AE46"/>
    <mergeCell ref="AH46:AM46"/>
    <mergeCell ref="AP46:AU46"/>
    <mergeCell ref="AX46:BC46"/>
    <mergeCell ref="BF46:BK46"/>
    <mergeCell ref="AX42:BC42"/>
    <mergeCell ref="BF42:BK42"/>
    <mergeCell ref="BN42:BS42"/>
    <mergeCell ref="BV42:CA42"/>
    <mergeCell ref="CD42:CI42"/>
    <mergeCell ref="CL42:CQ42"/>
    <mergeCell ref="B42:G42"/>
    <mergeCell ref="J42:O42"/>
    <mergeCell ref="R42:W42"/>
    <mergeCell ref="Z42:AE42"/>
    <mergeCell ref="AH42:AM42"/>
    <mergeCell ref="AP42:AU42"/>
    <mergeCell ref="BN38:BS38"/>
    <mergeCell ref="BV38:CA38"/>
    <mergeCell ref="CD38:CI38"/>
    <mergeCell ref="CL38:CQ38"/>
    <mergeCell ref="CT38:CY38"/>
    <mergeCell ref="DB38:DG38"/>
    <mergeCell ref="CT34:CY34"/>
    <mergeCell ref="DB34:DG34"/>
    <mergeCell ref="B38:G38"/>
    <mergeCell ref="J38:O38"/>
    <mergeCell ref="R38:W38"/>
    <mergeCell ref="Z38:AE38"/>
    <mergeCell ref="AH38:AM38"/>
    <mergeCell ref="AP38:AU38"/>
    <mergeCell ref="AX38:BC38"/>
    <mergeCell ref="BF38:BK38"/>
    <mergeCell ref="AX34:BC34"/>
    <mergeCell ref="BF34:BK34"/>
    <mergeCell ref="BN34:BS34"/>
    <mergeCell ref="BV34:CA34"/>
    <mergeCell ref="CD34:CI34"/>
    <mergeCell ref="CL34:CQ34"/>
    <mergeCell ref="B34:G34"/>
    <mergeCell ref="J34:O34"/>
    <mergeCell ref="R34:W34"/>
    <mergeCell ref="Z34:AE34"/>
    <mergeCell ref="AH34:AM34"/>
    <mergeCell ref="AP34:AU34"/>
    <mergeCell ref="BN32:BS32"/>
    <mergeCell ref="BV32:CA32"/>
    <mergeCell ref="CD32:CI32"/>
    <mergeCell ref="CL32:CQ32"/>
    <mergeCell ref="CT32:CY32"/>
    <mergeCell ref="DB32:DG32"/>
    <mergeCell ref="CT31:CZ31"/>
    <mergeCell ref="DB31:DH31"/>
    <mergeCell ref="B32:G32"/>
    <mergeCell ref="J32:O32"/>
    <mergeCell ref="R32:W32"/>
    <mergeCell ref="Z32:AE32"/>
    <mergeCell ref="AH32:AM32"/>
    <mergeCell ref="AP32:AU32"/>
    <mergeCell ref="AX32:BC32"/>
    <mergeCell ref="BF32:BK32"/>
    <mergeCell ref="AX31:BD31"/>
    <mergeCell ref="BF31:BL31"/>
    <mergeCell ref="BN31:BT31"/>
    <mergeCell ref="BV31:CB31"/>
    <mergeCell ref="CD31:CJ31"/>
    <mergeCell ref="CL31:CR31"/>
    <mergeCell ref="B31:H31"/>
    <mergeCell ref="J31:P31"/>
    <mergeCell ref="R31:X31"/>
    <mergeCell ref="Z31:AF31"/>
    <mergeCell ref="AH31:AN31"/>
    <mergeCell ref="AP31:AV31"/>
    <mergeCell ref="BN25:BS25"/>
    <mergeCell ref="BV25:CA25"/>
    <mergeCell ref="CD25:CI25"/>
    <mergeCell ref="CL25:CQ25"/>
    <mergeCell ref="CT25:CY25"/>
    <mergeCell ref="DB25:DG25"/>
    <mergeCell ref="CT21:CY21"/>
    <mergeCell ref="DB21:DG21"/>
    <mergeCell ref="B25:G25"/>
    <mergeCell ref="J25:O25"/>
    <mergeCell ref="R25:W25"/>
    <mergeCell ref="Z25:AE25"/>
    <mergeCell ref="AH25:AM25"/>
    <mergeCell ref="AP25:AU25"/>
    <mergeCell ref="AX25:BC25"/>
    <mergeCell ref="BF25:BK25"/>
    <mergeCell ref="AX21:BC21"/>
    <mergeCell ref="BF21:BK21"/>
    <mergeCell ref="BN21:BS21"/>
    <mergeCell ref="BV21:CA21"/>
    <mergeCell ref="CD21:CI21"/>
    <mergeCell ref="CL21:CQ21"/>
    <mergeCell ref="B21:G21"/>
    <mergeCell ref="J21:O21"/>
    <mergeCell ref="R21:W21"/>
    <mergeCell ref="Z21:AE21"/>
    <mergeCell ref="AH21:AM21"/>
    <mergeCell ref="AP21:AU21"/>
    <mergeCell ref="BN17:BS17"/>
    <mergeCell ref="BV17:CA17"/>
    <mergeCell ref="CD17:CI17"/>
    <mergeCell ref="CL17:CQ17"/>
    <mergeCell ref="CT17:CY17"/>
    <mergeCell ref="DB17:DG17"/>
    <mergeCell ref="CT13:CY13"/>
    <mergeCell ref="DB13:DG13"/>
    <mergeCell ref="B17:G17"/>
    <mergeCell ref="J17:O17"/>
    <mergeCell ref="R17:W17"/>
    <mergeCell ref="Z17:AE17"/>
    <mergeCell ref="AH17:AM17"/>
    <mergeCell ref="AP17:AU17"/>
    <mergeCell ref="AX17:BC17"/>
    <mergeCell ref="BF17:BK17"/>
    <mergeCell ref="AX13:BC13"/>
    <mergeCell ref="BF13:BK13"/>
    <mergeCell ref="BN13:BS13"/>
    <mergeCell ref="BV13:CA13"/>
    <mergeCell ref="CD13:CI13"/>
    <mergeCell ref="CL13:CQ13"/>
    <mergeCell ref="B13:G13"/>
    <mergeCell ref="J13:O13"/>
    <mergeCell ref="R13:W13"/>
    <mergeCell ref="Z13:AE13"/>
    <mergeCell ref="AH13:AM13"/>
    <mergeCell ref="AP13:AU13"/>
    <mergeCell ref="BN11:BS11"/>
    <mergeCell ref="BV11:CA11"/>
    <mergeCell ref="CD11:CI11"/>
    <mergeCell ref="CL11:CQ11"/>
    <mergeCell ref="CT11:CY11"/>
    <mergeCell ref="DB11:DG11"/>
    <mergeCell ref="CT10:CZ10"/>
    <mergeCell ref="DB10:DH10"/>
    <mergeCell ref="B11:G11"/>
    <mergeCell ref="J11:O11"/>
    <mergeCell ref="R11:W11"/>
    <mergeCell ref="Z11:AE11"/>
    <mergeCell ref="AH11:AM11"/>
    <mergeCell ref="AP11:AU11"/>
    <mergeCell ref="AX11:BC11"/>
    <mergeCell ref="BF11:BK11"/>
    <mergeCell ref="AX10:BD10"/>
    <mergeCell ref="BF10:BL10"/>
    <mergeCell ref="BN10:BT10"/>
    <mergeCell ref="BV10:CB10"/>
    <mergeCell ref="CD10:CJ10"/>
    <mergeCell ref="CL10:CR10"/>
    <mergeCell ref="B10:H10"/>
    <mergeCell ref="J10:P10"/>
    <mergeCell ref="R10:X10"/>
    <mergeCell ref="Z10:AF10"/>
    <mergeCell ref="AH10:AN10"/>
    <mergeCell ref="AP10:AV10"/>
    <mergeCell ref="BN5:BT5"/>
    <mergeCell ref="BV5:CB5"/>
    <mergeCell ref="CD5:CJ5"/>
    <mergeCell ref="CL5:CR5"/>
    <mergeCell ref="CT5:CZ5"/>
    <mergeCell ref="DB5:DH5"/>
    <mergeCell ref="CT4:CZ4"/>
    <mergeCell ref="DB4:DH4"/>
    <mergeCell ref="B5:H5"/>
    <mergeCell ref="J5:P5"/>
    <mergeCell ref="R5:X5"/>
    <mergeCell ref="Z5:AF5"/>
    <mergeCell ref="AH5:AN5"/>
    <mergeCell ref="AP5:AV5"/>
    <mergeCell ref="AX5:BD5"/>
    <mergeCell ref="BF5:BL5"/>
    <mergeCell ref="AX4:BD4"/>
    <mergeCell ref="BF4:BL4"/>
    <mergeCell ref="BN4:BT4"/>
    <mergeCell ref="BV4:CB4"/>
    <mergeCell ref="CD4:CJ4"/>
    <mergeCell ref="CL4:CR4"/>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1F63-9093-499D-A042-AFE3C1FF35D7}">
  <sheetPr codeName="Planilha16">
    <tabColor rgb="FF0EB1BA"/>
  </sheetPr>
  <dimension ref="B1:Z89"/>
  <sheetViews>
    <sheetView showGridLines="0" showRowColHeaders="0" zoomScaleNormal="100" workbookViewId="0">
      <selection activeCell="N22" sqref="N22"/>
    </sheetView>
  </sheetViews>
  <sheetFormatPr defaultColWidth="8.77734375" defaultRowHeight="14.4"/>
  <cols>
    <col min="1" max="1" width="6.33203125" style="3" customWidth="1"/>
    <col min="2" max="2" width="29.77734375" style="3" customWidth="1"/>
    <col min="3" max="3" width="17.77734375" style="3" customWidth="1"/>
    <col min="4" max="4" width="20.44140625" style="3" customWidth="1"/>
    <col min="5" max="5" width="22.6640625" style="3" customWidth="1"/>
    <col min="6" max="6" width="22" style="3" customWidth="1"/>
    <col min="7" max="7" width="19.77734375" style="3" customWidth="1"/>
    <col min="8" max="8" width="10.44140625" style="3" customWidth="1"/>
    <col min="9" max="9" width="4.109375" style="3" customWidth="1"/>
    <col min="10" max="10" width="26.109375" style="3" customWidth="1"/>
    <col min="11" max="11" width="22.33203125" style="3" customWidth="1"/>
    <col min="12" max="12" width="25.44140625" style="3" customWidth="1"/>
    <col min="13" max="13" width="24.6640625" style="3" customWidth="1"/>
    <col min="14" max="14" width="26.44140625" style="3" customWidth="1"/>
    <col min="15" max="15" width="24.33203125" style="3" customWidth="1"/>
    <col min="16" max="16384" width="8.77734375" style="3"/>
  </cols>
  <sheetData>
    <row r="1" spans="2:26" s="33" customFormat="1" ht="33.6">
      <c r="B1" s="34" t="str">
        <f>Introduction!$B$1</f>
        <v>Budget impact analysis of treatments for Patients at high and very high cardiovascular risk</v>
      </c>
      <c r="C1" s="34"/>
      <c r="D1" s="35"/>
      <c r="E1" s="36"/>
      <c r="F1" s="36"/>
      <c r="G1" s="36"/>
      <c r="H1" s="36"/>
      <c r="I1" s="36"/>
      <c r="J1" s="36"/>
      <c r="K1" s="36"/>
      <c r="L1" s="36"/>
      <c r="M1" s="36"/>
      <c r="N1" s="36"/>
      <c r="O1" s="36"/>
      <c r="P1" s="36"/>
      <c r="Q1" s="36"/>
      <c r="R1" s="36"/>
      <c r="S1" s="36"/>
      <c r="T1" s="36"/>
      <c r="U1" s="36"/>
      <c r="V1" s="36"/>
      <c r="W1" s="36"/>
      <c r="X1" s="36"/>
      <c r="Y1" s="36"/>
      <c r="Z1" s="55"/>
    </row>
    <row r="2" spans="2:26" s="33" customFormat="1" ht="18">
      <c r="B2" s="37"/>
      <c r="C2" s="37"/>
      <c r="D2" s="38"/>
      <c r="E2" s="39"/>
      <c r="F2" s="39"/>
      <c r="G2" s="39"/>
      <c r="H2" s="39"/>
      <c r="I2" s="39"/>
      <c r="J2" s="39"/>
      <c r="K2" s="39"/>
      <c r="L2" s="39"/>
      <c r="M2" s="36"/>
      <c r="N2" s="36"/>
      <c r="O2" s="36"/>
      <c r="P2" s="36"/>
      <c r="Q2" s="36"/>
      <c r="R2" s="36"/>
      <c r="S2" s="36"/>
      <c r="T2" s="36"/>
      <c r="U2" s="36"/>
      <c r="V2" s="36"/>
      <c r="W2" s="36"/>
      <c r="X2" s="36"/>
      <c r="Y2" s="36"/>
      <c r="Z2" s="55"/>
    </row>
    <row r="3" spans="2:26" s="45" customFormat="1" ht="2.25" customHeight="1">
      <c r="D3" s="46"/>
      <c r="Z3" s="56"/>
    </row>
    <row r="4" spans="2:26" ht="18">
      <c r="B4" s="9"/>
      <c r="C4" s="47"/>
      <c r="D4" s="47"/>
      <c r="E4" s="47"/>
      <c r="F4" s="47"/>
      <c r="G4" s="47"/>
      <c r="H4" s="47"/>
      <c r="I4" s="9"/>
      <c r="J4" s="9"/>
      <c r="K4" s="9"/>
      <c r="L4" s="9"/>
      <c r="M4" s="9"/>
      <c r="N4" s="9"/>
      <c r="O4" s="9"/>
      <c r="P4" s="9"/>
      <c r="Q4" s="9"/>
      <c r="R4" s="9"/>
      <c r="S4" s="9"/>
      <c r="T4" s="9"/>
      <c r="U4" s="9"/>
      <c r="V4" s="9"/>
      <c r="W4" s="9"/>
      <c r="X4" s="9"/>
      <c r="Y4" s="9"/>
      <c r="Z4" s="9"/>
    </row>
    <row r="6" spans="2:26" ht="18">
      <c r="B6" s="47" t="str">
        <f>Results!B21</f>
        <v>Full-cost results</v>
      </c>
      <c r="C6" s="9"/>
      <c r="D6" s="9"/>
      <c r="E6" s="9"/>
      <c r="F6" s="9"/>
      <c r="G6" s="9"/>
      <c r="H6" s="9"/>
      <c r="I6" s="9"/>
      <c r="J6" s="47" t="str">
        <f>Results!B30</f>
        <v>Technology cost–only results</v>
      </c>
      <c r="K6" s="47"/>
      <c r="L6" s="47"/>
      <c r="M6" s="47"/>
      <c r="N6" s="47"/>
      <c r="O6" s="47"/>
      <c r="P6" s="47"/>
      <c r="Q6" s="9"/>
      <c r="R6" s="9"/>
      <c r="S6" s="9"/>
      <c r="T6" s="9"/>
      <c r="U6" s="9"/>
      <c r="V6" s="9"/>
      <c r="W6" s="9"/>
      <c r="X6" s="9"/>
      <c r="Y6" s="9"/>
      <c r="Z6" s="9"/>
    </row>
    <row r="8" spans="2:26">
      <c r="B8" s="513" t="str">
        <f>cen_atual</f>
        <v>without rosuvastatin</v>
      </c>
      <c r="C8" s="513"/>
      <c r="D8" s="513"/>
      <c r="E8" s="513"/>
      <c r="F8" s="513"/>
      <c r="G8" s="513"/>
      <c r="H8" s="513"/>
      <c r="I8" s="9"/>
      <c r="J8" s="513" t="str">
        <f>cen_atual</f>
        <v>without rosuvastatin</v>
      </c>
      <c r="K8" s="513"/>
      <c r="L8" s="513"/>
      <c r="M8" s="513"/>
      <c r="N8" s="513"/>
      <c r="O8" s="513"/>
      <c r="P8" s="513"/>
      <c r="Q8" s="9"/>
      <c r="R8" s="9"/>
      <c r="S8" s="9"/>
      <c r="T8" s="9"/>
      <c r="U8" s="9"/>
      <c r="V8" s="9"/>
      <c r="W8" s="9"/>
      <c r="X8" s="9"/>
      <c r="Y8" s="9"/>
      <c r="Z8" s="9"/>
    </row>
    <row r="10" spans="2:26">
      <c r="B10" s="93" t="s">
        <v>81</v>
      </c>
      <c r="C10" s="93">
        <f>ano_1</f>
        <v>2026</v>
      </c>
      <c r="D10" s="93">
        <f>C10+1</f>
        <v>2027</v>
      </c>
      <c r="E10" s="93">
        <f t="shared" ref="E10:G10" si="0">D10+1</f>
        <v>2028</v>
      </c>
      <c r="F10" s="93">
        <f t="shared" si="0"/>
        <v>2029</v>
      </c>
      <c r="G10" s="93">
        <f t="shared" si="0"/>
        <v>2030</v>
      </c>
      <c r="H10" s="5"/>
      <c r="I10" s="9"/>
      <c r="J10" s="93" t="s">
        <v>81</v>
      </c>
      <c r="K10" s="93">
        <f>ano_1</f>
        <v>2026</v>
      </c>
      <c r="L10" s="93">
        <f>K10+1</f>
        <v>2027</v>
      </c>
      <c r="M10" s="93">
        <f t="shared" ref="M10:O10" si="1">L10+1</f>
        <v>2028</v>
      </c>
      <c r="N10" s="93">
        <f t="shared" si="1"/>
        <v>2029</v>
      </c>
      <c r="O10" s="93">
        <f t="shared" si="1"/>
        <v>2030</v>
      </c>
      <c r="P10" s="5"/>
      <c r="Q10" s="9"/>
      <c r="R10" s="9"/>
      <c r="S10" s="9"/>
      <c r="T10" s="9"/>
      <c r="U10" s="9"/>
      <c r="V10" s="9"/>
      <c r="W10" s="9"/>
      <c r="X10" s="9"/>
      <c r="Y10" s="9"/>
      <c r="Z10" s="9"/>
    </row>
    <row r="11" spans="2:26">
      <c r="B11" s="11" t="str">
        <f>intervencao1</f>
        <v>Rosuvastatin 5mg</v>
      </c>
      <c r="C11" s="213">
        <f ca="1">IF(dynamic="Yes",Calculations!C103,Calculations2!C36)</f>
        <v>0</v>
      </c>
      <c r="D11" s="213">
        <f ca="1">Calculations!D103</f>
        <v>0</v>
      </c>
      <c r="E11" s="213">
        <f ca="1">Calculations!E103</f>
        <v>0</v>
      </c>
      <c r="F11" s="213">
        <f ca="1">Calculations!F103</f>
        <v>0</v>
      </c>
      <c r="G11" s="213">
        <f ca="1">Calculations!G103</f>
        <v>0</v>
      </c>
      <c r="H11" s="206"/>
      <c r="I11" s="206"/>
      <c r="J11" s="11" t="str">
        <f>intervencao1</f>
        <v>Rosuvastatin 5mg</v>
      </c>
      <c r="K11" s="213">
        <f ca="1">IF(dynamic="Yes",Calculations!C164,Calculations2!C57)</f>
        <v>0</v>
      </c>
      <c r="L11" s="213">
        <f ca="1">IF(dynamic="Yes",Calculations!D164,Calculations2!D57)</f>
        <v>0</v>
      </c>
      <c r="M11" s="213">
        <f ca="1">IF(dynamic="Yes",Calculations!E164,Calculations2!E57)</f>
        <v>0</v>
      </c>
      <c r="N11" s="213">
        <f ca="1">IF(dynamic="Yes",Calculations!F164,Calculations2!F57)</f>
        <v>0</v>
      </c>
      <c r="O11" s="213">
        <f ca="1">IF(dynamic="Yes",Calculations!G164,Calculations2!G57)</f>
        <v>0</v>
      </c>
      <c r="P11" s="9"/>
      <c r="Q11" s="9"/>
      <c r="R11" s="9"/>
      <c r="S11" s="9"/>
      <c r="T11" s="9"/>
      <c r="U11" s="9"/>
      <c r="V11" s="9"/>
      <c r="W11" s="9"/>
      <c r="X11" s="9"/>
      <c r="Y11" s="9"/>
      <c r="Z11" s="9"/>
    </row>
    <row r="12" spans="2:26">
      <c r="B12" s="11" t="str">
        <f>intervencao2</f>
        <v>Rosuvastatin 10mg</v>
      </c>
      <c r="C12" s="213">
        <f ca="1">IF(dynamic="Yes",Calculations!K103,Calculations2!K36)</f>
        <v>0</v>
      </c>
      <c r="D12" s="213">
        <f ca="1">IF(dynamic="Yes",Calculations!L103,Calculations2!L36)</f>
        <v>0</v>
      </c>
      <c r="E12" s="213">
        <f ca="1">IF(dynamic="Yes",Calculations!M103,Calculations2!M36)</f>
        <v>0</v>
      </c>
      <c r="F12" s="213">
        <f ca="1">IF(dynamic="Yes",Calculations!N103,Calculations2!N36)</f>
        <v>0</v>
      </c>
      <c r="G12" s="213">
        <f ca="1">IF(dynamic="Yes",Calculations!O103,Calculations2!O36)</f>
        <v>0</v>
      </c>
      <c r="H12" s="215"/>
      <c r="I12" s="206"/>
      <c r="J12" s="11" t="str">
        <f>intervencao2</f>
        <v>Rosuvastatin 10mg</v>
      </c>
      <c r="K12" s="213">
        <f ca="1">IF(dynamic="Yes",Calculations!K164,Calculations2!K57)</f>
        <v>0</v>
      </c>
      <c r="L12" s="213">
        <f ca="1">IF(dynamic="Yes",Calculations!L164,Calculations2!L57)</f>
        <v>0</v>
      </c>
      <c r="M12" s="213">
        <f ca="1">IF(dynamic="Yes",Calculations!M164,Calculations2!M57)</f>
        <v>0</v>
      </c>
      <c r="N12" s="213">
        <f ca="1">IF(dynamic="Yes",Calculations!N164,Calculations2!N57)</f>
        <v>0</v>
      </c>
      <c r="O12" s="213">
        <f ca="1">IF(dynamic="Yes",Calculations!O164,Calculations2!O57)</f>
        <v>0</v>
      </c>
      <c r="P12" s="4"/>
      <c r="Q12" s="9"/>
      <c r="R12" s="9"/>
      <c r="S12" s="9"/>
      <c r="T12" s="9"/>
      <c r="U12" s="9"/>
      <c r="V12" s="9"/>
      <c r="W12" s="9"/>
      <c r="X12" s="9"/>
      <c r="Y12" s="9"/>
      <c r="Z12" s="9"/>
    </row>
    <row r="13" spans="2:26">
      <c r="B13" s="11" t="str">
        <f>intervencao3</f>
        <v>Rosuvastatin 20mg</v>
      </c>
      <c r="C13" s="213">
        <f ca="1">IF(dynamic="Yes",Calculations!S103,Calculations2!S36)</f>
        <v>0</v>
      </c>
      <c r="D13" s="213">
        <f ca="1">IF(dynamic="Yes",Calculations!T103,Calculations2!T36)</f>
        <v>0</v>
      </c>
      <c r="E13" s="213">
        <f ca="1">IF(dynamic="Yes",Calculations!U103,Calculations2!U36)</f>
        <v>0</v>
      </c>
      <c r="F13" s="213">
        <f ca="1">IF(dynamic="Yes",Calculations!V103,Calculations2!V36)</f>
        <v>0</v>
      </c>
      <c r="G13" s="213">
        <f ca="1">IF(dynamic="Yes",Calculations!W103,Calculations2!W36)</f>
        <v>0</v>
      </c>
      <c r="H13" s="206"/>
      <c r="I13" s="206"/>
      <c r="J13" s="11" t="str">
        <f>intervencao3</f>
        <v>Rosuvastatin 20mg</v>
      </c>
      <c r="K13" s="213">
        <f ca="1">IF(dynamic="Yes",Calculations!S164,Calculations2!S57)</f>
        <v>0</v>
      </c>
      <c r="L13" s="213">
        <f ca="1">IF(dynamic="Yes",Calculations!T164,Calculations2!T57)</f>
        <v>0</v>
      </c>
      <c r="M13" s="213">
        <f ca="1">IF(dynamic="Yes",Calculations!U164,Calculations2!U57)</f>
        <v>0</v>
      </c>
      <c r="N13" s="213">
        <f ca="1">IF(dynamic="Yes",Calculations!V164,Calculations2!V57)</f>
        <v>0</v>
      </c>
      <c r="O13" s="213">
        <f ca="1">IF(dynamic="Yes",Calculations!W164,Calculations2!W57)</f>
        <v>0</v>
      </c>
      <c r="P13" s="9"/>
      <c r="Q13" s="9"/>
      <c r="R13" s="9"/>
      <c r="S13" s="9"/>
      <c r="T13" s="9"/>
      <c r="U13" s="9"/>
      <c r="V13" s="9"/>
      <c r="W13" s="9"/>
      <c r="X13" s="9"/>
      <c r="Y13" s="9"/>
      <c r="Z13" s="9"/>
    </row>
    <row r="14" spans="2:26">
      <c r="B14" s="11" t="str">
        <f>intervencao4</f>
        <v>Rosuvastatin 40mg</v>
      </c>
      <c r="C14" s="213">
        <f ca="1">IF(dynamic="Yes",Calculations!AA103,Calculations2!AA36)</f>
        <v>0</v>
      </c>
      <c r="D14" s="213">
        <f ca="1">IF(dynamic="Yes",Calculations!AB103,Calculations2!AB36)</f>
        <v>0</v>
      </c>
      <c r="E14" s="213">
        <f ca="1">IF(dynamic="Yes",Calculations!AC103,Calculations2!AC36)</f>
        <v>0</v>
      </c>
      <c r="F14" s="213">
        <f ca="1">IF(dynamic="Yes",Calculations!AD103,Calculations2!AD36)</f>
        <v>0</v>
      </c>
      <c r="G14" s="213">
        <f ca="1">IF(dynamic="Yes",Calculations!AE103,Calculations2!AE36)</f>
        <v>0</v>
      </c>
      <c r="H14" s="206"/>
      <c r="I14" s="206"/>
      <c r="J14" s="11" t="str">
        <f>intervencao4</f>
        <v>Rosuvastatin 40mg</v>
      </c>
      <c r="K14" s="213">
        <f ca="1">IF(dynamic="Yes",Calculations!AA164,Calculations2!AA57)</f>
        <v>0</v>
      </c>
      <c r="L14" s="213">
        <f ca="1">IF(dynamic="Yes",Calculations!AB164,Calculations2!AB57)</f>
        <v>0</v>
      </c>
      <c r="M14" s="213">
        <f ca="1">IF(dynamic="Yes",Calculations!AC164,Calculations2!AC57)</f>
        <v>0</v>
      </c>
      <c r="N14" s="213">
        <f ca="1">IF(dynamic="Yes",Calculations!AD164,Calculations2!AD57)</f>
        <v>0</v>
      </c>
      <c r="O14" s="213">
        <f ca="1">IF(dynamic="Yes",Calculations!AE164,Calculations2!AE57)</f>
        <v>0</v>
      </c>
      <c r="P14" s="9"/>
      <c r="Q14" s="9"/>
      <c r="R14" s="9"/>
      <c r="S14" s="9"/>
      <c r="T14" s="9"/>
      <c r="U14" s="9"/>
      <c r="V14" s="9"/>
      <c r="W14" s="9"/>
      <c r="X14" s="9"/>
      <c r="Y14" s="9"/>
      <c r="Z14" s="9"/>
    </row>
    <row r="15" spans="2:26">
      <c r="B15" s="11" t="str">
        <f>comparador1</f>
        <v>Atorvastatin 10mg</v>
      </c>
      <c r="C15" s="213">
        <f ca="1">IF(dynamic="Yes",Calculations!AI103,Calculations2!AI36)</f>
        <v>1456977.3434282176</v>
      </c>
      <c r="D15" s="213">
        <f ca="1">IF(dynamic="Yes",Calculations!AJ103,Calculations2!AJ36)</f>
        <v>1468927.4722879506</v>
      </c>
      <c r="E15" s="213">
        <f ca="1">IF(dynamic="Yes",Calculations!AK103,Calculations2!AK36)</f>
        <v>1480376.8732965186</v>
      </c>
      <c r="F15" s="213">
        <f ca="1">IF(dynamic="Yes",Calculations!AL103,Calculations2!AL36)</f>
        <v>1491853.4812270771</v>
      </c>
      <c r="G15" s="213">
        <f ca="1">IF(dynamic="Yes",Calculations!AM103,Calculations2!AM36)</f>
        <v>1503392.9459181456</v>
      </c>
      <c r="H15" s="206"/>
      <c r="I15" s="206"/>
      <c r="J15" s="11" t="str">
        <f>comparador1</f>
        <v>Atorvastatin 10mg</v>
      </c>
      <c r="K15" s="213">
        <f ca="1">IF(dynamic="Yes",Calculations!AI164,Calculations2!AI57)</f>
        <v>1456977.3434282176</v>
      </c>
      <c r="L15" s="213">
        <f ca="1">IF(dynamic="Yes",Calculations!AJ164,Calculations2!AJ57)</f>
        <v>1468927.4722879506</v>
      </c>
      <c r="M15" s="213">
        <f ca="1">IF(dynamic="Yes",Calculations!AK164,Calculations2!AK57)</f>
        <v>1480376.8732965186</v>
      </c>
      <c r="N15" s="213">
        <f ca="1">IF(dynamic="Yes",Calculations!AL164,Calculations2!AL57)</f>
        <v>1491853.4812270771</v>
      </c>
      <c r="O15" s="213">
        <f ca="1">IF(dynamic="Yes",Calculations!AM164,Calculations2!AM57)</f>
        <v>1503392.9459181456</v>
      </c>
      <c r="P15" s="9"/>
      <c r="Q15" s="9"/>
      <c r="R15" s="9"/>
      <c r="S15" s="9"/>
      <c r="T15" s="9"/>
      <c r="U15" s="9"/>
      <c r="V15" s="9"/>
      <c r="W15" s="9"/>
      <c r="X15" s="9"/>
      <c r="Y15" s="9"/>
      <c r="Z15" s="9"/>
    </row>
    <row r="16" spans="2:26">
      <c r="B16" s="11" t="str">
        <f>comparador2</f>
        <v>Atorvastatin 20mg</v>
      </c>
      <c r="C16" s="213">
        <f ca="1">IF(dynamic="Yes",Calculations!AQ103,Calculations2!AQ36)</f>
        <v>10961654.94418666</v>
      </c>
      <c r="D16" s="213">
        <f ca="1">IF(dynamic="Yes",Calculations!AR103,Calculations2!AR36)</f>
        <v>11051562.44322212</v>
      </c>
      <c r="E16" s="213">
        <f ca="1">IF(dynamic="Yes",Calculations!AS103,Calculations2!AS36)</f>
        <v>11137702.686747279</v>
      </c>
      <c r="F16" s="213">
        <f ca="1">IF(dynamic="Yes",Calculations!AT103,Calculations2!AT36)</f>
        <v>11224047.623154107</v>
      </c>
      <c r="G16" s="213">
        <f ca="1">IF(dynamic="Yes",Calculations!AU103,Calculations2!AU36)</f>
        <v>11310865.466104561</v>
      </c>
      <c r="H16" s="206"/>
      <c r="I16" s="206"/>
      <c r="J16" s="11" t="str">
        <f>comparador2</f>
        <v>Atorvastatin 20mg</v>
      </c>
      <c r="K16" s="213">
        <f ca="1">IF(dynamic="Yes",Calculations!AQ164,Calculations2!AQ57)</f>
        <v>10961654.94418666</v>
      </c>
      <c r="L16" s="213">
        <f ca="1">IF(dynamic="Yes",Calculations!AR164,Calculations2!AR57)</f>
        <v>11051562.44322212</v>
      </c>
      <c r="M16" s="213">
        <f ca="1">IF(dynamic="Yes",Calculations!AS164,Calculations2!AS57)</f>
        <v>11137702.686747279</v>
      </c>
      <c r="N16" s="213">
        <f ca="1">IF(dynamic="Yes",Calculations!AT164,Calculations2!AT57)</f>
        <v>11224047.623154107</v>
      </c>
      <c r="O16" s="213">
        <f ca="1">IF(dynamic="Yes",Calculations!AU164,Calculations2!AU57)</f>
        <v>11310865.466104561</v>
      </c>
      <c r="P16" s="9"/>
      <c r="Q16" s="9"/>
      <c r="R16" s="9"/>
      <c r="S16" s="9"/>
      <c r="T16" s="9"/>
      <c r="U16" s="9"/>
      <c r="V16" s="9"/>
      <c r="W16" s="9"/>
      <c r="X16" s="9"/>
      <c r="Y16" s="9"/>
      <c r="Z16" s="9"/>
    </row>
    <row r="17" spans="2:16">
      <c r="B17" s="11" t="str">
        <f>comparador3</f>
        <v>Atorvastatin 40mg</v>
      </c>
      <c r="C17" s="213">
        <f ca="1">IF(dynamic="Yes",Calculations!AY103,Calculations2!AY36)</f>
        <v>60353130.709883563</v>
      </c>
      <c r="D17" s="213">
        <f ca="1">IF(dynamic="Yes",Calculations!AZ103,Calculations2!AZ36)</f>
        <v>60848147.116504133</v>
      </c>
      <c r="E17" s="213">
        <f ca="1">IF(dynamic="Yes",Calculations!BA103,Calculations2!BA36)</f>
        <v>61322421.612766415</v>
      </c>
      <c r="F17" s="213">
        <f ca="1">IF(dynamic="Yes",Calculations!BB103,Calculations2!BB36)</f>
        <v>61797823.115516841</v>
      </c>
      <c r="G17" s="213">
        <f ca="1">IF(dynamic="Yes",Calculations!BC103,Calculations2!BC36)</f>
        <v>62275828.366568618</v>
      </c>
      <c r="H17" s="206"/>
      <c r="I17" s="206"/>
      <c r="J17" s="11" t="str">
        <f>comparador3</f>
        <v>Atorvastatin 40mg</v>
      </c>
      <c r="K17" s="213">
        <f ca="1">IF(dynamic="Yes",Calculations!AY164,Calculations2!AY57)</f>
        <v>60353130.709883563</v>
      </c>
      <c r="L17" s="213">
        <f ca="1">IF(dynamic="Yes",Calculations!AZ164,Calculations2!AZ57)</f>
        <v>60848147.116504133</v>
      </c>
      <c r="M17" s="213">
        <f ca="1">IF(dynamic="Yes",Calculations!BA164,Calculations2!BA57)</f>
        <v>61322421.612766415</v>
      </c>
      <c r="N17" s="213">
        <f ca="1">IF(dynamic="Yes",Calculations!BB164,Calculations2!BB57)</f>
        <v>61797823.115516841</v>
      </c>
      <c r="O17" s="213">
        <f ca="1">IF(dynamic="Yes",Calculations!BC164,Calculations2!BC57)</f>
        <v>62275828.366568618</v>
      </c>
      <c r="P17" s="9"/>
    </row>
    <row r="18" spans="2:16">
      <c r="B18" s="11" t="str">
        <f>comparador4</f>
        <v>Atorvastatin 80mg</v>
      </c>
      <c r="C18" s="213">
        <f ca="1">IF(dynamic="Yes",Calculations!BG103,Calculations2!BG36)</f>
        <v>11502337.105871247</v>
      </c>
      <c r="D18" s="213">
        <f ca="1">IF(dynamic="Yes",Calculations!BH103,Calculations2!BH36)</f>
        <v>11596679.280252507</v>
      </c>
      <c r="E18" s="213">
        <f ca="1">IF(dynamic="Yes",Calculations!BI103,Calculations2!BI36)</f>
        <v>11687068.379750084</v>
      </c>
      <c r="F18" s="213">
        <f ca="1">IF(dynamic="Yes",Calculations!BJ103,Calculations2!BJ36)</f>
        <v>11777672.268578302</v>
      </c>
      <c r="G18" s="213">
        <f ca="1">IF(dynamic="Yes",Calculations!BK103,Calculations2!BK36)</f>
        <v>11868772.390002057</v>
      </c>
      <c r="H18" s="206"/>
      <c r="I18" s="206"/>
      <c r="J18" s="11" t="str">
        <f>comparador4</f>
        <v>Atorvastatin 80mg</v>
      </c>
      <c r="K18" s="213">
        <f ca="1">IF(dynamic="Yes",Calculations!BG164,Calculations2!BG57)</f>
        <v>11502337.105871247</v>
      </c>
      <c r="L18" s="213">
        <f ca="1">IF(dynamic="Yes",Calculations!BH164,Calculations2!BH57)</f>
        <v>11596679.280252507</v>
      </c>
      <c r="M18" s="213">
        <f ca="1">IF(dynamic="Yes",Calculations!BI164,Calculations2!BI57)</f>
        <v>11687068.379750084</v>
      </c>
      <c r="N18" s="213">
        <f ca="1">IF(dynamic="Yes",Calculations!BJ164,Calculations2!BJ57)</f>
        <v>11777672.268578302</v>
      </c>
      <c r="O18" s="213">
        <f ca="1">IF(dynamic="Yes",Calculations!BK164,Calculations2!BK57)</f>
        <v>11868772.390002057</v>
      </c>
      <c r="P18" s="9"/>
    </row>
    <row r="19" spans="2:16">
      <c r="B19" s="11" t="str">
        <f>comparador5</f>
        <v>Pravastatin</v>
      </c>
      <c r="C19" s="213">
        <f ca="1">IF(dynamic="Yes",Calculations!BO103,Calculations2!BO36)</f>
        <v>1158486.9595438614</v>
      </c>
      <c r="D19" s="213">
        <f ca="1">IF(dynamic="Yes",Calculations!BP103,Calculations2!BP36)</f>
        <v>1167988.8701338333</v>
      </c>
      <c r="E19" s="213">
        <f ca="1">IF(dynamic="Yes",Calculations!BQ103,Calculations2!BQ36)</f>
        <v>1177092.6367935156</v>
      </c>
      <c r="F19" s="213">
        <f ca="1">IF(dynamic="Yes",Calculations!BR103,Calculations2!BR36)</f>
        <v>1186218.0365036209</v>
      </c>
      <c r="G19" s="213">
        <f ca="1">IF(dynamic="Yes",Calculations!BS103,Calculations2!BS36)</f>
        <v>1195393.4155340623</v>
      </c>
      <c r="H19" s="206"/>
      <c r="I19" s="206"/>
      <c r="J19" s="11" t="str">
        <f>comparador5</f>
        <v>Pravastatin</v>
      </c>
      <c r="K19" s="213">
        <f ca="1">IF(dynamic="Yes",Calculations!BO164,Calculations2!BO57)</f>
        <v>1158486.9595438614</v>
      </c>
      <c r="L19" s="213">
        <f ca="1">IF(dynamic="Yes",Calculations!BP164,Calculations2!BP57)</f>
        <v>1167988.8701338333</v>
      </c>
      <c r="M19" s="213">
        <f ca="1">IF(dynamic="Yes",Calculations!BQ164,Calculations2!BQ57)</f>
        <v>1177092.6367935156</v>
      </c>
      <c r="N19" s="213">
        <f ca="1">IF(dynamic="Yes",Calculations!BR164,Calculations2!BR57)</f>
        <v>1186218.0365036209</v>
      </c>
      <c r="O19" s="213">
        <f ca="1">IF(dynamic="Yes",Calculations!BS164,Calculations2!BS57)</f>
        <v>1195393.4155340623</v>
      </c>
      <c r="P19" s="9"/>
    </row>
    <row r="20" spans="2:16">
      <c r="B20" s="11" t="str">
        <f>comparador6</f>
        <v>Simvastatin 5mg</v>
      </c>
      <c r="C20" s="213">
        <f ca="1">IF(dynamic="Yes",Calculations!BW103,Calculations2!BW36)</f>
        <v>42765.316427215286</v>
      </c>
      <c r="D20" s="213">
        <f ca="1">IF(dynamic="Yes",Calculations!BX103,Calculations2!BX36)</f>
        <v>43116.077572772978</v>
      </c>
      <c r="E20" s="213">
        <f ca="1">IF(dynamic="Yes",Calculations!BY103,Calculations2!BY36)</f>
        <v>43452.141314080982</v>
      </c>
      <c r="F20" s="213">
        <f ca="1">IF(dynamic="Yes",Calculations!BZ103,Calculations2!BZ36)</f>
        <v>43789.003635156332</v>
      </c>
      <c r="G20" s="213">
        <f ca="1">IF(dynamic="Yes",Calculations!CA103,Calculations2!CA36)</f>
        <v>44127.710932932874</v>
      </c>
      <c r="H20" s="206"/>
      <c r="I20" s="206"/>
      <c r="J20" s="11" t="str">
        <f>comparador6</f>
        <v>Simvastatin 5mg</v>
      </c>
      <c r="K20" s="213">
        <f ca="1">IF(dynamic="Yes",Calculations!BW164,Calculations2!BW57)</f>
        <v>42765.316427215286</v>
      </c>
      <c r="L20" s="213">
        <f ca="1">IF(dynamic="Yes",Calculations!BX164,Calculations2!BX57)</f>
        <v>43116.077572772978</v>
      </c>
      <c r="M20" s="213">
        <f ca="1">IF(dynamic="Yes",Calculations!BY164,Calculations2!BY57)</f>
        <v>43452.141314080982</v>
      </c>
      <c r="N20" s="213">
        <f ca="1">IF(dynamic="Yes",Calculations!BZ164,Calculations2!BZ57)</f>
        <v>43789.003635156332</v>
      </c>
      <c r="O20" s="213">
        <f ca="1">IF(dynamic="Yes",Calculations!CA164,Calculations2!CA57)</f>
        <v>44127.710932932874</v>
      </c>
      <c r="P20" s="9"/>
    </row>
    <row r="21" spans="2:16">
      <c r="B21" s="11" t="str">
        <f>comparador7</f>
        <v>Simvastatin 10mg</v>
      </c>
      <c r="C21" s="213">
        <f ca="1">IF(dynamic="Yes",Calculations!CE103,Calculations2!CE36)</f>
        <v>3087999.0519643785</v>
      </c>
      <c r="D21" s="213">
        <f ca="1">IF(dynamic="Yes",Calculations!CF103,Calculations2!CF36)</f>
        <v>3113326.821648757</v>
      </c>
      <c r="E21" s="213">
        <f ca="1">IF(dynamic="Yes",Calculations!CG103,Calculations2!CG36)</f>
        <v>3137593.3207947402</v>
      </c>
      <c r="F21" s="213">
        <f ca="1">IF(dynamic="Yes",Calculations!CH103,Calculations2!CH36)</f>
        <v>3161917.4838087941</v>
      </c>
      <c r="G21" s="213">
        <f ca="1">IF(dynamic="Yes",Calculations!CI103,Calculations2!CI36)</f>
        <v>3186374.8689472284</v>
      </c>
      <c r="H21" s="206"/>
      <c r="I21" s="206"/>
      <c r="J21" s="11" t="str">
        <f>comparador7</f>
        <v>Simvastatin 10mg</v>
      </c>
      <c r="K21" s="213">
        <f ca="1">IF(dynamic="Yes",Calculations!CE164,Calculations2!CE57)</f>
        <v>3087999.0519643785</v>
      </c>
      <c r="L21" s="213">
        <f ca="1">IF(dynamic="Yes",Calculations!CF164,Calculations2!CF57)</f>
        <v>3113326.821648757</v>
      </c>
      <c r="M21" s="213">
        <f ca="1">IF(dynamic="Yes",Calculations!CG164,Calculations2!CG57)</f>
        <v>3137593.3207947402</v>
      </c>
      <c r="N21" s="213">
        <f ca="1">IF(dynamic="Yes",Calculations!CH164,Calculations2!CH57)</f>
        <v>3161917.4838087941</v>
      </c>
      <c r="O21" s="213">
        <f ca="1">IF(dynamic="Yes",Calculations!CI164,Calculations2!CI57)</f>
        <v>3186374.8689472284</v>
      </c>
      <c r="P21" s="9"/>
    </row>
    <row r="22" spans="2:16">
      <c r="B22" s="11" t="str">
        <f>comparador8</f>
        <v>Simvastatin 20mg</v>
      </c>
      <c r="C22" s="213">
        <f ca="1">IF(dynamic="Yes",Calculations!CM103,Calculations2!CM36)</f>
        <v>13231782.851843471</v>
      </c>
      <c r="D22" s="213">
        <f ca="1">IF(dynamic="Yes",Calculations!CN103,Calculations2!CN36)</f>
        <v>13340309.941050969</v>
      </c>
      <c r="E22" s="213">
        <f ca="1">IF(dynamic="Yes",Calculations!CO103,Calculations2!CO36)</f>
        <v>13444289.586727945</v>
      </c>
      <c r="F22" s="213">
        <f ca="1">IF(dynamic="Yes",Calculations!CP103,Calculations2!CP36)</f>
        <v>13548516.316606656</v>
      </c>
      <c r="G22" s="213">
        <f ca="1">IF(dynamic="Yes",Calculations!CQ103,Calculations2!CQ36)</f>
        <v>13653313.890644057</v>
      </c>
      <c r="H22" s="206"/>
      <c r="I22" s="206"/>
      <c r="J22" s="11" t="str">
        <f>comparador8</f>
        <v>Simvastatin 20mg</v>
      </c>
      <c r="K22" s="213">
        <f ca="1">IF(dynamic="Yes",Calculations!CM164,Calculations2!CM57)</f>
        <v>13231782.851843471</v>
      </c>
      <c r="L22" s="213">
        <f ca="1">IF(dynamic="Yes",Calculations!CN164,Calculations2!CN57)</f>
        <v>13340309.941050969</v>
      </c>
      <c r="M22" s="213">
        <f ca="1">IF(dynamic="Yes",Calculations!CO164,Calculations2!CO57)</f>
        <v>13444289.586727945</v>
      </c>
      <c r="N22" s="213">
        <f ca="1">IF(dynamic="Yes",Calculations!CP164,Calculations2!CP57)</f>
        <v>13548516.316606656</v>
      </c>
      <c r="O22" s="213">
        <f ca="1">IF(dynamic="Yes",Calculations!CQ164,Calculations2!CQ57)</f>
        <v>13653313.890644057</v>
      </c>
      <c r="P22" s="9"/>
    </row>
    <row r="23" spans="2:16">
      <c r="B23" s="11" t="str">
        <f>comparador9</f>
        <v>Simvastatin 40mg</v>
      </c>
      <c r="C23" s="213">
        <f ca="1">IF(dynamic="Yes",Calculations!CU103,Calculations2!CU36)</f>
        <v>28222843.610667959</v>
      </c>
      <c r="D23" s="213">
        <f ca="1">IF(dynamic="Yes",Calculations!CV103,Calculations2!CV36)</f>
        <v>28454327.38730789</v>
      </c>
      <c r="E23" s="213">
        <f ca="1">IF(dynamic="Yes",Calculations!CW103,Calculations2!CW36)</f>
        <v>28676111.655648205</v>
      </c>
      <c r="F23" s="213">
        <f ca="1">IF(dynamic="Yes",Calculations!CX103,Calculations2!CX36)</f>
        <v>28898422.944335081</v>
      </c>
      <c r="G23" s="213">
        <f ca="1">IF(dynamic="Yes",Calculations!CY103,Calculations2!CY36)</f>
        <v>29121951.819918379</v>
      </c>
      <c r="H23" s="206"/>
      <c r="I23" s="206"/>
      <c r="J23" s="11" t="str">
        <f>comparador9</f>
        <v>Simvastatin 40mg</v>
      </c>
      <c r="K23" s="213">
        <f ca="1">IF(dynamic="Yes",Calculations!CU164,Calculations2!CU57)</f>
        <v>28222843.610667959</v>
      </c>
      <c r="L23" s="213">
        <f ca="1">IF(dynamic="Yes",Calculations!CV164,Calculations2!CV57)</f>
        <v>28454327.38730789</v>
      </c>
      <c r="M23" s="213">
        <f ca="1">IF(dynamic="Yes",Calculations!CW164,Calculations2!CW57)</f>
        <v>28676111.655648205</v>
      </c>
      <c r="N23" s="213">
        <f ca="1">IF(dynamic="Yes",Calculations!CX164,Calculations2!CX57)</f>
        <v>28898422.944335081</v>
      </c>
      <c r="O23" s="213">
        <f ca="1">IF(dynamic="Yes",Calculations!CY164,Calculations2!CY57)</f>
        <v>29121951.819918379</v>
      </c>
      <c r="P23" s="9"/>
    </row>
    <row r="24" spans="2:16">
      <c r="B24" s="11">
        <f>comparador10</f>
        <v>0</v>
      </c>
      <c r="C24" s="213">
        <f ca="1">IF(dynamic="Yes",Calculations!DC103,Calculations2!DC57)</f>
        <v>0</v>
      </c>
      <c r="D24" s="213">
        <f ca="1">IF(dynamic="Yes",Calculations!DD103,Calculations2!DD57)</f>
        <v>0</v>
      </c>
      <c r="E24" s="213">
        <f ca="1">IF(dynamic="Yes",Calculations!DE103,Calculations2!DE57)</f>
        <v>0</v>
      </c>
      <c r="F24" s="213">
        <f ca="1">IF(dynamic="Yes",Calculations!DF103,Calculations2!DF57)</f>
        <v>0</v>
      </c>
      <c r="G24" s="213">
        <f ca="1">IF(dynamic="Yes",Calculations!DG103,Calculations2!DG57)</f>
        <v>0</v>
      </c>
      <c r="H24" s="206"/>
      <c r="I24" s="206"/>
      <c r="J24" s="11">
        <f>comparador10</f>
        <v>0</v>
      </c>
      <c r="K24" s="213">
        <f ca="1">IF(dynamic="Yes",Calculations!DC164,Calculations2!DC57)</f>
        <v>0</v>
      </c>
      <c r="L24" s="213">
        <f ca="1">IF(dynamic="Yes",Calculations!DD164,Calculations2!DD57)</f>
        <v>0</v>
      </c>
      <c r="M24" s="213">
        <f ca="1">IF(dynamic="Yes",Calculations!DE164,Calculations2!DE57)</f>
        <v>0</v>
      </c>
      <c r="N24" s="213">
        <f ca="1">IF(dynamic="Yes",Calculations!DF164,Calculations2!DF57)</f>
        <v>0</v>
      </c>
      <c r="O24" s="213">
        <f ca="1">IF(dynamic="Yes",Calculations!DG164,Calculations2!DG57)</f>
        <v>0</v>
      </c>
      <c r="P24" s="9"/>
    </row>
    <row r="25" spans="2:16">
      <c r="B25" s="115" t="s">
        <v>5</v>
      </c>
      <c r="C25" s="213">
        <f ca="1">SUM(C11:C24)</f>
        <v>130017977.89381656</v>
      </c>
      <c r="D25" s="213">
        <f t="shared" ref="D25:G25" ca="1" si="2">SUM(D11:D24)</f>
        <v>131084385.40998092</v>
      </c>
      <c r="E25" s="213">
        <f t="shared" ca="1" si="2"/>
        <v>132106108.89383878</v>
      </c>
      <c r="F25" s="213">
        <f t="shared" ca="1" si="2"/>
        <v>133130260.27336565</v>
      </c>
      <c r="G25" s="213">
        <f t="shared" ca="1" si="2"/>
        <v>134160020.87457004</v>
      </c>
      <c r="H25" s="206"/>
      <c r="I25" s="206"/>
      <c r="J25" s="216" t="s">
        <v>5</v>
      </c>
      <c r="K25" s="213">
        <f ca="1">SUM(K11:K24)</f>
        <v>130017977.89381656</v>
      </c>
      <c r="L25" s="213">
        <f t="shared" ref="L25:O25" ca="1" si="3">SUM(L11:L24)</f>
        <v>131084385.40998092</v>
      </c>
      <c r="M25" s="213">
        <f t="shared" ca="1" si="3"/>
        <v>132106108.89383878</v>
      </c>
      <c r="N25" s="213">
        <f t="shared" ca="1" si="3"/>
        <v>133130260.27336565</v>
      </c>
      <c r="O25" s="213">
        <f t="shared" ca="1" si="3"/>
        <v>134160020.87457004</v>
      </c>
      <c r="P25" s="9"/>
    </row>
    <row r="27" spans="2:16">
      <c r="B27" s="513" t="str">
        <f>cen_prop1</f>
        <v>all options</v>
      </c>
      <c r="C27" s="513"/>
      <c r="D27" s="513"/>
      <c r="E27" s="513"/>
      <c r="F27" s="513"/>
      <c r="G27" s="513"/>
      <c r="H27" s="513"/>
      <c r="I27" s="9"/>
      <c r="J27" s="513" t="str">
        <f>cen_prop1</f>
        <v>all options</v>
      </c>
      <c r="K27" s="513"/>
      <c r="L27" s="513"/>
      <c r="M27" s="513"/>
      <c r="N27" s="513"/>
      <c r="O27" s="513"/>
      <c r="P27" s="513"/>
    </row>
    <row r="29" spans="2:16">
      <c r="B29" s="93" t="s">
        <v>81</v>
      </c>
      <c r="C29" s="93">
        <f>ano_1</f>
        <v>2026</v>
      </c>
      <c r="D29" s="93">
        <f>C29+1</f>
        <v>2027</v>
      </c>
      <c r="E29" s="93">
        <f t="shared" ref="E29:G29" si="4">D29+1</f>
        <v>2028</v>
      </c>
      <c r="F29" s="93">
        <f t="shared" si="4"/>
        <v>2029</v>
      </c>
      <c r="G29" s="93">
        <f t="shared" si="4"/>
        <v>2030</v>
      </c>
      <c r="H29" s="5"/>
      <c r="I29" s="9"/>
      <c r="J29" s="93" t="s">
        <v>81</v>
      </c>
      <c r="K29" s="93">
        <f>ano_1</f>
        <v>2026</v>
      </c>
      <c r="L29" s="93">
        <f>K29+1</f>
        <v>2027</v>
      </c>
      <c r="M29" s="93">
        <f t="shared" ref="M29:O29" si="5">L29+1</f>
        <v>2028</v>
      </c>
      <c r="N29" s="93">
        <f t="shared" si="5"/>
        <v>2029</v>
      </c>
      <c r="O29" s="93">
        <f t="shared" si="5"/>
        <v>2030</v>
      </c>
      <c r="P29" s="5"/>
    </row>
    <row r="30" spans="2:16">
      <c r="B30" s="11" t="str">
        <f>intervencao1</f>
        <v>Rosuvastatin 5mg</v>
      </c>
      <c r="C30" s="213">
        <f ca="1">IF(dynamic="Yes",Calculations!C117,Calculations2!C40)</f>
        <v>9261678.4026258253</v>
      </c>
      <c r="D30" s="213">
        <f ca="1">IF(dynamic="Yes",Calculations!D117,Calculations2!D40)</f>
        <v>18675285.386527129</v>
      </c>
      <c r="E30" s="213">
        <f ca="1">IF(dynamic="Yes",Calculations!E117,Calculations2!E40)</f>
        <v>28231271.907556493</v>
      </c>
      <c r="F30" s="213">
        <f ca="1">IF(dynamic="Yes",Calculations!F117,Calculations2!F40)</f>
        <v>37933512.773649275</v>
      </c>
      <c r="G30" s="213">
        <f ca="1">IF(dynamic="Yes",Calculations!G117,Calculations2!G40)</f>
        <v>47783659.919884361</v>
      </c>
      <c r="H30" s="206"/>
      <c r="I30" s="206"/>
      <c r="J30" s="214" t="str">
        <f>intervencao1</f>
        <v>Rosuvastatin 5mg</v>
      </c>
      <c r="K30" s="213">
        <f ca="1">IF(dynamic="Yes",Calculations!C178,Calculations2!C61)</f>
        <v>9261678.4026258253</v>
      </c>
      <c r="L30" s="213">
        <f ca="1">IF(dynamic="Yes",Calculations!D178,Calculations2!D61)</f>
        <v>18675285.386527129</v>
      </c>
      <c r="M30" s="213">
        <f ca="1">IF(dynamic="Yes",Calculations!E178,Calculations2!E61)</f>
        <v>28231271.907556493</v>
      </c>
      <c r="N30" s="213">
        <f ca="1">IF(dynamic="Yes",Calculations!F178,Calculations2!F61)</f>
        <v>37933512.773649275</v>
      </c>
      <c r="O30" s="213">
        <f ca="1">IF(dynamic="Yes",Calculations!G178,Calculations2!G61)</f>
        <v>47783659.919884361</v>
      </c>
      <c r="P30" s="9"/>
    </row>
    <row r="31" spans="2:16">
      <c r="B31" s="11" t="str">
        <f>intervencao2</f>
        <v>Rosuvastatin 10mg</v>
      </c>
      <c r="C31" s="213">
        <f ca="1">IF(dynamic="Yes",Calculations!K117,Calculations2!K40)</f>
        <v>18432096.591963455</v>
      </c>
      <c r="D31" s="213">
        <f ca="1">IF(dynamic="Yes",Calculations!L117,Calculations2!L40)</f>
        <v>37166553.313852787</v>
      </c>
      <c r="E31" s="213">
        <f ca="1">IF(dynamic="Yes",Calculations!M117,Calculations2!M40)</f>
        <v>56184366.169153035</v>
      </c>
      <c r="F31" s="213">
        <f ca="1">IF(dynamic="Yes",Calculations!N117,Calculations2!N40)</f>
        <v>75493246.593203992</v>
      </c>
      <c r="G31" s="213">
        <f ca="1">IF(dynamic="Yes",Calculations!O117,Calculations2!O40)</f>
        <v>95096482.178773835</v>
      </c>
      <c r="H31" s="215"/>
      <c r="I31" s="206"/>
      <c r="J31" s="11" t="str">
        <f>intervencao2</f>
        <v>Rosuvastatin 10mg</v>
      </c>
      <c r="K31" s="213">
        <f ca="1">IF(dynamic="Yes",Calculations!K178,Calculations2!K61)</f>
        <v>18432096.591963455</v>
      </c>
      <c r="L31" s="213">
        <f ca="1">IF(dynamic="Yes",Calculations!L178,Calculations2!L61)</f>
        <v>37166553.313852787</v>
      </c>
      <c r="M31" s="213">
        <f ca="1">IF(dynamic="Yes",Calculations!M178,Calculations2!M61)</f>
        <v>56184366.169153035</v>
      </c>
      <c r="N31" s="213">
        <f ca="1">IF(dynamic="Yes",Calculations!N178,Calculations2!N61)</f>
        <v>75493246.593203992</v>
      </c>
      <c r="O31" s="213">
        <f ca="1">IF(dynamic="Yes",Calculations!O178,Calculations2!O61)</f>
        <v>95096482.178773835</v>
      </c>
      <c r="P31" s="4"/>
    </row>
    <row r="32" spans="2:16">
      <c r="B32" s="11" t="str">
        <f>intervencao3</f>
        <v>Rosuvastatin 20mg</v>
      </c>
      <c r="C32" s="213">
        <f ca="1">IF(dynamic="Yes",Calculations!S117,Calculations2!S40)</f>
        <v>8812776.8129379638</v>
      </c>
      <c r="D32" s="213">
        <f ca="1">IF(dynamic="Yes",Calculations!T117,Calculations2!T40)</f>
        <v>17770118.425049644</v>
      </c>
      <c r="E32" s="213">
        <f ca="1">IF(dynamic="Yes",Calculations!U117,Calculations2!U40)</f>
        <v>26862938.622023791</v>
      </c>
      <c r="F32" s="213">
        <f ca="1">IF(dynamic="Yes",Calculations!V117,Calculations2!V40)</f>
        <v>36094924.404859878</v>
      </c>
      <c r="G32" s="213">
        <f ca="1">IF(dynamic="Yes",Calculations!W117,Calculations2!W40)</f>
        <v>45467647.641477168</v>
      </c>
      <c r="H32" s="206"/>
      <c r="I32" s="206"/>
      <c r="J32" s="11" t="str">
        <f>intervencao3</f>
        <v>Rosuvastatin 20mg</v>
      </c>
      <c r="K32" s="213">
        <f ca="1">IF(dynamic="Yes",Calculations!S178,Calculations2!S61)</f>
        <v>8812776.8129379638</v>
      </c>
      <c r="L32" s="213">
        <f ca="1">IF(dynamic="Yes",Calculations!T178,Calculations2!T61)</f>
        <v>17770118.425049644</v>
      </c>
      <c r="M32" s="213">
        <f ca="1">IF(dynamic="Yes",Calculations!U178,Calculations2!U61)</f>
        <v>26862938.622023791</v>
      </c>
      <c r="N32" s="213">
        <f ca="1">IF(dynamic="Yes",Calculations!V178,Calculations2!V61)</f>
        <v>36094924.404859878</v>
      </c>
      <c r="O32" s="213">
        <f ca="1">IF(dynamic="Yes",Calculations!W178,Calculations2!W61)</f>
        <v>45467647.641477168</v>
      </c>
      <c r="P32" s="9"/>
    </row>
    <row r="33" spans="2:16">
      <c r="B33" s="11" t="str">
        <f>intervencao4</f>
        <v>Rosuvastatin 40mg</v>
      </c>
      <c r="C33" s="213">
        <f ca="1">IF(dynamic="Yes",Calculations!AA117,Calculations2!AA40)</f>
        <v>9776353.1190078706</v>
      </c>
      <c r="D33" s="213">
        <f ca="1">IF(dynamic="Yes",Calculations!AB117,Calculations2!AB40)</f>
        <v>19713077.543825485</v>
      </c>
      <c r="E33" s="213">
        <f ca="1">IF(dynamic="Yes",Calculations!AC117,Calculations2!AC40)</f>
        <v>29800093.586573832</v>
      </c>
      <c r="F33" s="213">
        <f ca="1">IF(dynamic="Yes",Calculations!AD117,Calculations2!AD40)</f>
        <v>40041491.379623927</v>
      </c>
      <c r="G33" s="213">
        <f ca="1">IF(dynamic="Yes",Calculations!AE117,Calculations2!AE40)</f>
        <v>50439014.656666219</v>
      </c>
      <c r="H33" s="206"/>
      <c r="I33" s="206"/>
      <c r="J33" s="11" t="str">
        <f>intervencao4</f>
        <v>Rosuvastatin 40mg</v>
      </c>
      <c r="K33" s="213">
        <f ca="1">IF(dynamic="Yes",Calculations!AA178,Calculations2!AA61)</f>
        <v>9776353.1190078706</v>
      </c>
      <c r="L33" s="213">
        <f ca="1">IF(dynamic="Yes",Calculations!AB178,Calculations2!AB61)</f>
        <v>19713077.543825485</v>
      </c>
      <c r="M33" s="213">
        <f ca="1">IF(dynamic="Yes",Calculations!AC178,Calculations2!AC61)</f>
        <v>29800093.586573832</v>
      </c>
      <c r="N33" s="213">
        <f ca="1">IF(dynamic="Yes",Calculations!AD178,Calculations2!AD61)</f>
        <v>40041491.379623927</v>
      </c>
      <c r="O33" s="213">
        <f ca="1">IF(dynamic="Yes",Calculations!AE178,Calculations2!AE61)</f>
        <v>50439014.656666219</v>
      </c>
      <c r="P33" s="9"/>
    </row>
    <row r="34" spans="2:16">
      <c r="B34" s="11" t="str">
        <f>comparador1</f>
        <v>Atorvastatin 10mg</v>
      </c>
      <c r="C34" s="213">
        <f ca="1">IF(dynamic="Yes",Calculations!AI117,Calculations2!AI40)</f>
        <v>1311279.6090853959</v>
      </c>
      <c r="D34" s="213">
        <f ca="1">IF(dynamic="Yes",Calculations!AJ117,Calculations2!AJ40)</f>
        <v>1175141.9778303604</v>
      </c>
      <c r="E34" s="213">
        <f ca="1">IF(dynamic="Yes",Calculations!AK117,Calculations2!AK40)</f>
        <v>1036263.8113075627</v>
      </c>
      <c r="F34" s="213">
        <f ca="1">IF(dynamic="Yes",Calculations!AL117,Calculations2!AL40)</f>
        <v>895112.08873624634</v>
      </c>
      <c r="G34" s="213">
        <f ca="1">IF(dynamic="Yes",Calculations!AM117,Calculations2!AM40)</f>
        <v>751696.47295907279</v>
      </c>
      <c r="H34" s="206"/>
      <c r="I34" s="206"/>
      <c r="J34" s="11" t="str">
        <f>comparador1</f>
        <v>Atorvastatin 10mg</v>
      </c>
      <c r="K34" s="213">
        <f ca="1">IF(dynamic="Yes",Calculations!AI178,Calculations2!AI61)</f>
        <v>1311279.6090853959</v>
      </c>
      <c r="L34" s="213">
        <f ca="1">IF(dynamic="Yes",Calculations!AJ178,Calculations2!AJ61)</f>
        <v>1175141.9778303604</v>
      </c>
      <c r="M34" s="213">
        <f ca="1">IF(dynamic="Yes",Calculations!AK178,Calculations2!AK61)</f>
        <v>1036263.8113075627</v>
      </c>
      <c r="N34" s="213">
        <f ca="1">IF(dynamic="Yes",Calculations!AL178,Calculations2!AL61)</f>
        <v>895112.08873624634</v>
      </c>
      <c r="O34" s="213">
        <f ca="1">IF(dynamic="Yes",Calculations!AM178,Calculations2!AM61)</f>
        <v>751696.47295907279</v>
      </c>
      <c r="P34" s="9"/>
    </row>
    <row r="35" spans="2:16">
      <c r="B35" s="11" t="str">
        <f>comparador2</f>
        <v>Atorvastatin 20mg</v>
      </c>
      <c r="C35" s="213">
        <f ca="1">IF(dynamic="Yes",Calculations!AQ117,Calculations2!AQ40)</f>
        <v>9865489.4497679938</v>
      </c>
      <c r="D35" s="213">
        <f ca="1">IF(dynamic="Yes",Calculations!AR117,Calculations2!AR40)</f>
        <v>8841249.9545776956</v>
      </c>
      <c r="E35" s="213">
        <f ca="1">IF(dynamic="Yes",Calculations!AS117,Calculations2!AS40)</f>
        <v>7796391.8807230927</v>
      </c>
      <c r="F35" s="213">
        <f ca="1">IF(dynamic="Yes",Calculations!AT117,Calculations2!AT40)</f>
        <v>6734428.5738924639</v>
      </c>
      <c r="G35" s="213">
        <f ca="1">IF(dynamic="Yes",Calculations!AU117,Calculations2!AU40)</f>
        <v>5655432.7330522807</v>
      </c>
      <c r="H35" s="206"/>
      <c r="I35" s="206"/>
      <c r="J35" s="11" t="str">
        <f>comparador2</f>
        <v>Atorvastatin 20mg</v>
      </c>
      <c r="K35" s="213">
        <f ca="1">IF(dynamic="Yes",Calculations!AQ178,Calculations2!AQ61)</f>
        <v>9865489.4497679938</v>
      </c>
      <c r="L35" s="213">
        <f ca="1">IF(dynamic="Yes",Calculations!AR178,Calculations2!AR61)</f>
        <v>8841249.9545776956</v>
      </c>
      <c r="M35" s="213">
        <f ca="1">IF(dynamic="Yes",Calculations!AS178,Calculations2!AS61)</f>
        <v>7796391.8807230927</v>
      </c>
      <c r="N35" s="213">
        <f ca="1">IF(dynamic="Yes",Calculations!AT178,Calculations2!AT61)</f>
        <v>6734428.5738924639</v>
      </c>
      <c r="O35" s="213">
        <f ca="1">IF(dynamic="Yes",Calculations!AU178,Calculations2!AU61)</f>
        <v>5655432.7330522807</v>
      </c>
      <c r="P35" s="9"/>
    </row>
    <row r="36" spans="2:16">
      <c r="B36" s="11" t="str">
        <f>comparador3</f>
        <v>Atorvastatin 40mg</v>
      </c>
      <c r="C36" s="213">
        <f ca="1">IF(dynamic="Yes",Calculations!AY117,Calculations2!AY40)</f>
        <v>54317817.638895214</v>
      </c>
      <c r="D36" s="213">
        <f ca="1">IF(dynamic="Yes",Calculations!AZ117,Calculations2!AZ40)</f>
        <v>48678517.693203315</v>
      </c>
      <c r="E36" s="213">
        <f ca="1">IF(dynamic="Yes",Calculations!BA117,Calculations2!BA40)</f>
        <v>42925695.128936484</v>
      </c>
      <c r="F36" s="213">
        <f ca="1">IF(dynamic="Yes",Calculations!BB117,Calculations2!BB40)</f>
        <v>37078693.869310103</v>
      </c>
      <c r="G36" s="213">
        <f ca="1">IF(dynamic="Yes",Calculations!BC117,Calculations2!BC40)</f>
        <v>31137914.183284309</v>
      </c>
      <c r="H36" s="206"/>
      <c r="I36" s="206"/>
      <c r="J36" s="11" t="str">
        <f>comparador3</f>
        <v>Atorvastatin 40mg</v>
      </c>
      <c r="K36" s="213">
        <f ca="1">IF(dynamic="Yes",Calculations!AY178,Calculations2!AY61)</f>
        <v>54317817.638895214</v>
      </c>
      <c r="L36" s="213">
        <f ca="1">IF(dynamic="Yes",Calculations!AZ178,Calculations2!AZ61)</f>
        <v>48678517.693203315</v>
      </c>
      <c r="M36" s="213">
        <f ca="1">IF(dynamic="Yes",Calculations!BA178,Calculations2!BA61)</f>
        <v>42925695.128936484</v>
      </c>
      <c r="N36" s="213">
        <f ca="1">IF(dynamic="Yes",Calculations!BB178,Calculations2!BB61)</f>
        <v>37078693.869310103</v>
      </c>
      <c r="O36" s="213">
        <f ca="1">IF(dynamic="Yes",Calculations!BC178,Calculations2!BC61)</f>
        <v>31137914.183284309</v>
      </c>
      <c r="P36" s="9"/>
    </row>
    <row r="37" spans="2:16">
      <c r="B37" s="11" t="str">
        <f>comparador4</f>
        <v>Atorvastatin 80mg</v>
      </c>
      <c r="C37" s="213">
        <f ca="1">IF(dynamic="Yes",Calculations!BG117,Calculations2!BG40)</f>
        <v>10352103.395284122</v>
      </c>
      <c r="D37" s="213">
        <f ca="1">IF(dynamic="Yes",Calculations!BH117,Calculations2!BH40)</f>
        <v>9277343.4242020063</v>
      </c>
      <c r="E37" s="213">
        <f ca="1">IF(dynamic="Yes",Calculations!BI117,Calculations2!BI40)</f>
        <v>8180947.8658250589</v>
      </c>
      <c r="F37" s="213">
        <f ca="1">IF(dynamic="Yes",Calculations!BJ117,Calculations2!BJ40)</f>
        <v>7066603.3611469809</v>
      </c>
      <c r="G37" s="213">
        <f ca="1">IF(dynamic="Yes",Calculations!BK117,Calculations2!BK40)</f>
        <v>5934386.1950010285</v>
      </c>
      <c r="H37" s="206"/>
      <c r="I37" s="206"/>
      <c r="J37" s="11" t="str">
        <f>comparador4</f>
        <v>Atorvastatin 80mg</v>
      </c>
      <c r="K37" s="213">
        <f ca="1">IF(dynamic="Yes",Calculations!BG178,Calculations2!BG61)</f>
        <v>10352103.395284122</v>
      </c>
      <c r="L37" s="213">
        <f ca="1">IF(dynamic="Yes",Calculations!BH178,Calculations2!BH61)</f>
        <v>9277343.4242020063</v>
      </c>
      <c r="M37" s="213">
        <f ca="1">IF(dynamic="Yes",Calculations!BI178,Calculations2!BI61)</f>
        <v>8180947.8658250589</v>
      </c>
      <c r="N37" s="213">
        <f ca="1">IF(dynamic="Yes",Calculations!BJ178,Calculations2!BJ61)</f>
        <v>7066603.3611469809</v>
      </c>
      <c r="O37" s="213">
        <f ca="1">IF(dynamic="Yes",Calculations!BK178,Calculations2!BK61)</f>
        <v>5934386.1950010285</v>
      </c>
      <c r="P37" s="9"/>
    </row>
    <row r="38" spans="2:16">
      <c r="B38" s="11" t="str">
        <f>comparador5</f>
        <v>Pravastatin</v>
      </c>
      <c r="C38" s="213">
        <f ca="1">IF(dynamic="Yes",Calculations!BO117,Calculations2!BO40)</f>
        <v>1042638.2635894753</v>
      </c>
      <c r="D38" s="213">
        <f ca="1">IF(dynamic="Yes",Calculations!BP117,Calculations2!BP40)</f>
        <v>1051189.9831204498</v>
      </c>
      <c r="E38" s="213">
        <f ca="1">IF(dynamic="Yes",Calculations!BQ117,Calculations2!BQ40)</f>
        <v>1059383.373114164</v>
      </c>
      <c r="F38" s="213">
        <f ca="1">IF(dynamic="Yes",Calculations!BR117,Calculations2!BR40)</f>
        <v>1067596.2328532587</v>
      </c>
      <c r="G38" s="213">
        <f ca="1">IF(dynamic="Yes",Calculations!BS117,Calculations2!BS40)</f>
        <v>1075854.0739806562</v>
      </c>
      <c r="H38" s="206"/>
      <c r="I38" s="206"/>
      <c r="J38" s="11" t="str">
        <f>comparador5</f>
        <v>Pravastatin</v>
      </c>
      <c r="K38" s="213">
        <f ca="1">IF(dynamic="Yes",Calculations!BO178,Calculations2!BO61)</f>
        <v>1042638.2635894753</v>
      </c>
      <c r="L38" s="213">
        <f ca="1">IF(dynamic="Yes",Calculations!BP178,Calculations2!BP61)</f>
        <v>1051189.9831204498</v>
      </c>
      <c r="M38" s="213">
        <f ca="1">IF(dynamic="Yes",Calculations!BQ178,Calculations2!BQ61)</f>
        <v>1059383.373114164</v>
      </c>
      <c r="N38" s="213">
        <f ca="1">IF(dynamic="Yes",Calculations!BR178,Calculations2!BR61)</f>
        <v>1067596.2328532587</v>
      </c>
      <c r="O38" s="213">
        <f ca="1">IF(dynamic="Yes",Calculations!BS178,Calculations2!BS61)</f>
        <v>1075854.0739806562</v>
      </c>
      <c r="P38" s="9"/>
    </row>
    <row r="39" spans="2:16">
      <c r="B39" s="11" t="str">
        <f>comparador6</f>
        <v>Simvastatin 5mg</v>
      </c>
      <c r="C39" s="213">
        <f ca="1">IF(dynamic="Yes",Calculations!BW117,Calculations2!BW40)</f>
        <v>38488.78478449375</v>
      </c>
      <c r="D39" s="213">
        <f ca="1">IF(dynamic="Yes",Calculations!BX117,Calculations2!BX40)</f>
        <v>34492.862058218379</v>
      </c>
      <c r="E39" s="213">
        <f ca="1">IF(dynamic="Yes",Calculations!BY117,Calculations2!BY40)</f>
        <v>30416.498919856684</v>
      </c>
      <c r="F39" s="213">
        <f ca="1">IF(dynamic="Yes",Calculations!BZ117,Calculations2!BZ40)</f>
        <v>26273.402181093799</v>
      </c>
      <c r="G39" s="213">
        <f ca="1">IF(dynamic="Yes",Calculations!CA117,Calculations2!CA40)</f>
        <v>22063.855466466437</v>
      </c>
      <c r="H39" s="206"/>
      <c r="I39" s="206"/>
      <c r="J39" s="11" t="str">
        <f>comparador6</f>
        <v>Simvastatin 5mg</v>
      </c>
      <c r="K39" s="213">
        <f ca="1">IF(dynamic="Yes",Calculations!BW178,Calculations2!BW61)</f>
        <v>38488.78478449375</v>
      </c>
      <c r="L39" s="213">
        <f ca="1">IF(dynamic="Yes",Calculations!BX178,Calculations2!BX61)</f>
        <v>34492.862058218379</v>
      </c>
      <c r="M39" s="213">
        <f ca="1">IF(dynamic="Yes",Calculations!BY178,Calculations2!BY61)</f>
        <v>30416.498919856684</v>
      </c>
      <c r="N39" s="213">
        <f ca="1">IF(dynamic="Yes",Calculations!BZ178,Calculations2!BZ61)</f>
        <v>26273.402181093799</v>
      </c>
      <c r="O39" s="213">
        <f ca="1">IF(dynamic="Yes",Calculations!CA178,Calculations2!CA61)</f>
        <v>22063.855466466437</v>
      </c>
      <c r="P39" s="9"/>
    </row>
    <row r="40" spans="2:16">
      <c r="B40" s="11" t="str">
        <f>comparador7</f>
        <v>Simvastatin 10mg</v>
      </c>
      <c r="C40" s="213">
        <f ca="1">IF(dynamic="Yes",Calculations!CE117,Calculations2!CE40)</f>
        <v>2779199.1467679399</v>
      </c>
      <c r="D40" s="213">
        <f ca="1">IF(dynamic="Yes",Calculations!CF117,Calculations2!CF40)</f>
        <v>2490661.4573190054</v>
      </c>
      <c r="E40" s="213">
        <f ca="1">IF(dynamic="Yes",Calculations!CG117,Calculations2!CG40)</f>
        <v>2196315.3245563176</v>
      </c>
      <c r="F40" s="213">
        <f ca="1">IF(dynamic="Yes",Calculations!CH117,Calculations2!CH40)</f>
        <v>1897150.4902852764</v>
      </c>
      <c r="G40" s="213">
        <f ca="1">IF(dynamic="Yes",Calculations!CI117,Calculations2!CI40)</f>
        <v>1593187.4344736142</v>
      </c>
      <c r="H40" s="206"/>
      <c r="I40" s="206"/>
      <c r="J40" s="11" t="str">
        <f>comparador7</f>
        <v>Simvastatin 10mg</v>
      </c>
      <c r="K40" s="213">
        <f ca="1">IF(dynamic="Yes",Calculations!CE178,Calculations2!CE61)</f>
        <v>2779199.1467679399</v>
      </c>
      <c r="L40" s="213">
        <f ca="1">IF(dynamic="Yes",Calculations!CF178,Calculations2!CF61)</f>
        <v>2490661.4573190054</v>
      </c>
      <c r="M40" s="213">
        <f ca="1">IF(dynamic="Yes",Calculations!CG178,Calculations2!CG61)</f>
        <v>2196315.3245563176</v>
      </c>
      <c r="N40" s="213">
        <f ca="1">IF(dynamic="Yes",Calculations!CH178,Calculations2!CH61)</f>
        <v>1897150.4902852764</v>
      </c>
      <c r="O40" s="213">
        <f ca="1">IF(dynamic="Yes",Calculations!CI178,Calculations2!CI61)</f>
        <v>1593187.4344736142</v>
      </c>
      <c r="P40" s="9"/>
    </row>
    <row r="41" spans="2:16">
      <c r="B41" s="11" t="str">
        <f>comparador8</f>
        <v>Simvastatin 20mg</v>
      </c>
      <c r="C41" s="213">
        <f ca="1">IF(dynamic="Yes",Calculations!CM117,Calculations2!CM40)</f>
        <v>11908604.566659126</v>
      </c>
      <c r="D41" s="213">
        <f ca="1">IF(dynamic="Yes",Calculations!CN117,Calculations2!CN40)</f>
        <v>10672247.952840775</v>
      </c>
      <c r="E41" s="213">
        <f ca="1">IF(dynamic="Yes",Calculations!CO117,Calculations2!CO40)</f>
        <v>9411002.7107095607</v>
      </c>
      <c r="F41" s="213">
        <f ca="1">IF(dynamic="Yes",Calculations!CP117,Calculations2!CP40)</f>
        <v>8129109.7899639942</v>
      </c>
      <c r="G41" s="213">
        <f ca="1">IF(dynamic="Yes",Calculations!CQ117,Calculations2!CQ40)</f>
        <v>6826656.9453220284</v>
      </c>
      <c r="H41" s="206"/>
      <c r="I41" s="206"/>
      <c r="J41" s="11" t="str">
        <f>comparador8</f>
        <v>Simvastatin 20mg</v>
      </c>
      <c r="K41" s="213">
        <f ca="1">IF(dynamic="Yes",Calculations!CM178,Calculations2!CM61)</f>
        <v>11908604.566659126</v>
      </c>
      <c r="L41" s="213">
        <f ca="1">IF(dynamic="Yes",Calculations!CN178,Calculations2!CN61)</f>
        <v>10672247.952840775</v>
      </c>
      <c r="M41" s="213">
        <f ca="1">IF(dynamic="Yes",Calculations!CO178,Calculations2!CO61)</f>
        <v>9411002.7107095607</v>
      </c>
      <c r="N41" s="213">
        <f ca="1">IF(dynamic="Yes",Calculations!CP178,Calculations2!CP61)</f>
        <v>8129109.7899639942</v>
      </c>
      <c r="O41" s="213">
        <f ca="1">IF(dynamic="Yes",Calculations!CQ178,Calculations2!CQ61)</f>
        <v>6826656.9453220284</v>
      </c>
      <c r="P41" s="9"/>
    </row>
    <row r="42" spans="2:16">
      <c r="B42" s="11" t="str">
        <f>comparador9</f>
        <v>Simvastatin 40mg</v>
      </c>
      <c r="C42" s="213">
        <f ca="1">IF(dynamic="Yes",Calculations!CU117,Calculations2!CU40)</f>
        <v>25400559.249601152</v>
      </c>
      <c r="D42" s="213">
        <f ca="1">IF(dynamic="Yes",Calculations!CV117,Calculations2!CV40)</f>
        <v>22759953.382149894</v>
      </c>
      <c r="E42" s="213">
        <f ca="1">IF(dynamic="Yes",Calculations!CW117,Calculations2!CW40)</f>
        <v>20066206.409859173</v>
      </c>
      <c r="F42" s="213">
        <f ca="1">IF(dynamic="Yes",Calculations!CX117,Calculations2!CX40)</f>
        <v>17328363.907455623</v>
      </c>
      <c r="G42" s="213">
        <f ca="1">IF(dynamic="Yes",Calculations!CY117,Calculations2!CY40)</f>
        <v>14546612.516561389</v>
      </c>
      <c r="H42" s="206"/>
      <c r="I42" s="206"/>
      <c r="J42" s="11" t="str">
        <f>comparador9</f>
        <v>Simvastatin 40mg</v>
      </c>
      <c r="K42" s="213">
        <f ca="1">IF(dynamic="Yes",Calculations!CU178,Calculations2!CU61)</f>
        <v>25400559.249601152</v>
      </c>
      <c r="L42" s="213">
        <f ca="1">IF(dynamic="Yes",Calculations!CV178,Calculations2!CV61)</f>
        <v>22759953.382149894</v>
      </c>
      <c r="M42" s="213">
        <f ca="1">IF(dynamic="Yes",Calculations!CW178,Calculations2!CW61)</f>
        <v>20066206.409859173</v>
      </c>
      <c r="N42" s="213">
        <f ca="1">IF(dynamic="Yes",Calculations!CX178,Calculations2!CX61)</f>
        <v>17328363.907455623</v>
      </c>
      <c r="O42" s="213">
        <f ca="1">IF(dynamic="Yes",Calculations!CY178,Calculations2!CY61)</f>
        <v>14546612.516561389</v>
      </c>
      <c r="P42" s="9"/>
    </row>
    <row r="43" spans="2:16">
      <c r="B43" s="11">
        <f>comparador10</f>
        <v>0</v>
      </c>
      <c r="C43" s="213">
        <f ca="1">IF(dynamic="Yes",Calculations!DC117,Calculations2!DC40)</f>
        <v>0</v>
      </c>
      <c r="D43" s="213">
        <f ca="1">IF(dynamic="Yes",Calculations!DD117,Calculations2!DD40)</f>
        <v>0</v>
      </c>
      <c r="E43" s="213">
        <f ca="1">IF(dynamic="Yes",Calculations!DE117,Calculations2!DE40)</f>
        <v>0</v>
      </c>
      <c r="F43" s="213">
        <f ca="1">IF(dynamic="Yes",Calculations!DF117,Calculations2!DF40)</f>
        <v>0</v>
      </c>
      <c r="G43" s="213">
        <f ca="1">IF(dynamic="Yes",Calculations!DG117,Calculations2!DG40)</f>
        <v>0</v>
      </c>
      <c r="H43" s="206"/>
      <c r="I43" s="206"/>
      <c r="J43" s="11">
        <f>comparador10</f>
        <v>0</v>
      </c>
      <c r="K43" s="213">
        <f ca="1">IF(dynamic="Yes",Calculations!DC178,Calculations2!DC61)</f>
        <v>0</v>
      </c>
      <c r="L43" s="213">
        <f ca="1">IF(dynamic="Yes",Calculations!DD178,Calculations2!DD61)</f>
        <v>0</v>
      </c>
      <c r="M43" s="213">
        <f ca="1">IF(dynamic="Yes",Calculations!DE178,Calculations2!DE61)</f>
        <v>0</v>
      </c>
      <c r="N43" s="213">
        <f ca="1">IF(dynamic="Yes",Calculations!DF178,Calculations2!DF61)</f>
        <v>0</v>
      </c>
      <c r="O43" s="213">
        <f ca="1">IF(dynamic="Yes",Calculations!DG178,Calculations2!DG61)</f>
        <v>0</v>
      </c>
      <c r="P43" s="9"/>
    </row>
    <row r="44" spans="2:16">
      <c r="B44" s="115" t="s">
        <v>5</v>
      </c>
      <c r="C44" s="213">
        <f ca="1">SUM(C30:C43)</f>
        <v>163299085.03097004</v>
      </c>
      <c r="D44" s="213">
        <f t="shared" ref="D44" ca="1" si="6">SUM(D30:D43)</f>
        <v>198305833.35655677</v>
      </c>
      <c r="E44" s="213">
        <f t="shared" ref="E44" ca="1" si="7">SUM(E30:E43)</f>
        <v>233781293.28925839</v>
      </c>
      <c r="F44" s="213">
        <f t="shared" ref="F44" ca="1" si="8">SUM(F30:F43)</f>
        <v>269786506.86716211</v>
      </c>
      <c r="G44" s="213">
        <f ca="1">SUM(G30:G43)</f>
        <v>306330608.80690241</v>
      </c>
      <c r="H44" s="206"/>
      <c r="I44" s="206"/>
      <c r="J44" s="216" t="s">
        <v>5</v>
      </c>
      <c r="K44" s="213">
        <f ca="1">SUM(K30:K43)</f>
        <v>163299085.03097004</v>
      </c>
      <c r="L44" s="213">
        <f t="shared" ref="L44" ca="1" si="9">SUM(L30:L43)</f>
        <v>198305833.35655677</v>
      </c>
      <c r="M44" s="213">
        <f t="shared" ref="M44" ca="1" si="10">SUM(M30:M43)</f>
        <v>233781293.28925839</v>
      </c>
      <c r="N44" s="213">
        <f t="shared" ref="N44" ca="1" si="11">SUM(N30:N43)</f>
        <v>269786506.86716211</v>
      </c>
      <c r="O44" s="213">
        <f t="shared" ref="O44" ca="1" si="12">SUM(O30:O43)</f>
        <v>306330608.80690241</v>
      </c>
      <c r="P44" s="9"/>
    </row>
    <row r="46" spans="2:16">
      <c r="B46" s="513" t="str">
        <f>cen_prop2</f>
        <v>high intensity only</v>
      </c>
      <c r="C46" s="513"/>
      <c r="D46" s="513"/>
      <c r="E46" s="513"/>
      <c r="F46" s="513"/>
      <c r="G46" s="513"/>
      <c r="H46" s="513"/>
      <c r="I46" s="9"/>
      <c r="J46" s="513" t="str">
        <f>cen_prop2</f>
        <v>high intensity only</v>
      </c>
      <c r="K46" s="513"/>
      <c r="L46" s="513"/>
      <c r="M46" s="513"/>
      <c r="N46" s="513"/>
      <c r="O46" s="513"/>
      <c r="P46" s="513"/>
    </row>
    <row r="48" spans="2:16">
      <c r="B48" s="93" t="s">
        <v>81</v>
      </c>
      <c r="C48" s="93">
        <f>ano_1</f>
        <v>2026</v>
      </c>
      <c r="D48" s="93">
        <f>C48+1</f>
        <v>2027</v>
      </c>
      <c r="E48" s="93">
        <f t="shared" ref="E48:G48" si="13">D48+1</f>
        <v>2028</v>
      </c>
      <c r="F48" s="93">
        <f t="shared" si="13"/>
        <v>2029</v>
      </c>
      <c r="G48" s="93">
        <f t="shared" si="13"/>
        <v>2030</v>
      </c>
      <c r="H48" s="5"/>
      <c r="I48" s="9"/>
      <c r="J48" s="93" t="s">
        <v>81</v>
      </c>
      <c r="K48" s="93">
        <f>ano_1</f>
        <v>2026</v>
      </c>
      <c r="L48" s="93">
        <f>K48+1</f>
        <v>2027</v>
      </c>
      <c r="M48" s="93">
        <f t="shared" ref="M48:O48" si="14">L48+1</f>
        <v>2028</v>
      </c>
      <c r="N48" s="93">
        <f t="shared" si="14"/>
        <v>2029</v>
      </c>
      <c r="O48" s="93">
        <f t="shared" si="14"/>
        <v>2030</v>
      </c>
      <c r="P48" s="5"/>
    </row>
    <row r="49" spans="2:16">
      <c r="B49" s="11" t="str">
        <f>intervencao1</f>
        <v>Rosuvastatin 5mg</v>
      </c>
      <c r="C49" s="213">
        <f ca="1">IF(dynamic="Yes",Calculations!C131,Calculations2!C44)</f>
        <v>0</v>
      </c>
      <c r="D49" s="213">
        <f ca="1">IF(dynamic="Yes",Calculations!D131,Calculations2!D44)</f>
        <v>0</v>
      </c>
      <c r="E49" s="213">
        <f ca="1">IF(dynamic="Yes",Calculations!E131,Calculations2!E44)</f>
        <v>0</v>
      </c>
      <c r="F49" s="213">
        <f ca="1">IF(dynamic="Yes",Calculations!F131,Calculations2!F44)</f>
        <v>0</v>
      </c>
      <c r="G49" s="213">
        <f ca="1">IF(dynamic="Yes",Calculations!G131,Calculations2!G44)</f>
        <v>0</v>
      </c>
      <c r="H49" s="206"/>
      <c r="I49" s="206"/>
      <c r="J49" s="11" t="str">
        <f>intervencao1</f>
        <v>Rosuvastatin 5mg</v>
      </c>
      <c r="K49" s="213">
        <f ca="1">IF(dynamic="Yes",Calculations!C192,Calculations2!C65)</f>
        <v>0</v>
      </c>
      <c r="L49" s="213">
        <f ca="1">IF(dynamic="Yes",Calculations!D192,Calculations2!D65)</f>
        <v>0</v>
      </c>
      <c r="M49" s="213">
        <f ca="1">IF(dynamic="Yes",Calculations!E192,Calculations2!E65)</f>
        <v>0</v>
      </c>
      <c r="N49" s="213">
        <f ca="1">IF(dynamic="Yes",Calculations!F192,Calculations2!F65)</f>
        <v>0</v>
      </c>
      <c r="O49" s="213">
        <f ca="1">IF(dynamic="Yes",Calculations!G192,Calculations2!G65)</f>
        <v>0</v>
      </c>
      <c r="P49" s="9"/>
    </row>
    <row r="50" spans="2:16">
      <c r="B50" s="11" t="str">
        <f>intervencao2</f>
        <v>Rosuvastatin 10mg</v>
      </c>
      <c r="C50" s="213">
        <f ca="1">IF(dynamic="Yes",Calculations!K131,Calculations2!K44)</f>
        <v>0</v>
      </c>
      <c r="D50" s="213">
        <f ca="1">IF(dynamic="Yes",Calculations!L131,Calculations2!L44)</f>
        <v>0</v>
      </c>
      <c r="E50" s="213">
        <f ca="1">IF(dynamic="Yes",Calculations!M131,Calculations2!M44)</f>
        <v>0</v>
      </c>
      <c r="F50" s="213">
        <f ca="1">IF(dynamic="Yes",Calculations!N131,Calculations2!N44)</f>
        <v>0</v>
      </c>
      <c r="G50" s="213">
        <f ca="1">IF(dynamic="Yes",Calculations!O131,Calculations2!O44)</f>
        <v>0</v>
      </c>
      <c r="H50" s="215"/>
      <c r="I50" s="206"/>
      <c r="J50" s="11" t="str">
        <f>intervencao2</f>
        <v>Rosuvastatin 10mg</v>
      </c>
      <c r="K50" s="213">
        <f ca="1">IF(dynamic="Yes",Calculations!K192,Calculations2!K65)</f>
        <v>0</v>
      </c>
      <c r="L50" s="213">
        <f ca="1">IF(dynamic="Yes",Calculations!L192,Calculations2!L65)</f>
        <v>0</v>
      </c>
      <c r="M50" s="213">
        <f ca="1">IF(dynamic="Yes",Calculations!M192,Calculations2!M65)</f>
        <v>0</v>
      </c>
      <c r="N50" s="213">
        <f ca="1">IF(dynamic="Yes",Calculations!N192,Calculations2!N65)</f>
        <v>0</v>
      </c>
      <c r="O50" s="213">
        <f ca="1">IF(dynamic="Yes",Calculations!O192,Calculations2!O65)</f>
        <v>0</v>
      </c>
      <c r="P50" s="4"/>
    </row>
    <row r="51" spans="2:16">
      <c r="B51" s="11" t="str">
        <f>intervencao3</f>
        <v>Rosuvastatin 20mg</v>
      </c>
      <c r="C51" s="213">
        <f ca="1">IF(dynamic="Yes",Calculations!S131,Calculations2!S44)</f>
        <v>29769516.979841314</v>
      </c>
      <c r="D51" s="213">
        <f ca="1">IF(dynamic="Yes",Calculations!T131,Calculations2!T44)</f>
        <v>60027373.144373089</v>
      </c>
      <c r="E51" s="213">
        <f ca="1">IF(dynamic="Yes",Calculations!U131,Calculations2!U44)</f>
        <v>90742875.306083307</v>
      </c>
      <c r="F51" s="213">
        <f ca="1">IF(dynamic="Yes",Calculations!V131,Calculations2!V44)</f>
        <v>121928478.13631886</v>
      </c>
      <c r="G51" s="213">
        <f ca="1">IF(dynamic="Yes",Calculations!W131,Calculations2!W44)</f>
        <v>153589491.39722463</v>
      </c>
      <c r="H51" s="206"/>
      <c r="I51" s="206"/>
      <c r="J51" s="11" t="str">
        <f>intervencao3</f>
        <v>Rosuvastatin 20mg</v>
      </c>
      <c r="K51" s="213">
        <f ca="1">IF(dynamic="Yes",Calculations!S192,Calculations2!S65)</f>
        <v>29769516.979841314</v>
      </c>
      <c r="L51" s="213">
        <f ca="1">IF(dynamic="Yes",Calculations!T192,Calculations2!T65)</f>
        <v>60027373.144373089</v>
      </c>
      <c r="M51" s="213">
        <f ca="1">IF(dynamic="Yes",Calculations!U192,Calculations2!U65)</f>
        <v>90742875.306083307</v>
      </c>
      <c r="N51" s="213">
        <f ca="1">IF(dynamic="Yes",Calculations!V192,Calculations2!V65)</f>
        <v>121928478.13631886</v>
      </c>
      <c r="O51" s="213">
        <f ca="1">IF(dynamic="Yes",Calculations!W192,Calculations2!W65)</f>
        <v>153589491.39722463</v>
      </c>
      <c r="P51" s="9"/>
    </row>
    <row r="52" spans="2:16">
      <c r="B52" s="11" t="str">
        <f>intervencao4</f>
        <v>Rosuvastatin 40mg</v>
      </c>
      <c r="C52" s="213">
        <f ca="1">IF(dynamic="Yes",Calculations!AA131,Calculations2!AA44)</f>
        <v>33024473.029880863</v>
      </c>
      <c r="D52" s="213">
        <f ca="1">IF(dynamic="Yes",Calculations!AB131,Calculations2!AB44)</f>
        <v>66590679.546575278</v>
      </c>
      <c r="E52" s="213">
        <f ca="1">IF(dynamic="Yes",Calculations!AC131,Calculations2!AC44)</f>
        <v>100664570.41371736</v>
      </c>
      <c r="F52" s="213">
        <f ca="1">IF(dynamic="Yes",Calculations!AD131,Calculations2!AD44)</f>
        <v>135259962.07845581</v>
      </c>
      <c r="G52" s="213">
        <f ca="1">IF(dynamic="Yes",Calculations!AE131,Calculations2!AE44)</f>
        <v>170382744.86467004</v>
      </c>
      <c r="H52" s="206"/>
      <c r="I52" s="206"/>
      <c r="J52" s="11" t="str">
        <f>intervencao4</f>
        <v>Rosuvastatin 40mg</v>
      </c>
      <c r="K52" s="213">
        <f ca="1">IF(dynamic="Yes",Calculations!AA192,Calculations2!AA65)</f>
        <v>33024473.029880863</v>
      </c>
      <c r="L52" s="213">
        <f ca="1">IF(dynamic="Yes",Calculations!AB192,Calculations2!AB65)</f>
        <v>66590679.546575278</v>
      </c>
      <c r="M52" s="213">
        <f ca="1">IF(dynamic="Yes",Calculations!AC192,Calculations2!AC65)</f>
        <v>100664570.41371736</v>
      </c>
      <c r="N52" s="213">
        <f ca="1">IF(dynamic="Yes",Calculations!AD192,Calculations2!AD65)</f>
        <v>135259962.07845581</v>
      </c>
      <c r="O52" s="213">
        <f ca="1">IF(dynamic="Yes",Calculations!AE192,Calculations2!AE65)</f>
        <v>170382744.86467004</v>
      </c>
      <c r="P52" s="9"/>
    </row>
    <row r="53" spans="2:16">
      <c r="B53" s="11" t="str">
        <f>comparador1</f>
        <v>Atorvastatin 10mg</v>
      </c>
      <c r="C53" s="213">
        <f ca="1">IF(dynamic="Yes",Calculations!AI131,Calculations2!AI44)</f>
        <v>1311279.6090853959</v>
      </c>
      <c r="D53" s="213">
        <f ca="1">IF(dynamic="Yes",Calculations!AJ131,Calculations2!AJ44)</f>
        <v>1175141.9778303604</v>
      </c>
      <c r="E53" s="213">
        <f ca="1">IF(dynamic="Yes",Calculations!AK131,Calculations2!AK44)</f>
        <v>1036263.8113075627</v>
      </c>
      <c r="F53" s="213">
        <f ca="1">IF(dynamic="Yes",Calculations!AL131,Calculations2!AL44)</f>
        <v>895112.08873624634</v>
      </c>
      <c r="G53" s="213">
        <f ca="1">IF(dynamic="Yes",Calculations!AM131,Calculations2!AM44)</f>
        <v>751696.47295907279</v>
      </c>
      <c r="H53" s="206"/>
      <c r="I53" s="206"/>
      <c r="J53" s="11" t="str">
        <f>comparador1</f>
        <v>Atorvastatin 10mg</v>
      </c>
      <c r="K53" s="213">
        <f ca="1">IF(dynamic="Yes",Calculations!AI192,Calculations2!AI65)</f>
        <v>1311279.6090853959</v>
      </c>
      <c r="L53" s="213">
        <f ca="1">IF(dynamic="Yes",Calculations!AJ192,Calculations2!AJ65)</f>
        <v>1175141.9778303604</v>
      </c>
      <c r="M53" s="213">
        <f ca="1">IF(dynamic="Yes",Calculations!AK192,Calculations2!AK65)</f>
        <v>1036263.8113075627</v>
      </c>
      <c r="N53" s="213">
        <f ca="1">IF(dynamic="Yes",Calculations!AL192,Calculations2!AL65)</f>
        <v>895112.08873624634</v>
      </c>
      <c r="O53" s="213">
        <f ca="1">IF(dynamic="Yes",Calculations!AM192,Calculations2!AM65)</f>
        <v>751696.47295907279</v>
      </c>
      <c r="P53" s="9"/>
    </row>
    <row r="54" spans="2:16">
      <c r="B54" s="11" t="str">
        <f>comparador2</f>
        <v>Atorvastatin 20mg</v>
      </c>
      <c r="C54" s="213">
        <f ca="1">IF(dynamic="Yes",Calculations!AQ131,Calculations2!AQ44)</f>
        <v>9865489.4497679938</v>
      </c>
      <c r="D54" s="213">
        <f ca="1">IF(dynamic="Yes",Calculations!AR131,Calculations2!AR44)</f>
        <v>8841249.9545776956</v>
      </c>
      <c r="E54" s="213">
        <f ca="1">IF(dynamic="Yes",Calculations!AS131,Calculations2!AS44)</f>
        <v>7796391.8807230927</v>
      </c>
      <c r="F54" s="213">
        <f ca="1">IF(dynamic="Yes",Calculations!AT131,Calculations2!AT44)</f>
        <v>6734428.5738924639</v>
      </c>
      <c r="G54" s="213">
        <f ca="1">IF(dynamic="Yes",Calculations!AU131,Calculations2!AU44)</f>
        <v>5655432.7330522807</v>
      </c>
      <c r="H54" s="206"/>
      <c r="I54" s="206"/>
      <c r="J54" s="11" t="str">
        <f>comparador2</f>
        <v>Atorvastatin 20mg</v>
      </c>
      <c r="K54" s="213">
        <f ca="1">IF(dynamic="Yes",Calculations!AQ192,Calculations2!AQ65)</f>
        <v>9865489.4497679938</v>
      </c>
      <c r="L54" s="213">
        <f ca="1">IF(dynamic="Yes",Calculations!AR192,Calculations2!AR65)</f>
        <v>8841249.9545776956</v>
      </c>
      <c r="M54" s="213">
        <f ca="1">IF(dynamic="Yes",Calculations!AS192,Calculations2!AS65)</f>
        <v>7796391.8807230927</v>
      </c>
      <c r="N54" s="213">
        <f ca="1">IF(dynamic="Yes",Calculations!AT192,Calculations2!AT65)</f>
        <v>6734428.5738924639</v>
      </c>
      <c r="O54" s="213">
        <f ca="1">IF(dynamic="Yes",Calculations!AU192,Calculations2!AU65)</f>
        <v>5655432.7330522807</v>
      </c>
      <c r="P54" s="9"/>
    </row>
    <row r="55" spans="2:16">
      <c r="B55" s="11" t="str">
        <f>comparador3</f>
        <v>Atorvastatin 40mg</v>
      </c>
      <c r="C55" s="213">
        <f ca="1">IF(dynamic="Yes",Calculations!AY131,Calculations2!AY44)</f>
        <v>54317817.638895214</v>
      </c>
      <c r="D55" s="213">
        <f ca="1">IF(dynamic="Yes",Calculations!AZ131,Calculations2!AZ44)</f>
        <v>48678517.693203315</v>
      </c>
      <c r="E55" s="213">
        <f ca="1">IF(dynamic="Yes",Calculations!BA131,Calculations2!BA44)</f>
        <v>42925695.128936484</v>
      </c>
      <c r="F55" s="213">
        <f ca="1">IF(dynamic="Yes",Calculations!BB131,Calculations2!BB44)</f>
        <v>37078693.869310103</v>
      </c>
      <c r="G55" s="213">
        <f ca="1">IF(dynamic="Yes",Calculations!BC131,Calculations2!BC44)</f>
        <v>31137914.183284309</v>
      </c>
      <c r="H55" s="206"/>
      <c r="I55" s="206"/>
      <c r="J55" s="11" t="str">
        <f>comparador3</f>
        <v>Atorvastatin 40mg</v>
      </c>
      <c r="K55" s="213">
        <f ca="1">IF(dynamic="Yes",Calculations!AY192,Calculations2!AY65)</f>
        <v>54317817.638895214</v>
      </c>
      <c r="L55" s="213">
        <f ca="1">IF(dynamic="Yes",Calculations!AZ192,Calculations2!AZ65)</f>
        <v>48678517.693203315</v>
      </c>
      <c r="M55" s="213">
        <f ca="1">IF(dynamic="Yes",Calculations!BA192,Calculations2!BA65)</f>
        <v>42925695.128936484</v>
      </c>
      <c r="N55" s="213">
        <f ca="1">IF(dynamic="Yes",Calculations!BB192,Calculations2!BB65)</f>
        <v>37078693.869310103</v>
      </c>
      <c r="O55" s="213">
        <f ca="1">IF(dynamic="Yes",Calculations!BC192,Calculations2!BC65)</f>
        <v>31137914.183284309</v>
      </c>
      <c r="P55" s="9"/>
    </row>
    <row r="56" spans="2:16">
      <c r="B56" s="11" t="str">
        <f>comparador4</f>
        <v>Atorvastatin 80mg</v>
      </c>
      <c r="C56" s="213">
        <f ca="1">IF(dynamic="Yes",Calculations!BG131,Calculations2!BG44)</f>
        <v>10352103.395284122</v>
      </c>
      <c r="D56" s="213">
        <f ca="1">IF(dynamic="Yes",Calculations!BH131,Calculations2!BH44)</f>
        <v>9277343.4242020063</v>
      </c>
      <c r="E56" s="213">
        <f ca="1">IF(dynamic="Yes",Calculations!BI131,Calculations2!BI44)</f>
        <v>8180947.8658250589</v>
      </c>
      <c r="F56" s="213">
        <f ca="1">IF(dynamic="Yes",Calculations!BJ131,Calculations2!BJ44)</f>
        <v>7066603.3611469809</v>
      </c>
      <c r="G56" s="213">
        <f ca="1">IF(dynamic="Yes",Calculations!BK131,Calculations2!BK44)</f>
        <v>5934386.1950010285</v>
      </c>
      <c r="H56" s="206"/>
      <c r="I56" s="206"/>
      <c r="J56" s="11" t="str">
        <f>comparador4</f>
        <v>Atorvastatin 80mg</v>
      </c>
      <c r="K56" s="213">
        <f ca="1">IF(dynamic="Yes",Calculations!BG192,Calculations2!BG65)</f>
        <v>10352103.395284122</v>
      </c>
      <c r="L56" s="213">
        <f ca="1">IF(dynamic="Yes",Calculations!BH192,Calculations2!BH65)</f>
        <v>9277343.4242020063</v>
      </c>
      <c r="M56" s="213">
        <f ca="1">IF(dynamic="Yes",Calculations!BI192,Calculations2!BI65)</f>
        <v>8180947.8658250589</v>
      </c>
      <c r="N56" s="213">
        <f ca="1">IF(dynamic="Yes",Calculations!BJ192,Calculations2!BJ65)</f>
        <v>7066603.3611469809</v>
      </c>
      <c r="O56" s="213">
        <f ca="1">IF(dynamic="Yes",Calculations!BK192,Calculations2!BK65)</f>
        <v>5934386.1950010285</v>
      </c>
      <c r="P56" s="9"/>
    </row>
    <row r="57" spans="2:16">
      <c r="B57" s="11" t="str">
        <f>comparador5</f>
        <v>Pravastatin</v>
      </c>
      <c r="C57" s="213">
        <f ca="1">IF(dynamic="Yes",Calculations!BO131,Calculations2!BO44)</f>
        <v>1042638.2635894753</v>
      </c>
      <c r="D57" s="213">
        <f ca="1">IF(dynamic="Yes",Calculations!BP131,Calculations2!BP44)</f>
        <v>1051189.9831204498</v>
      </c>
      <c r="E57" s="213">
        <f ca="1">IF(dynamic="Yes",Calculations!BQ131,Calculations2!BQ44)</f>
        <v>1059383.373114164</v>
      </c>
      <c r="F57" s="213">
        <f ca="1">IF(dynamic="Yes",Calculations!BR131,Calculations2!BR44)</f>
        <v>1067596.2328532587</v>
      </c>
      <c r="G57" s="213">
        <f ca="1">IF(dynamic="Yes",Calculations!BS131,Calculations2!BS44)</f>
        <v>1075854.0739806562</v>
      </c>
      <c r="H57" s="206"/>
      <c r="I57" s="206"/>
      <c r="J57" s="11" t="str">
        <f>comparador5</f>
        <v>Pravastatin</v>
      </c>
      <c r="K57" s="213">
        <f ca="1">IF(dynamic="Yes",Calculations!BO192,Calculations2!BO65)</f>
        <v>1042638.2635894753</v>
      </c>
      <c r="L57" s="213">
        <f ca="1">IF(dynamic="Yes",Calculations!BP192,Calculations2!BP65)</f>
        <v>1051189.9831204498</v>
      </c>
      <c r="M57" s="213">
        <f ca="1">IF(dynamic="Yes",Calculations!BQ192,Calculations2!BQ65)</f>
        <v>1059383.373114164</v>
      </c>
      <c r="N57" s="213">
        <f ca="1">IF(dynamic="Yes",Calculations!BR192,Calculations2!BR65)</f>
        <v>1067596.2328532587</v>
      </c>
      <c r="O57" s="213">
        <f ca="1">IF(dynamic="Yes",Calculations!BS192,Calculations2!BS65)</f>
        <v>1075854.0739806562</v>
      </c>
      <c r="P57" s="9"/>
    </row>
    <row r="58" spans="2:16">
      <c r="B58" s="11" t="str">
        <f>comparador6</f>
        <v>Simvastatin 5mg</v>
      </c>
      <c r="C58" s="213">
        <f ca="1">IF(dynamic="Yes",Calculations!BW131,Calculations2!BW44)</f>
        <v>38488.78478449375</v>
      </c>
      <c r="D58" s="213">
        <f ca="1">IF(dynamic="Yes",Calculations!BX131,Calculations2!BX44)</f>
        <v>34492.862058218379</v>
      </c>
      <c r="E58" s="213">
        <f ca="1">IF(dynamic="Yes",Calculations!BY131,Calculations2!BY44)</f>
        <v>30416.498919856684</v>
      </c>
      <c r="F58" s="213">
        <f ca="1">IF(dynamic="Yes",Calculations!BZ131,Calculations2!BZ44)</f>
        <v>26273.402181093799</v>
      </c>
      <c r="G58" s="213">
        <f ca="1">IF(dynamic="Yes",Calculations!CA131,Calculations2!CA44)</f>
        <v>22063.855466466437</v>
      </c>
      <c r="H58" s="206"/>
      <c r="I58" s="206"/>
      <c r="J58" s="11" t="str">
        <f>comparador6</f>
        <v>Simvastatin 5mg</v>
      </c>
      <c r="K58" s="213">
        <f ca="1">IF(dynamic="Yes",Calculations!BW192,Calculations2!BW65)</f>
        <v>38488.78478449375</v>
      </c>
      <c r="L58" s="213">
        <f ca="1">IF(dynamic="Yes",Calculations!BX192,Calculations2!BX65)</f>
        <v>34492.862058218379</v>
      </c>
      <c r="M58" s="213">
        <f ca="1">IF(dynamic="Yes",Calculations!BY192,Calculations2!BY65)</f>
        <v>30416.498919856684</v>
      </c>
      <c r="N58" s="213">
        <f ca="1">IF(dynamic="Yes",Calculations!BZ192,Calculations2!BZ65)</f>
        <v>26273.402181093799</v>
      </c>
      <c r="O58" s="213">
        <f ca="1">IF(dynamic="Yes",Calculations!CA192,Calculations2!CA65)</f>
        <v>22063.855466466437</v>
      </c>
      <c r="P58" s="9"/>
    </row>
    <row r="59" spans="2:16">
      <c r="B59" s="11" t="str">
        <f>comparador7</f>
        <v>Simvastatin 10mg</v>
      </c>
      <c r="C59" s="213">
        <f ca="1">IF(dynamic="Yes",Calculations!CE131,Calculations2!CE44)</f>
        <v>2779199.1467679399</v>
      </c>
      <c r="D59" s="213">
        <f ca="1">IF(dynamic="Yes",Calculations!CF131,Calculations2!CF44)</f>
        <v>2490661.4573190054</v>
      </c>
      <c r="E59" s="213">
        <f ca="1">IF(dynamic="Yes",Calculations!CG131,Calculations2!CG44)</f>
        <v>2196315.3245563176</v>
      </c>
      <c r="F59" s="213">
        <f ca="1">IF(dynamic="Yes",Calculations!CH131,Calculations2!CH44)</f>
        <v>1897150.4902852764</v>
      </c>
      <c r="G59" s="213">
        <f ca="1">IF(dynamic="Yes",Calculations!CI131,Calculations2!CI44)</f>
        <v>1593187.4344736142</v>
      </c>
      <c r="H59" s="206"/>
      <c r="I59" s="206"/>
      <c r="J59" s="11" t="str">
        <f>comparador7</f>
        <v>Simvastatin 10mg</v>
      </c>
      <c r="K59" s="213">
        <f ca="1">IF(dynamic="Yes",Calculations!CE192,Calculations2!CE65)</f>
        <v>2779199.1467679399</v>
      </c>
      <c r="L59" s="213">
        <f ca="1">IF(dynamic="Yes",Calculations!CF192,Calculations2!CF65)</f>
        <v>2490661.4573190054</v>
      </c>
      <c r="M59" s="213">
        <f ca="1">IF(dynamic="Yes",Calculations!CG192,Calculations2!CG65)</f>
        <v>2196315.3245563176</v>
      </c>
      <c r="N59" s="213">
        <f ca="1">IF(dynamic="Yes",Calculations!CH192,Calculations2!CH65)</f>
        <v>1897150.4902852764</v>
      </c>
      <c r="O59" s="213">
        <f ca="1">IF(dynamic="Yes",Calculations!CI192,Calculations2!CI65)</f>
        <v>1593187.4344736142</v>
      </c>
      <c r="P59" s="9"/>
    </row>
    <row r="60" spans="2:16">
      <c r="B60" s="11" t="str">
        <f>comparador8</f>
        <v>Simvastatin 20mg</v>
      </c>
      <c r="C60" s="213">
        <f ca="1">IF(dynamic="Yes",Calculations!CM131,Calculations2!CM44)</f>
        <v>11908604.566659126</v>
      </c>
      <c r="D60" s="213">
        <f ca="1">IF(dynamic="Yes",Calculations!CN131,Calculations2!CN44)</f>
        <v>10672247.952840775</v>
      </c>
      <c r="E60" s="213">
        <f ca="1">IF(dynamic="Yes",Calculations!CO131,Calculations2!CO44)</f>
        <v>9411002.7107095607</v>
      </c>
      <c r="F60" s="213">
        <f ca="1">IF(dynamic="Yes",Calculations!CP131,Calculations2!CP44)</f>
        <v>8129109.7899639942</v>
      </c>
      <c r="G60" s="213">
        <f ca="1">IF(dynamic="Yes",Calculations!CQ131,Calculations2!CQ44)</f>
        <v>6826656.9453220284</v>
      </c>
      <c r="H60" s="206"/>
      <c r="I60" s="206"/>
      <c r="J60" s="11" t="str">
        <f>comparador8</f>
        <v>Simvastatin 20mg</v>
      </c>
      <c r="K60" s="213">
        <f ca="1">IF(dynamic="Yes",Calculations!CM192,Calculations2!CM65)</f>
        <v>11908604.566659126</v>
      </c>
      <c r="L60" s="213">
        <f ca="1">IF(dynamic="Yes",Calculations!CN192,Calculations2!CN65)</f>
        <v>10672247.952840775</v>
      </c>
      <c r="M60" s="213">
        <f ca="1">IF(dynamic="Yes",Calculations!CO192,Calculations2!CO65)</f>
        <v>9411002.7107095607</v>
      </c>
      <c r="N60" s="213">
        <f ca="1">IF(dynamic="Yes",Calculations!CP192,Calculations2!CP65)</f>
        <v>8129109.7899639942</v>
      </c>
      <c r="O60" s="213">
        <f ca="1">IF(dynamic="Yes",Calculations!CQ192,Calculations2!CQ65)</f>
        <v>6826656.9453220284</v>
      </c>
      <c r="P60" s="9"/>
    </row>
    <row r="61" spans="2:16">
      <c r="B61" s="11" t="str">
        <f>comparador9</f>
        <v>Simvastatin 40mg</v>
      </c>
      <c r="C61" s="213">
        <f ca="1">IF(dynamic="Yes",Calculations!CU131,Calculations2!CU44)</f>
        <v>25400559.249601152</v>
      </c>
      <c r="D61" s="213">
        <f ca="1">IF(dynamic="Yes",Calculations!CV131,Calculations2!CV44)</f>
        <v>22759953.382149894</v>
      </c>
      <c r="E61" s="213">
        <f ca="1">IF(dynamic="Yes",Calculations!CW131,Calculations2!CW44)</f>
        <v>20066206.409859173</v>
      </c>
      <c r="F61" s="213">
        <f ca="1">IF(dynamic="Yes",Calculations!CX131,Calculations2!CX44)</f>
        <v>17328363.907455623</v>
      </c>
      <c r="G61" s="213">
        <f ca="1">IF(dynamic="Yes",Calculations!CY131,Calculations2!CY44)</f>
        <v>14546612.516561389</v>
      </c>
      <c r="H61" s="206"/>
      <c r="I61" s="206"/>
      <c r="J61" s="11" t="str">
        <f>comparador9</f>
        <v>Simvastatin 40mg</v>
      </c>
      <c r="K61" s="213">
        <f ca="1">IF(dynamic="Yes",Calculations!CU192,Calculations2!CU65)</f>
        <v>25400559.249601152</v>
      </c>
      <c r="L61" s="213">
        <f ca="1">IF(dynamic="Yes",Calculations!CV192,Calculations2!CV65)</f>
        <v>22759953.382149894</v>
      </c>
      <c r="M61" s="213">
        <f ca="1">IF(dynamic="Yes",Calculations!CW192,Calculations2!CW65)</f>
        <v>20066206.409859173</v>
      </c>
      <c r="N61" s="213">
        <f ca="1">IF(dynamic="Yes",Calculations!CX192,Calculations2!CX65)</f>
        <v>17328363.907455623</v>
      </c>
      <c r="O61" s="213">
        <f ca="1">IF(dynamic="Yes",Calculations!CY192,Calculations2!CY65)</f>
        <v>14546612.516561389</v>
      </c>
      <c r="P61" s="9"/>
    </row>
    <row r="62" spans="2:16">
      <c r="B62" s="11">
        <f>comparador10</f>
        <v>0</v>
      </c>
      <c r="C62" s="213">
        <f ca="1">IF(dynamic="Yes",Calculations!DC131,Calculations2!DC44)</f>
        <v>0</v>
      </c>
      <c r="D62" s="213">
        <f ca="1">IF(dynamic="Yes",Calculations!DD131,Calculations2!DD44)</f>
        <v>0</v>
      </c>
      <c r="E62" s="213">
        <f ca="1">IF(dynamic="Yes",Calculations!DE131,Calculations2!DE44)</f>
        <v>0</v>
      </c>
      <c r="F62" s="213">
        <f ca="1">IF(dynamic="Yes",Calculations!DF131,Calculations2!DF44)</f>
        <v>0</v>
      </c>
      <c r="G62" s="213">
        <f ca="1">IF(dynamic="Yes",Calculations!DG131,Calculations2!DG44)</f>
        <v>0</v>
      </c>
      <c r="H62" s="206"/>
      <c r="I62" s="206"/>
      <c r="J62" s="11">
        <f>comparador10</f>
        <v>0</v>
      </c>
      <c r="K62" s="213">
        <f ca="1">IF(dynamic="Yes",Calculations!DC192,Calculations2!DC65)</f>
        <v>0</v>
      </c>
      <c r="L62" s="213">
        <f ca="1">IF(dynamic="Yes",Calculations!DD192,Calculations2!DD65)</f>
        <v>0</v>
      </c>
      <c r="M62" s="213">
        <f ca="1">IF(dynamic="Yes",Calculations!DE192,Calculations2!DE65)</f>
        <v>0</v>
      </c>
      <c r="N62" s="213">
        <f ca="1">IF(dynamic="Yes",Calculations!DF192,Calculations2!DF65)</f>
        <v>0</v>
      </c>
      <c r="O62" s="213">
        <f ca="1">IF(dynamic="Yes",Calculations!DG192,Calculations2!DG65)</f>
        <v>0</v>
      </c>
      <c r="P62" s="9"/>
    </row>
    <row r="63" spans="2:16">
      <c r="B63" s="115" t="s">
        <v>5</v>
      </c>
      <c r="C63" s="213">
        <f ca="1">SUM(C49:C62)</f>
        <v>179810170.11415708</v>
      </c>
      <c r="D63" s="213">
        <f t="shared" ref="D63" ca="1" si="15">SUM(D49:D62)</f>
        <v>231598851.37825006</v>
      </c>
      <c r="E63" s="213">
        <f t="shared" ref="E63" ca="1" si="16">SUM(E49:E62)</f>
        <v>284110068.7237519</v>
      </c>
      <c r="F63" s="213">
        <f t="shared" ref="F63" ca="1" si="17">SUM(F49:F62)</f>
        <v>337411771.93059969</v>
      </c>
      <c r="G63" s="213">
        <f ca="1">SUM(G49:G62)</f>
        <v>391516040.67199552</v>
      </c>
      <c r="H63" s="206"/>
      <c r="I63" s="206"/>
      <c r="J63" s="216" t="s">
        <v>5</v>
      </c>
      <c r="K63" s="213">
        <f ca="1">SUM(K49:K62)</f>
        <v>179810170.11415708</v>
      </c>
      <c r="L63" s="213">
        <f t="shared" ref="L63" ca="1" si="18">SUM(L49:L62)</f>
        <v>231598851.37825006</v>
      </c>
      <c r="M63" s="213">
        <f t="shared" ref="M63" ca="1" si="19">SUM(M49:M62)</f>
        <v>284110068.7237519</v>
      </c>
      <c r="N63" s="213">
        <f t="shared" ref="N63" ca="1" si="20">SUM(N49:N62)</f>
        <v>337411771.93059969</v>
      </c>
      <c r="O63" s="213">
        <f t="shared" ref="O63" ca="1" si="21">SUM(O49:O62)</f>
        <v>391516040.67199552</v>
      </c>
      <c r="P63" s="9"/>
    </row>
    <row r="65" spans="2:16">
      <c r="B65" s="513" t="str">
        <f>cen_prop3</f>
        <v>moderate intensity only</v>
      </c>
      <c r="C65" s="513"/>
      <c r="D65" s="513"/>
      <c r="E65" s="513"/>
      <c r="F65" s="513"/>
      <c r="G65" s="513"/>
      <c r="H65" s="513"/>
      <c r="I65" s="9"/>
      <c r="J65" s="513" t="str">
        <f>cen_prop3</f>
        <v>moderate intensity only</v>
      </c>
      <c r="K65" s="513"/>
      <c r="L65" s="513"/>
      <c r="M65" s="513"/>
      <c r="N65" s="513"/>
      <c r="O65" s="513"/>
      <c r="P65" s="513"/>
    </row>
    <row r="67" spans="2:16">
      <c r="B67" s="93" t="s">
        <v>81</v>
      </c>
      <c r="C67" s="93">
        <f>ano_1</f>
        <v>2026</v>
      </c>
      <c r="D67" s="93">
        <f>C67+1</f>
        <v>2027</v>
      </c>
      <c r="E67" s="93">
        <f t="shared" ref="E67:G67" si="22">D67+1</f>
        <v>2028</v>
      </c>
      <c r="F67" s="93">
        <f t="shared" si="22"/>
        <v>2029</v>
      </c>
      <c r="G67" s="93">
        <f t="shared" si="22"/>
        <v>2030</v>
      </c>
      <c r="H67" s="5"/>
      <c r="I67" s="9"/>
      <c r="J67" s="93" t="s">
        <v>81</v>
      </c>
      <c r="K67" s="93">
        <f>ano_1</f>
        <v>2026</v>
      </c>
      <c r="L67" s="93">
        <f>K67+1</f>
        <v>2027</v>
      </c>
      <c r="M67" s="93">
        <f t="shared" ref="M67:O67" si="23">L67+1</f>
        <v>2028</v>
      </c>
      <c r="N67" s="93">
        <f t="shared" si="23"/>
        <v>2029</v>
      </c>
      <c r="O67" s="93">
        <f t="shared" si="23"/>
        <v>2030</v>
      </c>
      <c r="P67" s="5"/>
    </row>
    <row r="68" spans="2:16">
      <c r="B68" s="11" t="str">
        <f>intervencao1</f>
        <v>Rosuvastatin 5mg</v>
      </c>
      <c r="C68" s="213">
        <f ca="1">IF(dynamic="Yes",Calculations!C145,Calculations2!C48)</f>
        <v>13156420.811297385</v>
      </c>
      <c r="D68" s="213">
        <f ca="1">IF(dynamic="Yes",Calculations!D145,Calculations2!D48)</f>
        <v>26528659.562025379</v>
      </c>
      <c r="E68" s="213">
        <f ca="1">IF(dynamic="Yes",Calculations!E145,Calculations2!E48)</f>
        <v>40103151.621920675</v>
      </c>
      <c r="F68" s="213">
        <f ca="1">IF(dynamic="Yes",Calculations!F145,Calculations2!F48)</f>
        <v>53885401.242107593</v>
      </c>
      <c r="G68" s="213">
        <f ca="1">IF(dynamic="Yes",Calculations!G145,Calculations2!G48)</f>
        <v>67877755.033222526</v>
      </c>
      <c r="H68" s="206"/>
      <c r="I68" s="206"/>
      <c r="J68" s="11" t="str">
        <f>intervencao1</f>
        <v>Rosuvastatin 5mg</v>
      </c>
      <c r="K68" s="213">
        <f ca="1">IF(dynamic="Yes",Calculations!C206,Calculations2!C69)</f>
        <v>13156420.811297385</v>
      </c>
      <c r="L68" s="213">
        <f ca="1">IF(dynamic="Yes",Calculations!D206,Calculations2!D69)</f>
        <v>26528659.562025379</v>
      </c>
      <c r="M68" s="213">
        <f ca="1">IF(dynamic="Yes",Calculations!E206,Calculations2!E69)</f>
        <v>40103151.621920675</v>
      </c>
      <c r="N68" s="213">
        <f ca="1">IF(dynamic="Yes",Calculations!F206,Calculations2!F69)</f>
        <v>53885401.242107593</v>
      </c>
      <c r="O68" s="213">
        <f ca="1">IF(dynamic="Yes",Calculations!G206,Calculations2!G69)</f>
        <v>67877755.033222526</v>
      </c>
      <c r="P68" s="9"/>
    </row>
    <row r="69" spans="2:16">
      <c r="B69" s="11" t="str">
        <f>intervencao2</f>
        <v>Rosuvastatin 10mg</v>
      </c>
      <c r="C69" s="213">
        <f ca="1">IF(dynamic="Yes",Calculations!K145,Calculations2!K48)</f>
        <v>26183204.453482121</v>
      </c>
      <c r="D69" s="213">
        <f ca="1">IF(dynamic="Yes",Calculations!L145,Calculations2!L48)</f>
        <v>52795918.217580721</v>
      </c>
      <c r="E69" s="213">
        <f ca="1">IF(dynamic="Yes",Calculations!M145,Calculations2!M48)</f>
        <v>79811145.69124186</v>
      </c>
      <c r="F69" s="213">
        <f ca="1">IF(dynamic="Yes",Calculations!N145,Calculations2!N48)</f>
        <v>107239841.14041811</v>
      </c>
      <c r="G69" s="213">
        <f ca="1">IF(dynamic="Yes",Calculations!O145,Calculations2!O48)</f>
        <v>135086674.66398719</v>
      </c>
      <c r="H69" s="215"/>
      <c r="I69" s="206"/>
      <c r="J69" s="11" t="str">
        <f>intervencao2</f>
        <v>Rosuvastatin 10mg</v>
      </c>
      <c r="K69" s="213">
        <f ca="1">IF(dynamic="Yes",Calculations!K206,Calculations2!K69)</f>
        <v>26183204.453482121</v>
      </c>
      <c r="L69" s="213">
        <f ca="1">IF(dynamic="Yes",Calculations!L206,Calculations2!L69)</f>
        <v>52795918.217580721</v>
      </c>
      <c r="M69" s="213">
        <f ca="1">IF(dynamic="Yes",Calculations!M206,Calculations2!M69)</f>
        <v>79811145.69124186</v>
      </c>
      <c r="N69" s="213">
        <f ca="1">IF(dynamic="Yes",Calculations!N206,Calculations2!N69)</f>
        <v>107239841.14041811</v>
      </c>
      <c r="O69" s="213">
        <f ca="1">IF(dynamic="Yes",Calculations!O206,Calculations2!O69)</f>
        <v>135086674.66398719</v>
      </c>
      <c r="P69" s="4"/>
    </row>
    <row r="70" spans="2:16">
      <c r="B70" s="11" t="str">
        <f>intervencao3</f>
        <v>Rosuvastatin 20mg</v>
      </c>
      <c r="C70" s="213">
        <f ca="1">IF(dynamic="Yes",Calculations!S145,Calculations2!S48)</f>
        <v>0</v>
      </c>
      <c r="D70" s="213">
        <f ca="1">IF(dynamic="Yes",Calculations!T145,Calculations2!T48)</f>
        <v>0</v>
      </c>
      <c r="E70" s="213">
        <f ca="1">IF(dynamic="Yes",Calculations!U145,Calculations2!U48)</f>
        <v>0</v>
      </c>
      <c r="F70" s="213">
        <f ca="1">IF(dynamic="Yes",Calculations!V145,Calculations2!V48)</f>
        <v>0</v>
      </c>
      <c r="G70" s="213">
        <f ca="1">IF(dynamic="Yes",Calculations!W145,Calculations2!W48)</f>
        <v>0</v>
      </c>
      <c r="H70" s="206"/>
      <c r="I70" s="206"/>
      <c r="J70" s="11" t="str">
        <f>intervencao3</f>
        <v>Rosuvastatin 20mg</v>
      </c>
      <c r="K70" s="213">
        <f ca="1">IF(dynamic="Yes",Calculations!S206,Calculations2!S69)</f>
        <v>0</v>
      </c>
      <c r="L70" s="213">
        <f ca="1">IF(dynamic="Yes",Calculations!T206,Calculations2!T69)</f>
        <v>0</v>
      </c>
      <c r="M70" s="213">
        <f ca="1">IF(dynamic="Yes",Calculations!U206,Calculations2!U69)</f>
        <v>0</v>
      </c>
      <c r="N70" s="213">
        <f ca="1">IF(dynamic="Yes",Calculations!V206,Calculations2!V69)</f>
        <v>0</v>
      </c>
      <c r="O70" s="213">
        <f ca="1">IF(dynamic="Yes",Calculations!W206,Calculations2!W69)</f>
        <v>0</v>
      </c>
      <c r="P70" s="9"/>
    </row>
    <row r="71" spans="2:16">
      <c r="B71" s="11" t="str">
        <f>intervencao4</f>
        <v>Rosuvastatin 40mg</v>
      </c>
      <c r="C71" s="213">
        <f ca="1">IF(dynamic="Yes",Calculations!AA145,Calculations2!AA48)</f>
        <v>0</v>
      </c>
      <c r="D71" s="213">
        <f ca="1">IF(dynamic="Yes",Calculations!AB145,Calculations2!AB48)</f>
        <v>0</v>
      </c>
      <c r="E71" s="213">
        <f ca="1">IF(dynamic="Yes",Calculations!AC145,Calculations2!AC48)</f>
        <v>0</v>
      </c>
      <c r="F71" s="213">
        <f ca="1">IF(dynamic="Yes",Calculations!AD145,Calculations2!AD48)</f>
        <v>0</v>
      </c>
      <c r="G71" s="213">
        <f ca="1">IF(dynamic="Yes",Calculations!AE145,Calculations2!AE48)</f>
        <v>0</v>
      </c>
      <c r="H71" s="206"/>
      <c r="I71" s="206"/>
      <c r="J71" s="11" t="str">
        <f>intervencao4</f>
        <v>Rosuvastatin 40mg</v>
      </c>
      <c r="K71" s="213">
        <f ca="1">IF(dynamic="Yes",Calculations!AA206,Calculations2!AA69)</f>
        <v>0</v>
      </c>
      <c r="L71" s="213">
        <f ca="1">IF(dynamic="Yes",Calculations!AB206,Calculations2!AB69)</f>
        <v>0</v>
      </c>
      <c r="M71" s="213">
        <f ca="1">IF(dynamic="Yes",Calculations!AC206,Calculations2!AC69)</f>
        <v>0</v>
      </c>
      <c r="N71" s="213">
        <f ca="1">IF(dynamic="Yes",Calculations!AD206,Calculations2!AD69)</f>
        <v>0</v>
      </c>
      <c r="O71" s="213">
        <f ca="1">IF(dynamic="Yes",Calculations!AE206,Calculations2!AE69)</f>
        <v>0</v>
      </c>
      <c r="P71" s="9"/>
    </row>
    <row r="72" spans="2:16">
      <c r="B72" s="11" t="str">
        <f>comparador1</f>
        <v>Atorvastatin 10mg</v>
      </c>
      <c r="C72" s="213">
        <f ca="1">IF(dynamic="Yes",Calculations!AI145,Calculations2!AI48)</f>
        <v>1311279.6090853959</v>
      </c>
      <c r="D72" s="213">
        <f ca="1">IF(dynamic="Yes",Calculations!AJ145,Calculations2!AJ48)</f>
        <v>1175141.9778303604</v>
      </c>
      <c r="E72" s="213">
        <f ca="1">IF(dynamic="Yes",Calculations!AK145,Calculations2!AK48)</f>
        <v>1036263.8113075627</v>
      </c>
      <c r="F72" s="213">
        <f ca="1">IF(dynamic="Yes",Calculations!AL145,Calculations2!AL48)</f>
        <v>895112.08873624634</v>
      </c>
      <c r="G72" s="213">
        <f ca="1">IF(dynamic="Yes",Calculations!AM145,Calculations2!AM48)</f>
        <v>751696.47295907279</v>
      </c>
      <c r="H72" s="206"/>
      <c r="I72" s="206"/>
      <c r="J72" s="11" t="str">
        <f>comparador1</f>
        <v>Atorvastatin 10mg</v>
      </c>
      <c r="K72" s="213">
        <f ca="1">IF(dynamic="Yes",Calculations!AI206,Calculations2!AI69)</f>
        <v>1311279.6090853959</v>
      </c>
      <c r="L72" s="213">
        <f ca="1">IF(dynamic="Yes",Calculations!AJ206,Calculations2!AJ69)</f>
        <v>1175141.9778303604</v>
      </c>
      <c r="M72" s="213">
        <f ca="1">IF(dynamic="Yes",Calculations!AK206,Calculations2!AK69)</f>
        <v>1036263.8113075627</v>
      </c>
      <c r="N72" s="213">
        <f ca="1">IF(dynamic="Yes",Calculations!AL206,Calculations2!AL69)</f>
        <v>895112.08873624634</v>
      </c>
      <c r="O72" s="213">
        <f ca="1">IF(dynamic="Yes",Calculations!AM206,Calculations2!AM69)</f>
        <v>751696.47295907279</v>
      </c>
      <c r="P72" s="9"/>
    </row>
    <row r="73" spans="2:16">
      <c r="B73" s="11" t="str">
        <f>comparador2</f>
        <v>Atorvastatin 20mg</v>
      </c>
      <c r="C73" s="213">
        <f ca="1">IF(dynamic="Yes",Calculations!AQ145,Calculations2!AQ48)</f>
        <v>9865489.4497679938</v>
      </c>
      <c r="D73" s="213">
        <f ca="1">IF(dynamic="Yes",Calculations!AR145,Calculations2!AR48)</f>
        <v>8841249.9545776956</v>
      </c>
      <c r="E73" s="213">
        <f ca="1">IF(dynamic="Yes",Calculations!AS145,Calculations2!AS48)</f>
        <v>7796391.8807230927</v>
      </c>
      <c r="F73" s="213">
        <f ca="1">IF(dynamic="Yes",Calculations!AT145,Calculations2!AT48)</f>
        <v>6734428.5738924639</v>
      </c>
      <c r="G73" s="213">
        <f ca="1">IF(dynamic="Yes",Calculations!AU145,Calculations2!AU48)</f>
        <v>5655432.7330522807</v>
      </c>
      <c r="H73" s="206"/>
      <c r="I73" s="206"/>
      <c r="J73" s="11" t="str">
        <f>comparador2</f>
        <v>Atorvastatin 20mg</v>
      </c>
      <c r="K73" s="213">
        <f ca="1">IF(dynamic="Yes",Calculations!AQ206,Calculations2!AQ69)</f>
        <v>9865489.4497679938</v>
      </c>
      <c r="L73" s="213">
        <f ca="1">IF(dynamic="Yes",Calculations!AR206,Calculations2!AR69)</f>
        <v>8841249.9545776956</v>
      </c>
      <c r="M73" s="213">
        <f ca="1">IF(dynamic="Yes",Calculations!AS206,Calculations2!AS69)</f>
        <v>7796391.8807230927</v>
      </c>
      <c r="N73" s="213">
        <f ca="1">IF(dynamic="Yes",Calculations!AT206,Calculations2!AT69)</f>
        <v>6734428.5738924639</v>
      </c>
      <c r="O73" s="213">
        <f ca="1">IF(dynamic="Yes",Calculations!AU206,Calculations2!AU69)</f>
        <v>5655432.7330522807</v>
      </c>
      <c r="P73" s="9"/>
    </row>
    <row r="74" spans="2:16">
      <c r="B74" s="11" t="str">
        <f>comparador3</f>
        <v>Atorvastatin 40mg</v>
      </c>
      <c r="C74" s="213">
        <f ca="1">IF(dynamic="Yes",Calculations!AY145,Calculations2!AY48)</f>
        <v>54317817.638895214</v>
      </c>
      <c r="D74" s="213">
        <f ca="1">IF(dynamic="Yes",Calculations!AZ145,Calculations2!AZ48)</f>
        <v>48678517.693203315</v>
      </c>
      <c r="E74" s="213">
        <f ca="1">IF(dynamic="Yes",Calculations!BA145,Calculations2!BA48)</f>
        <v>42925695.128936484</v>
      </c>
      <c r="F74" s="213">
        <f ca="1">IF(dynamic="Yes",Calculations!BB145,Calculations2!BB48)</f>
        <v>37078693.869310103</v>
      </c>
      <c r="G74" s="213">
        <f ca="1">IF(dynamic="Yes",Calculations!BC145,Calculations2!BC48)</f>
        <v>31137914.183284309</v>
      </c>
      <c r="H74" s="206"/>
      <c r="I74" s="206"/>
      <c r="J74" s="11" t="str">
        <f>comparador3</f>
        <v>Atorvastatin 40mg</v>
      </c>
      <c r="K74" s="213">
        <f ca="1">IF(dynamic="Yes",Calculations!AY206,Calculations2!AY69)</f>
        <v>54317817.638895214</v>
      </c>
      <c r="L74" s="213">
        <f ca="1">IF(dynamic="Yes",Calculations!AZ206,Calculations2!AZ69)</f>
        <v>48678517.693203315</v>
      </c>
      <c r="M74" s="213">
        <f ca="1">IF(dynamic="Yes",Calculations!BA206,Calculations2!BA69)</f>
        <v>42925695.128936484</v>
      </c>
      <c r="N74" s="213">
        <f ca="1">IF(dynamic="Yes",Calculations!BB206,Calculations2!BB69)</f>
        <v>37078693.869310103</v>
      </c>
      <c r="O74" s="213">
        <f ca="1">IF(dynamic="Yes",Calculations!BC206,Calculations2!BC69)</f>
        <v>31137914.183284309</v>
      </c>
      <c r="P74" s="9"/>
    </row>
    <row r="75" spans="2:16">
      <c r="B75" s="11" t="str">
        <f>comparador4</f>
        <v>Atorvastatin 80mg</v>
      </c>
      <c r="C75" s="213">
        <f ca="1">IF(dynamic="Yes",Calculations!BG145,Calculations2!BG48)</f>
        <v>10352103.395284122</v>
      </c>
      <c r="D75" s="213">
        <f ca="1">IF(dynamic="Yes",Calculations!BH145,Calculations2!BH48)</f>
        <v>9277343.4242020063</v>
      </c>
      <c r="E75" s="213">
        <f ca="1">IF(dynamic="Yes",Calculations!BI145,Calculations2!BI48)</f>
        <v>8180947.8658250589</v>
      </c>
      <c r="F75" s="213">
        <f ca="1">IF(dynamic="Yes",Calculations!BJ145,Calculations2!BJ48)</f>
        <v>7066603.3611469809</v>
      </c>
      <c r="G75" s="213">
        <f ca="1">IF(dynamic="Yes",Calculations!BK145,Calculations2!BK48)</f>
        <v>5934386.1950010285</v>
      </c>
      <c r="H75" s="206"/>
      <c r="I75" s="206"/>
      <c r="J75" s="11" t="str">
        <f>comparador4</f>
        <v>Atorvastatin 80mg</v>
      </c>
      <c r="K75" s="213">
        <f ca="1">IF(dynamic="Yes",Calculations!BG206,Calculations2!BG69)</f>
        <v>10352103.395284122</v>
      </c>
      <c r="L75" s="213">
        <f ca="1">IF(dynamic="Yes",Calculations!BH206,Calculations2!BH69)</f>
        <v>9277343.4242020063</v>
      </c>
      <c r="M75" s="213">
        <f ca="1">IF(dynamic="Yes",Calculations!BI206,Calculations2!BI69)</f>
        <v>8180947.8658250589</v>
      </c>
      <c r="N75" s="213">
        <f ca="1">IF(dynamic="Yes",Calculations!BJ206,Calculations2!BJ69)</f>
        <v>7066603.3611469809</v>
      </c>
      <c r="O75" s="213">
        <f ca="1">IF(dynamic="Yes",Calculations!BK206,Calculations2!BK69)</f>
        <v>5934386.1950010285</v>
      </c>
      <c r="P75" s="9"/>
    </row>
    <row r="76" spans="2:16">
      <c r="B76" s="11" t="str">
        <f>comparador5</f>
        <v>Pravastatin</v>
      </c>
      <c r="C76" s="213">
        <f ca="1">IF(dynamic="Yes",Calculations!BO145,Calculations2!BO48)</f>
        <v>1042638.2635894753</v>
      </c>
      <c r="D76" s="213">
        <f ca="1">IF(dynamic="Yes",Calculations!BP145,Calculations2!BP48)</f>
        <v>1051189.9831204498</v>
      </c>
      <c r="E76" s="213">
        <f ca="1">IF(dynamic="Yes",Calculations!BQ145,Calculations2!BQ48)</f>
        <v>1059383.373114164</v>
      </c>
      <c r="F76" s="213">
        <f ca="1">IF(dynamic="Yes",Calculations!BR145,Calculations2!BR48)</f>
        <v>1067596.2328532587</v>
      </c>
      <c r="G76" s="213">
        <f ca="1">IF(dynamic="Yes",Calculations!BS145,Calculations2!BS48)</f>
        <v>1075854.0739806562</v>
      </c>
      <c r="H76" s="206"/>
      <c r="I76" s="206"/>
      <c r="J76" s="11" t="str">
        <f>comparador5</f>
        <v>Pravastatin</v>
      </c>
      <c r="K76" s="213">
        <f ca="1">IF(dynamic="Yes",Calculations!BO206,Calculations2!BO69)</f>
        <v>1042638.2635894753</v>
      </c>
      <c r="L76" s="213">
        <f ca="1">IF(dynamic="Yes",Calculations!BP206,Calculations2!BP69)</f>
        <v>1051189.9831204498</v>
      </c>
      <c r="M76" s="213">
        <f ca="1">IF(dynamic="Yes",Calculations!BQ206,Calculations2!BQ69)</f>
        <v>1059383.373114164</v>
      </c>
      <c r="N76" s="213">
        <f ca="1">IF(dynamic="Yes",Calculations!BR206,Calculations2!BR69)</f>
        <v>1067596.2328532587</v>
      </c>
      <c r="O76" s="213">
        <f ca="1">IF(dynamic="Yes",Calculations!BS206,Calculations2!BS69)</f>
        <v>1075854.0739806562</v>
      </c>
      <c r="P76" s="9"/>
    </row>
    <row r="77" spans="2:16">
      <c r="B77" s="11" t="str">
        <f>comparador6</f>
        <v>Simvastatin 5mg</v>
      </c>
      <c r="C77" s="213">
        <f ca="1">IF(dynamic="Yes",Calculations!BW145,Calculations2!BW48)</f>
        <v>38488.78478449375</v>
      </c>
      <c r="D77" s="213">
        <f ca="1">IF(dynamic="Yes",Calculations!BX145,Calculations2!BX48)</f>
        <v>34492.862058218379</v>
      </c>
      <c r="E77" s="213">
        <f ca="1">IF(dynamic="Yes",Calculations!BY145,Calculations2!BY48)</f>
        <v>30416.498919856684</v>
      </c>
      <c r="F77" s="213">
        <f ca="1">IF(dynamic="Yes",Calculations!BZ145,Calculations2!BZ48)</f>
        <v>26273.402181093799</v>
      </c>
      <c r="G77" s="213">
        <f ca="1">IF(dynamic="Yes",Calculations!CA145,Calculations2!CA48)</f>
        <v>22063.855466466437</v>
      </c>
      <c r="H77" s="206"/>
      <c r="I77" s="206"/>
      <c r="J77" s="11" t="str">
        <f>comparador6</f>
        <v>Simvastatin 5mg</v>
      </c>
      <c r="K77" s="213">
        <f ca="1">IF(dynamic="Yes",Calculations!BW206,Calculations2!BW69)</f>
        <v>38488.78478449375</v>
      </c>
      <c r="L77" s="213">
        <f ca="1">IF(dynamic="Yes",Calculations!BX206,Calculations2!BX69)</f>
        <v>34492.862058218379</v>
      </c>
      <c r="M77" s="213">
        <f ca="1">IF(dynamic="Yes",Calculations!BY206,Calculations2!BY69)</f>
        <v>30416.498919856684</v>
      </c>
      <c r="N77" s="213">
        <f ca="1">IF(dynamic="Yes",Calculations!BZ206,Calculations2!BZ69)</f>
        <v>26273.402181093799</v>
      </c>
      <c r="O77" s="213">
        <f ca="1">IF(dynamic="Yes",Calculations!CA206,Calculations2!CA69)</f>
        <v>22063.855466466437</v>
      </c>
      <c r="P77" s="9"/>
    </row>
    <row r="78" spans="2:16">
      <c r="B78" s="11" t="str">
        <f>comparador7</f>
        <v>Simvastatin 10mg</v>
      </c>
      <c r="C78" s="213">
        <f ca="1">IF(dynamic="Yes",Calculations!CE145,Calculations2!CE48)</f>
        <v>2779199.1467679399</v>
      </c>
      <c r="D78" s="213">
        <f ca="1">IF(dynamic="Yes",Calculations!CF145,Calculations2!CF48)</f>
        <v>2490661.4573190054</v>
      </c>
      <c r="E78" s="213">
        <f ca="1">IF(dynamic="Yes",Calculations!CG145,Calculations2!CG48)</f>
        <v>2196315.3245563176</v>
      </c>
      <c r="F78" s="213">
        <f ca="1">IF(dynamic="Yes",Calculations!CH145,Calculations2!CH48)</f>
        <v>1897150.4902852764</v>
      </c>
      <c r="G78" s="213">
        <f ca="1">IF(dynamic="Yes",Calculations!CI145,Calculations2!CI48)</f>
        <v>1593187.4344736142</v>
      </c>
      <c r="H78" s="206"/>
      <c r="I78" s="206"/>
      <c r="J78" s="11" t="str">
        <f>comparador7</f>
        <v>Simvastatin 10mg</v>
      </c>
      <c r="K78" s="213">
        <f ca="1">IF(dynamic="Yes",Calculations!CE206,Calculations2!CE69)</f>
        <v>2779199.1467679399</v>
      </c>
      <c r="L78" s="213">
        <f ca="1">IF(dynamic="Yes",Calculations!CF206,Calculations2!CF69)</f>
        <v>2490661.4573190054</v>
      </c>
      <c r="M78" s="213">
        <f ca="1">IF(dynamic="Yes",Calculations!CG206,Calculations2!CG69)</f>
        <v>2196315.3245563176</v>
      </c>
      <c r="N78" s="213">
        <f ca="1">IF(dynamic="Yes",Calculations!CH206,Calculations2!CH69)</f>
        <v>1897150.4902852764</v>
      </c>
      <c r="O78" s="213">
        <f ca="1">IF(dynamic="Yes",Calculations!CI206,Calculations2!CI69)</f>
        <v>1593187.4344736142</v>
      </c>
      <c r="P78" s="9"/>
    </row>
    <row r="79" spans="2:16">
      <c r="B79" s="11" t="str">
        <f>comparador8</f>
        <v>Simvastatin 20mg</v>
      </c>
      <c r="C79" s="213">
        <f ca="1">IF(dynamic="Yes",Calculations!CM145,Calculations2!CM48)</f>
        <v>11908604.566659126</v>
      </c>
      <c r="D79" s="213">
        <f ca="1">IF(dynamic="Yes",Calculations!CN145,Calculations2!CN48)</f>
        <v>10672247.952840775</v>
      </c>
      <c r="E79" s="213">
        <f ca="1">IF(dynamic="Yes",Calculations!CO145,Calculations2!CO48)</f>
        <v>9411002.7107095607</v>
      </c>
      <c r="F79" s="213">
        <f ca="1">IF(dynamic="Yes",Calculations!CP145,Calculations2!CP48)</f>
        <v>8129109.7899639942</v>
      </c>
      <c r="G79" s="213">
        <f ca="1">IF(dynamic="Yes",Calculations!CQ145,Calculations2!CQ48)</f>
        <v>6826656.9453220284</v>
      </c>
      <c r="H79" s="206"/>
      <c r="I79" s="206"/>
      <c r="J79" s="11" t="str">
        <f>comparador8</f>
        <v>Simvastatin 20mg</v>
      </c>
      <c r="K79" s="213">
        <f ca="1">IF(dynamic="Yes",Calculations!CM206,Calculations2!CM69)</f>
        <v>11908604.566659126</v>
      </c>
      <c r="L79" s="213">
        <f ca="1">IF(dynamic="Yes",Calculations!CN206,Calculations2!CN69)</f>
        <v>10672247.952840775</v>
      </c>
      <c r="M79" s="213">
        <f ca="1">IF(dynamic="Yes",Calculations!CO206,Calculations2!CO69)</f>
        <v>9411002.7107095607</v>
      </c>
      <c r="N79" s="213">
        <f ca="1">IF(dynamic="Yes",Calculations!CP206,Calculations2!CP69)</f>
        <v>8129109.7899639942</v>
      </c>
      <c r="O79" s="213">
        <f ca="1">IF(dynamic="Yes",Calculations!CQ206,Calculations2!CQ69)</f>
        <v>6826656.9453220284</v>
      </c>
      <c r="P79" s="9"/>
    </row>
    <row r="80" spans="2:16">
      <c r="B80" s="11" t="str">
        <f>comparador9</f>
        <v>Simvastatin 40mg</v>
      </c>
      <c r="C80" s="213">
        <f ca="1">IF(dynamic="Yes",Calculations!CU145,Calculations2!CU48)</f>
        <v>25400559.249601152</v>
      </c>
      <c r="D80" s="213">
        <f ca="1">IF(dynamic="Yes",Calculations!CV145,Calculations2!CV48)</f>
        <v>22759953.382149894</v>
      </c>
      <c r="E80" s="213">
        <f ca="1">IF(dynamic="Yes",Calculations!CW145,Calculations2!CW48)</f>
        <v>20066206.409859195</v>
      </c>
      <c r="F80" s="213">
        <f ca="1">IF(dynamic="Yes",Calculations!CX145,Calculations2!CX48)</f>
        <v>17328363.907455623</v>
      </c>
      <c r="G80" s="213">
        <f ca="1">IF(dynamic="Yes",Calculations!CY145,Calculations2!CY48)</f>
        <v>14546612.516561389</v>
      </c>
      <c r="H80" s="206"/>
      <c r="I80" s="206"/>
      <c r="J80" s="11" t="str">
        <f>comparador9</f>
        <v>Simvastatin 40mg</v>
      </c>
      <c r="K80" s="213">
        <f ca="1">IF(dynamic="Yes",Calculations!CU206,Calculations2!CU69)</f>
        <v>25400559.249601152</v>
      </c>
      <c r="L80" s="213">
        <f ca="1">IF(dynamic="Yes",Calculations!CV206,Calculations2!CV69)</f>
        <v>22759953.382149894</v>
      </c>
      <c r="M80" s="213">
        <f ca="1">IF(dynamic="Yes",Calculations!CW206,Calculations2!CW69)</f>
        <v>20066206.409859195</v>
      </c>
      <c r="N80" s="213">
        <f ca="1">IF(dynamic="Yes",Calculations!CX206,Calculations2!CX69)</f>
        <v>17328363.907455623</v>
      </c>
      <c r="O80" s="213">
        <f ca="1">IF(dynamic="Yes",Calculations!CY206,Calculations2!CY69)</f>
        <v>14546612.516561389</v>
      </c>
      <c r="P80" s="9"/>
    </row>
    <row r="81" spans="2:16">
      <c r="B81" s="11">
        <f>comparador10</f>
        <v>0</v>
      </c>
      <c r="C81" s="213">
        <f ca="1">IF(dynamic="Yes",Calculations!DC145,Calculations2!DC48)</f>
        <v>0</v>
      </c>
      <c r="D81" s="213">
        <f ca="1">IF(dynamic="Yes",Calculations!DD145,Calculations2!DD48)</f>
        <v>0</v>
      </c>
      <c r="E81" s="213">
        <f ca="1">IF(dynamic="Yes",Calculations!DE145,Calculations2!DE48)</f>
        <v>0</v>
      </c>
      <c r="F81" s="213">
        <f ca="1">IF(dynamic="Yes",Calculations!DF145,Calculations2!DF48)</f>
        <v>0</v>
      </c>
      <c r="G81" s="213">
        <f ca="1">IF(dynamic="Yes",Calculations!DG145,Calculations2!DG48)</f>
        <v>0</v>
      </c>
      <c r="H81" s="206"/>
      <c r="I81" s="206"/>
      <c r="J81" s="11">
        <f>comparador10</f>
        <v>0</v>
      </c>
      <c r="K81" s="213">
        <f ca="1">IF(dynamic="Yes",Calculations!DC206,Calculations2!DC69)</f>
        <v>0</v>
      </c>
      <c r="L81" s="213">
        <f ca="1">IF(dynamic="Yes",Calculations!DD206,Calculations2!DD69)</f>
        <v>0</v>
      </c>
      <c r="M81" s="213">
        <f ca="1">IF(dynamic="Yes",Calculations!DE206,Calculations2!DE69)</f>
        <v>0</v>
      </c>
      <c r="N81" s="213">
        <f ca="1">IF(dynamic="Yes",Calculations!DF206,Calculations2!DF69)</f>
        <v>0</v>
      </c>
      <c r="O81" s="213">
        <f ca="1">IF(dynamic="Yes",Calculations!DG206,Calculations2!DG69)</f>
        <v>0</v>
      </c>
      <c r="P81" s="9"/>
    </row>
    <row r="82" spans="2:16">
      <c r="B82" s="115" t="s">
        <v>5</v>
      </c>
      <c r="C82" s="213">
        <f ca="1">SUM(C68:C81)</f>
        <v>156355805.36921442</v>
      </c>
      <c r="D82" s="213">
        <f t="shared" ref="D82" ca="1" si="24">SUM(D68:D81)</f>
        <v>184305376.4669078</v>
      </c>
      <c r="E82" s="213">
        <f t="shared" ref="E82" ca="1" si="25">SUM(E68:E81)</f>
        <v>212616920.31711382</v>
      </c>
      <c r="F82" s="213">
        <f t="shared" ref="F82" ca="1" si="26">SUM(F68:F81)</f>
        <v>241348574.09835076</v>
      </c>
      <c r="G82" s="213">
        <f ca="1">SUM(G68:G81)</f>
        <v>270508234.10731053</v>
      </c>
      <c r="H82" s="206"/>
      <c r="I82" s="206"/>
      <c r="J82" s="216" t="s">
        <v>5</v>
      </c>
      <c r="K82" s="213">
        <f ca="1">SUM(K68:K81)</f>
        <v>156355805.36921442</v>
      </c>
      <c r="L82" s="213">
        <f t="shared" ref="L82" ca="1" si="27">SUM(L68:L81)</f>
        <v>184305376.4669078</v>
      </c>
      <c r="M82" s="213">
        <f t="shared" ref="M82" ca="1" si="28">SUM(M68:M81)</f>
        <v>212616920.31711382</v>
      </c>
      <c r="N82" s="213">
        <f t="shared" ref="N82" ca="1" si="29">SUM(N68:N81)</f>
        <v>241348574.09835076</v>
      </c>
      <c r="O82" s="213">
        <f t="shared" ref="O82" ca="1" si="30">SUM(O68:O81)</f>
        <v>270508234.10731053</v>
      </c>
      <c r="P82" s="9"/>
    </row>
    <row r="85" spans="2:16" s="1" customFormat="1">
      <c r="B85" s="7"/>
      <c r="C85" s="7"/>
      <c r="D85" s="7"/>
      <c r="E85" s="7"/>
      <c r="F85" s="7"/>
      <c r="G85" s="7"/>
      <c r="H85" s="7"/>
      <c r="I85" s="7"/>
      <c r="J85" s="7"/>
      <c r="K85" s="7"/>
      <c r="L85" s="142"/>
      <c r="M85" s="142"/>
    </row>
    <row r="86" spans="2:16" s="1" customFormat="1">
      <c r="B86" s="65"/>
      <c r="C86" s="65"/>
      <c r="D86" s="65"/>
      <c r="E86" s="65"/>
      <c r="F86" s="65"/>
      <c r="G86" s="65"/>
      <c r="H86" s="65"/>
      <c r="I86" s="65"/>
      <c r="J86" s="65"/>
      <c r="K86" s="65"/>
      <c r="L86" s="65"/>
      <c r="M86" s="65"/>
    </row>
    <row r="87" spans="2:16" s="1" customFormat="1">
      <c r="B87" s="406" t="s">
        <v>77</v>
      </c>
      <c r="C87" s="406"/>
      <c r="D87" s="406"/>
      <c r="E87" s="406"/>
      <c r="F87" s="406"/>
      <c r="G87" s="406"/>
      <c r="H87" s="406"/>
      <c r="I87" s="406"/>
      <c r="J87" s="406"/>
      <c r="K87" s="406"/>
      <c r="L87" s="406"/>
      <c r="M87" s="406"/>
    </row>
    <row r="88" spans="2:16" s="1" customFormat="1">
      <c r="B88" s="406"/>
      <c r="C88" s="406"/>
      <c r="D88" s="406"/>
      <c r="E88" s="406"/>
      <c r="F88" s="406"/>
      <c r="G88" s="406"/>
      <c r="H88" s="406"/>
      <c r="I88" s="406"/>
      <c r="J88" s="406"/>
      <c r="K88" s="406"/>
      <c r="L88" s="406"/>
      <c r="M88" s="406"/>
    </row>
    <row r="89" spans="2:16" s="1" customFormat="1" ht="85.95" customHeight="1">
      <c r="B89" s="405" t="e" vm="1">
        <v>#VALUE!</v>
      </c>
      <c r="C89" s="405"/>
      <c r="D89" s="405"/>
      <c r="E89" s="405"/>
      <c r="F89" s="405"/>
      <c r="G89" s="405"/>
      <c r="H89" s="405"/>
      <c r="I89" s="405"/>
      <c r="J89" s="405"/>
      <c r="K89" s="405"/>
      <c r="L89" s="405"/>
      <c r="M89" s="405"/>
    </row>
  </sheetData>
  <sheetProtection algorithmName="SHA-512" hashValue="sj1U0rvkVhwEULOI10vKrthkBmLwuhrJez0gP7iCtqfHxKGQvC3Cw2iY9ntiA+wlZZ2MrS9+DXIxm2iBmra8HQ==" saltValue="HLEI2nTDZdxlyzD7D0qr2Q==" spinCount="100000" sheet="1" formatCells="0" formatColumns="0" formatRows="0"/>
  <mergeCells count="10">
    <mergeCell ref="B87:M88"/>
    <mergeCell ref="B89:M89"/>
    <mergeCell ref="B65:H65"/>
    <mergeCell ref="B8:H8"/>
    <mergeCell ref="B27:H27"/>
    <mergeCell ref="B46:H46"/>
    <mergeCell ref="J8:P8"/>
    <mergeCell ref="J27:P27"/>
    <mergeCell ref="J46:P46"/>
    <mergeCell ref="J65:P65"/>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2EA8A-69E8-4847-AE55-1F561537953D}">
  <sheetPr codeName="Planilha9">
    <tabColor rgb="FF0EB1BA"/>
  </sheetPr>
  <dimension ref="B1:X73"/>
  <sheetViews>
    <sheetView showGridLines="0" zoomScaleNormal="100" workbookViewId="0">
      <selection activeCell="P1" sqref="P1"/>
    </sheetView>
  </sheetViews>
  <sheetFormatPr defaultColWidth="8.77734375" defaultRowHeight="14.4"/>
  <cols>
    <col min="1" max="1" width="5" style="142" customWidth="1"/>
    <col min="2" max="2" width="4.109375" style="142" customWidth="1"/>
    <col min="3" max="3" width="30.6640625" style="142" customWidth="1"/>
    <col min="4" max="4" width="15.6640625" style="142" customWidth="1"/>
    <col min="5" max="5" width="12.77734375" style="142" customWidth="1"/>
    <col min="6" max="6" width="14" style="142" customWidth="1"/>
    <col min="7" max="7" width="13.33203125" style="142" customWidth="1"/>
    <col min="8" max="8" width="10.44140625" style="142" customWidth="1"/>
    <col min="9" max="9" width="12.33203125" style="142" customWidth="1"/>
    <col min="10" max="10" width="12.6640625" style="142" customWidth="1"/>
    <col min="11" max="11" width="10.77734375" style="142" customWidth="1"/>
    <col min="12" max="12" width="12" style="142" customWidth="1"/>
    <col min="13" max="13" width="10.6640625" style="142" customWidth="1"/>
    <col min="14" max="14" width="8.77734375" style="142" customWidth="1"/>
    <col min="15" max="15" width="55.44140625" style="142" customWidth="1"/>
    <col min="16" max="16" width="17.44140625" style="142" customWidth="1"/>
    <col min="17" max="17" width="14" style="142" customWidth="1"/>
    <col min="18" max="18" width="5.33203125" style="142" customWidth="1"/>
    <col min="19" max="19" width="3.6640625" style="142" customWidth="1"/>
    <col min="20" max="20" width="18.77734375" style="142" customWidth="1"/>
    <col min="21" max="21" width="15.33203125" style="187" customWidth="1"/>
    <col min="22" max="23" width="8.77734375" style="187" customWidth="1"/>
    <col min="24" max="38" width="8.77734375" style="142" customWidth="1"/>
    <col min="39" max="16384" width="8.77734375" style="142"/>
  </cols>
  <sheetData>
    <row r="1" spans="2:24" s="130" customFormat="1" ht="33.6">
      <c r="B1" s="128" t="str">
        <f>Introduction!$B$1</f>
        <v>Budget impact analysis of treatments for Patients at high and very high cardiovascular risk</v>
      </c>
      <c r="C1" s="128"/>
      <c r="D1" s="128"/>
      <c r="E1" s="129"/>
      <c r="F1" s="127"/>
      <c r="G1" s="127"/>
      <c r="H1" s="127"/>
      <c r="I1" s="127"/>
      <c r="J1" s="127"/>
      <c r="K1" s="127"/>
      <c r="L1" s="127"/>
      <c r="M1" s="127"/>
      <c r="N1" s="127"/>
      <c r="O1" s="127"/>
      <c r="P1" s="401">
        <v>0</v>
      </c>
      <c r="Q1" s="127"/>
      <c r="R1" s="127"/>
      <c r="U1" s="217"/>
      <c r="V1" s="217"/>
      <c r="W1" s="217"/>
    </row>
    <row r="2" spans="2:24" s="130" customFormat="1" ht="18">
      <c r="B2" s="131"/>
      <c r="C2" s="131"/>
      <c r="D2" s="131"/>
      <c r="E2" s="132"/>
      <c r="F2" s="133"/>
      <c r="G2" s="133"/>
      <c r="H2" s="133"/>
      <c r="I2" s="133"/>
      <c r="J2" s="133"/>
      <c r="K2" s="133"/>
      <c r="L2" s="133"/>
      <c r="M2" s="133"/>
      <c r="N2" s="127"/>
      <c r="O2" s="127"/>
      <c r="P2" s="127"/>
      <c r="Q2" s="127"/>
      <c r="R2" s="127"/>
      <c r="U2" s="217"/>
      <c r="V2" s="217"/>
      <c r="W2" s="217"/>
    </row>
    <row r="3" spans="2:24" s="207" customFormat="1" ht="2.25" customHeight="1">
      <c r="E3" s="208"/>
      <c r="U3" s="402"/>
      <c r="V3" s="402"/>
      <c r="W3" s="402"/>
    </row>
    <row r="4" spans="2:24" ht="15.6">
      <c r="B4" s="136"/>
      <c r="C4" s="78" t="s">
        <v>119</v>
      </c>
      <c r="D4" s="78" t="s">
        <v>209</v>
      </c>
      <c r="E4" s="78" t="s">
        <v>120</v>
      </c>
      <c r="F4" s="78" t="s">
        <v>121</v>
      </c>
      <c r="G4" s="78" t="s">
        <v>122</v>
      </c>
      <c r="H4" s="78" t="s">
        <v>123</v>
      </c>
      <c r="I4" s="78" t="s">
        <v>124</v>
      </c>
      <c r="J4" s="78" t="s">
        <v>11</v>
      </c>
      <c r="K4" s="78" t="s">
        <v>12</v>
      </c>
      <c r="L4" s="78" t="s">
        <v>125</v>
      </c>
      <c r="M4" s="78" t="s">
        <v>126</v>
      </c>
      <c r="N4" s="78" t="s">
        <v>13</v>
      </c>
      <c r="O4" s="78" t="s">
        <v>97</v>
      </c>
      <c r="P4" s="363" t="s">
        <v>127</v>
      </c>
      <c r="Q4" s="364" t="s">
        <v>14</v>
      </c>
      <c r="R4" s="136"/>
    </row>
    <row r="5" spans="2:24">
      <c r="B5" s="136"/>
      <c r="C5" s="264"/>
      <c r="D5" s="394"/>
      <c r="E5" s="395">
        <f>IF(AND($P$1=0,P5="point estimate"), F5, IF(AND($P$1=0, P5="lower limit"),V5, IF(AND($P$1=0, P5="upper limit"),W5,IF(AND($P$1=1,F5&gt;0),G5,0))))</f>
        <v>0</v>
      </c>
      <c r="F5" s="396"/>
      <c r="G5" s="397" t="e">
        <f ca="1">IF(L5="Beta",_xlfn.BETA.INV(RAND(),M5,N5),IF(L5="Gamma",_xlfn.GAMMA.INV(RAND(),M5,N5),_xlfn.NORM.INV(RAND(),F5,I5)))</f>
        <v>#DIV/0!</v>
      </c>
      <c r="H5" s="209">
        <v>0.2</v>
      </c>
      <c r="I5" s="265">
        <f>IF(H5&gt;0,(W5-V5)/3.92,(K5-J5)/3.92)</f>
        <v>0</v>
      </c>
      <c r="J5" s="391"/>
      <c r="K5" s="391"/>
      <c r="L5" s="384" t="s">
        <v>13</v>
      </c>
      <c r="M5" s="395" t="e">
        <f>IF(L5="Beta",F5*(F5*(1-F5)/I5^2-1),IF(L5="Gamma",F5^2/I5^2,0))</f>
        <v>#DIV/0!</v>
      </c>
      <c r="N5" s="395" t="e">
        <f>IF(L5="Beta",(M5/F5)-M5,IF(L5="Gamma",I5^2/F5,0))</f>
        <v>#DIV/0!</v>
      </c>
      <c r="O5" s="210"/>
      <c r="P5" s="266" t="s">
        <v>341</v>
      </c>
      <c r="Q5" s="266" t="s">
        <v>342</v>
      </c>
      <c r="R5" s="136"/>
      <c r="V5" s="403">
        <f>IF(H5&gt;0,F5*(1-H5),J5)</f>
        <v>0</v>
      </c>
      <c r="W5" s="403">
        <f>IF(H5&gt;0,F5*(1+H5),K5)</f>
        <v>0</v>
      </c>
      <c r="X5" s="139"/>
    </row>
    <row r="6" spans="2:24">
      <c r="B6" s="136"/>
      <c r="C6" s="267" t="str">
        <f>Population!C81</f>
        <v>adults at high cardiovascular risk</v>
      </c>
      <c r="D6" s="393"/>
      <c r="E6" s="395">
        <f>IF(AND($P$1=0,P6="point estimate"), F6, IF(AND($P$1=0, P6="lower limit"),V6, IF(AND($P$1=0, P6="upper limit"),W6,IF(AND($P$1=1,F6&gt;0),G6,0))))</f>
        <v>0.10783999999999999</v>
      </c>
      <c r="F6" s="398">
        <f>Population!D81</f>
        <v>0.10783999999999999</v>
      </c>
      <c r="G6" s="397">
        <f t="shared" ref="G6:G58" ca="1" si="0">IF(L6="Beta",_xlfn.BETA.INV(RAND(),M6,N6),IF(L6="Gamma",_xlfn.GAMMA.INV(RAND(),M6,N6),_xlfn.NORM.INV(RAND(),F6,I6)))</f>
        <v>0.10561267708958255</v>
      </c>
      <c r="H6" s="209"/>
      <c r="I6" s="265">
        <f t="shared" ref="I6:I58" si="1">IF(H6&gt;0,(W6-V6)/3.92,(K6-J6)/3.92)</f>
        <v>7.4897959183673462E-3</v>
      </c>
      <c r="J6" s="391">
        <f>(0.52*0.092)+(0.48*0.096)</f>
        <v>9.3920000000000003E-2</v>
      </c>
      <c r="K6" s="391">
        <f>(0.52*0.118)+(0.48*0.129)</f>
        <v>0.12328</v>
      </c>
      <c r="L6" s="384" t="s">
        <v>13</v>
      </c>
      <c r="M6" s="395">
        <f t="shared" ref="M6:M58" si="2">IF(L6="Beta",F6*(F6*(1-F6)/I6^2-1),IF(L6="Gamma",F6^2/I6^2,0))</f>
        <v>184.84565297492816</v>
      </c>
      <c r="N6" s="395">
        <f t="shared" ref="N6:N58" si="3">IF(L6="Beta",(M6/F6)-M6,IF(L6="Gamma",I6^2/F6,0))</f>
        <v>1529.2275385581593</v>
      </c>
      <c r="O6" s="210"/>
      <c r="P6" s="266" t="s">
        <v>341</v>
      </c>
      <c r="Q6" s="266" t="s">
        <v>342</v>
      </c>
      <c r="R6" s="136"/>
      <c r="V6" s="403">
        <f t="shared" ref="V6:V58" si="4">IF(H6&gt;0,F6*(1-H6),J6)</f>
        <v>9.3920000000000003E-2</v>
      </c>
      <c r="W6" s="403">
        <f t="shared" ref="W6:W58" si="5">IF(H6&gt;0,F6*(1+H6),K6)</f>
        <v>0.12328</v>
      </c>
      <c r="X6" s="139"/>
    </row>
    <row r="7" spans="2:24">
      <c r="B7" s="136"/>
      <c r="C7" s="267" t="str">
        <f>Population!C82</f>
        <v>proportion of adults treated</v>
      </c>
      <c r="D7" s="393"/>
      <c r="E7" s="395">
        <f>IF(AND($P$1=0,P7="point estimate"), F7, IF(AND($P$1=0, P7="lower limit"),V7, IF(AND($P$1=0, P7="upper limit"),W7,IF(AND($P$1=1,F7&gt;0),G7,0))))</f>
        <v>0.59304000000000001</v>
      </c>
      <c r="F7" s="398">
        <f>Population!D82</f>
        <v>0.59304000000000001</v>
      </c>
      <c r="G7" s="397">
        <f t="shared" ca="1" si="0"/>
        <v>0.56393101736841522</v>
      </c>
      <c r="H7" s="209"/>
      <c r="I7" s="265">
        <f t="shared" si="1"/>
        <v>3.6214285714285706E-2</v>
      </c>
      <c r="J7" s="391">
        <f>(0.52*0.563)+(0.48*0.474)</f>
        <v>0.52027999999999996</v>
      </c>
      <c r="K7" s="391">
        <f>(0.52*0.692)+(0.48*0.63)</f>
        <v>0.66223999999999994</v>
      </c>
      <c r="L7" s="384" t="s">
        <v>13</v>
      </c>
      <c r="M7" s="395">
        <f t="shared" si="2"/>
        <v>108.54090426437399</v>
      </c>
      <c r="N7" s="395">
        <f t="shared" si="3"/>
        <v>74.483688114511054</v>
      </c>
      <c r="O7" s="210"/>
      <c r="P7" s="266" t="s">
        <v>341</v>
      </c>
      <c r="Q7" s="266" t="s">
        <v>342</v>
      </c>
      <c r="R7" s="187"/>
      <c r="V7" s="403">
        <f t="shared" si="4"/>
        <v>0.52027999999999996</v>
      </c>
      <c r="W7" s="403">
        <f t="shared" si="5"/>
        <v>0.66223999999999994</v>
      </c>
      <c r="X7" s="139"/>
    </row>
    <row r="8" spans="2:24">
      <c r="B8" s="136"/>
      <c r="C8" s="267">
        <f>Population!C83</f>
        <v>0</v>
      </c>
      <c r="D8" s="393"/>
      <c r="E8" s="395">
        <f t="shared" ref="E8:E58" si="6">IF(AND($P$1=0,P8="point estimate"), F8, IF(AND($P$1=0, P8="lower limit"),V8, IF(AND($P$1=0, P8="upper limit"),W8,IF(AND($P$1=1,F8&gt;0),G8,0))))</f>
        <v>0</v>
      </c>
      <c r="F8" s="398">
        <f>Population!D83</f>
        <v>0</v>
      </c>
      <c r="G8" s="397" t="e">
        <f t="shared" ca="1" si="0"/>
        <v>#DIV/0!</v>
      </c>
      <c r="H8" s="209">
        <v>0.2</v>
      </c>
      <c r="I8" s="265">
        <f t="shared" si="1"/>
        <v>0</v>
      </c>
      <c r="J8" s="391"/>
      <c r="K8" s="391"/>
      <c r="L8" s="384" t="s">
        <v>13</v>
      </c>
      <c r="M8" s="395" t="e">
        <f>IF(L8="Beta",F8*(F8*(1-F8)/I8^2-1),IF(L8="Gamma",F8^2/I8^2,0))</f>
        <v>#DIV/0!</v>
      </c>
      <c r="N8" s="395" t="e">
        <f t="shared" si="3"/>
        <v>#DIV/0!</v>
      </c>
      <c r="O8" s="210"/>
      <c r="P8" s="266" t="s">
        <v>341</v>
      </c>
      <c r="Q8" s="266" t="s">
        <v>342</v>
      </c>
      <c r="R8" s="136"/>
      <c r="V8" s="403">
        <f t="shared" si="4"/>
        <v>0</v>
      </c>
      <c r="W8" s="403">
        <f t="shared" si="5"/>
        <v>0</v>
      </c>
      <c r="X8" s="139"/>
    </row>
    <row r="9" spans="2:24">
      <c r="B9" s="136"/>
      <c r="C9" s="267">
        <f>Population!C84</f>
        <v>0</v>
      </c>
      <c r="D9" s="393"/>
      <c r="E9" s="395">
        <f t="shared" si="6"/>
        <v>0</v>
      </c>
      <c r="F9" s="398">
        <f>Population!D84</f>
        <v>0</v>
      </c>
      <c r="G9" s="397" t="e">
        <f t="shared" ca="1" si="0"/>
        <v>#DIV/0!</v>
      </c>
      <c r="H9" s="209">
        <v>0.2</v>
      </c>
      <c r="I9" s="265">
        <f t="shared" si="1"/>
        <v>0</v>
      </c>
      <c r="J9" s="391"/>
      <c r="K9" s="391"/>
      <c r="L9" s="384" t="s">
        <v>13</v>
      </c>
      <c r="M9" s="395" t="e">
        <f t="shared" si="2"/>
        <v>#DIV/0!</v>
      </c>
      <c r="N9" s="395" t="e">
        <f t="shared" si="3"/>
        <v>#DIV/0!</v>
      </c>
      <c r="O9" s="210"/>
      <c r="P9" s="266" t="s">
        <v>341</v>
      </c>
      <c r="Q9" s="266" t="s">
        <v>342</v>
      </c>
      <c r="R9" s="136"/>
      <c r="V9" s="403">
        <f t="shared" si="4"/>
        <v>0</v>
      </c>
      <c r="W9" s="403">
        <f t="shared" si="5"/>
        <v>0</v>
      </c>
      <c r="X9" s="139"/>
    </row>
    <row r="10" spans="2:24">
      <c r="B10" s="136"/>
      <c r="C10" s="267">
        <f>Population!C85</f>
        <v>0</v>
      </c>
      <c r="D10" s="393"/>
      <c r="E10" s="395">
        <f t="shared" si="6"/>
        <v>0</v>
      </c>
      <c r="F10" s="398">
        <f>Population!D85</f>
        <v>0</v>
      </c>
      <c r="G10" s="397" t="e">
        <f t="shared" ca="1" si="0"/>
        <v>#DIV/0!</v>
      </c>
      <c r="H10" s="209">
        <v>0.2</v>
      </c>
      <c r="I10" s="265">
        <f t="shared" si="1"/>
        <v>0</v>
      </c>
      <c r="J10" s="391"/>
      <c r="K10" s="391"/>
      <c r="L10" s="384" t="s">
        <v>13</v>
      </c>
      <c r="M10" s="395" t="e">
        <f t="shared" si="2"/>
        <v>#DIV/0!</v>
      </c>
      <c r="N10" s="395" t="e">
        <f t="shared" si="3"/>
        <v>#DIV/0!</v>
      </c>
      <c r="O10" s="210"/>
      <c r="P10" s="266" t="s">
        <v>341</v>
      </c>
      <c r="Q10" s="266" t="s">
        <v>342</v>
      </c>
      <c r="R10" s="136"/>
      <c r="V10" s="403">
        <f t="shared" si="4"/>
        <v>0</v>
      </c>
      <c r="W10" s="403">
        <f t="shared" si="5"/>
        <v>0</v>
      </c>
      <c r="X10" s="139"/>
    </row>
    <row r="11" spans="2:24">
      <c r="B11" s="136"/>
      <c r="C11" s="267">
        <f>Population!C86</f>
        <v>0</v>
      </c>
      <c r="D11" s="393"/>
      <c r="E11" s="395">
        <f t="shared" si="6"/>
        <v>0</v>
      </c>
      <c r="F11" s="398">
        <f>Population!D86</f>
        <v>0</v>
      </c>
      <c r="G11" s="397" t="e">
        <f t="shared" ca="1" si="0"/>
        <v>#DIV/0!</v>
      </c>
      <c r="H11" s="209">
        <v>0.2</v>
      </c>
      <c r="I11" s="265">
        <f t="shared" si="1"/>
        <v>0</v>
      </c>
      <c r="J11" s="391"/>
      <c r="K11" s="391"/>
      <c r="L11" s="384" t="s">
        <v>13</v>
      </c>
      <c r="M11" s="395" t="e">
        <f t="shared" si="2"/>
        <v>#DIV/0!</v>
      </c>
      <c r="N11" s="395" t="e">
        <f t="shared" si="3"/>
        <v>#DIV/0!</v>
      </c>
      <c r="O11" s="210"/>
      <c r="P11" s="266" t="s">
        <v>341</v>
      </c>
      <c r="Q11" s="266" t="s">
        <v>342</v>
      </c>
      <c r="R11" s="136"/>
      <c r="V11" s="403">
        <f t="shared" si="4"/>
        <v>0</v>
      </c>
      <c r="W11" s="403">
        <f t="shared" si="5"/>
        <v>0</v>
      </c>
      <c r="X11" s="139"/>
    </row>
    <row r="12" spans="2:24">
      <c r="B12" s="136"/>
      <c r="C12" s="267">
        <f>Population!C87</f>
        <v>0</v>
      </c>
      <c r="D12" s="393"/>
      <c r="E12" s="395">
        <f t="shared" si="6"/>
        <v>0</v>
      </c>
      <c r="F12" s="398">
        <f>Population!D87</f>
        <v>0</v>
      </c>
      <c r="G12" s="397" t="e">
        <f t="shared" ca="1" si="0"/>
        <v>#DIV/0!</v>
      </c>
      <c r="H12" s="209">
        <v>0.2</v>
      </c>
      <c r="I12" s="265">
        <f t="shared" si="1"/>
        <v>0</v>
      </c>
      <c r="J12" s="391"/>
      <c r="K12" s="391"/>
      <c r="L12" s="384" t="s">
        <v>13</v>
      </c>
      <c r="M12" s="395" t="e">
        <f t="shared" si="2"/>
        <v>#DIV/0!</v>
      </c>
      <c r="N12" s="395" t="e">
        <f t="shared" si="3"/>
        <v>#DIV/0!</v>
      </c>
      <c r="O12" s="210"/>
      <c r="P12" s="266" t="s">
        <v>341</v>
      </c>
      <c r="Q12" s="266" t="s">
        <v>342</v>
      </c>
      <c r="R12" s="136"/>
      <c r="V12" s="403">
        <f t="shared" si="4"/>
        <v>0</v>
      </c>
      <c r="W12" s="403">
        <f t="shared" si="5"/>
        <v>0</v>
      </c>
      <c r="X12" s="139"/>
    </row>
    <row r="13" spans="2:24">
      <c r="B13" s="136"/>
      <c r="C13" s="267">
        <f>Population!C88</f>
        <v>0</v>
      </c>
      <c r="D13" s="393"/>
      <c r="E13" s="395">
        <f t="shared" si="6"/>
        <v>0</v>
      </c>
      <c r="F13" s="398">
        <f>Population!D88</f>
        <v>0</v>
      </c>
      <c r="G13" s="397" t="e">
        <f t="shared" ca="1" si="0"/>
        <v>#DIV/0!</v>
      </c>
      <c r="H13" s="209">
        <v>0.2</v>
      </c>
      <c r="I13" s="265">
        <f t="shared" si="1"/>
        <v>0</v>
      </c>
      <c r="J13" s="391"/>
      <c r="K13" s="391"/>
      <c r="L13" s="384" t="s">
        <v>13</v>
      </c>
      <c r="M13" s="395" t="e">
        <f t="shared" si="2"/>
        <v>#DIV/0!</v>
      </c>
      <c r="N13" s="395" t="e">
        <f t="shared" si="3"/>
        <v>#DIV/0!</v>
      </c>
      <c r="O13" s="210"/>
      <c r="P13" s="266" t="s">
        <v>341</v>
      </c>
      <c r="Q13" s="266" t="s">
        <v>342</v>
      </c>
      <c r="R13" s="136"/>
      <c r="V13" s="403">
        <f t="shared" si="4"/>
        <v>0</v>
      </c>
      <c r="W13" s="403">
        <f t="shared" si="5"/>
        <v>0</v>
      </c>
      <c r="X13" s="139"/>
    </row>
    <row r="14" spans="2:24">
      <c r="B14" s="136"/>
      <c r="C14" s="264" t="str">
        <f>"Initial costs "&amp;intervencao1</f>
        <v>Initial costs Rosuvastatin 5mg</v>
      </c>
      <c r="D14" s="393" t="s">
        <v>15</v>
      </c>
      <c r="E14" s="395">
        <f t="shared" ca="1" si="6"/>
        <v>0</v>
      </c>
      <c r="F14" s="399">
        <f ca="1">Costs!D32</f>
        <v>0</v>
      </c>
      <c r="G14" s="397" t="e">
        <f t="shared" ca="1" si="0"/>
        <v>#DIV/0!</v>
      </c>
      <c r="H14" s="209">
        <v>0.2</v>
      </c>
      <c r="I14" s="265">
        <f t="shared" ca="1" si="1"/>
        <v>0</v>
      </c>
      <c r="J14" s="392"/>
      <c r="K14" s="392"/>
      <c r="L14" s="384" t="s">
        <v>332</v>
      </c>
      <c r="M14" s="395" t="e">
        <f t="shared" ca="1" si="2"/>
        <v>#DIV/0!</v>
      </c>
      <c r="N14" s="395" t="e">
        <f t="shared" ca="1" si="3"/>
        <v>#DIV/0!</v>
      </c>
      <c r="O14" s="211"/>
      <c r="P14" s="266" t="s">
        <v>341</v>
      </c>
      <c r="Q14" s="266" t="s">
        <v>342</v>
      </c>
      <c r="R14" s="136"/>
      <c r="V14" s="403">
        <f t="shared" ca="1" si="4"/>
        <v>0</v>
      </c>
      <c r="W14" s="403">
        <f t="shared" ca="1" si="5"/>
        <v>0</v>
      </c>
      <c r="X14" s="139"/>
    </row>
    <row r="15" spans="2:24">
      <c r="B15" s="136"/>
      <c r="C15" s="264" t="str">
        <f>"Initial costs "&amp;intervencao2</f>
        <v>Initial costs Rosuvastatin 10mg</v>
      </c>
      <c r="D15" s="393" t="s">
        <v>16</v>
      </c>
      <c r="E15" s="395">
        <f t="shared" ca="1" si="6"/>
        <v>0</v>
      </c>
      <c r="F15" s="399">
        <f ca="1">Costs!D33</f>
        <v>0</v>
      </c>
      <c r="G15" s="397" t="e">
        <f t="shared" ca="1" si="0"/>
        <v>#DIV/0!</v>
      </c>
      <c r="H15" s="209">
        <v>0.2</v>
      </c>
      <c r="I15" s="265">
        <f t="shared" ca="1" si="1"/>
        <v>0</v>
      </c>
      <c r="J15" s="392"/>
      <c r="K15" s="392"/>
      <c r="L15" s="384" t="s">
        <v>332</v>
      </c>
      <c r="M15" s="395" t="e">
        <f t="shared" ca="1" si="2"/>
        <v>#DIV/0!</v>
      </c>
      <c r="N15" s="395" t="e">
        <f t="shared" ca="1" si="3"/>
        <v>#DIV/0!</v>
      </c>
      <c r="O15" s="211"/>
      <c r="P15" s="266" t="s">
        <v>341</v>
      </c>
      <c r="Q15" s="266" t="s">
        <v>342</v>
      </c>
      <c r="R15" s="136"/>
      <c r="V15" s="403">
        <f t="shared" ca="1" si="4"/>
        <v>0</v>
      </c>
      <c r="W15" s="403">
        <f t="shared" ca="1" si="5"/>
        <v>0</v>
      </c>
      <c r="X15" s="139"/>
    </row>
    <row r="16" spans="2:24">
      <c r="B16" s="136"/>
      <c r="C16" s="264" t="str">
        <f>"Initial costs "&amp;intervencao3</f>
        <v>Initial costs Rosuvastatin 20mg</v>
      </c>
      <c r="D16" s="393" t="s">
        <v>17</v>
      </c>
      <c r="E16" s="395">
        <f t="shared" ca="1" si="6"/>
        <v>0</v>
      </c>
      <c r="F16" s="399">
        <f ca="1">Costs!D34</f>
        <v>0</v>
      </c>
      <c r="G16" s="397" t="e">
        <f t="shared" ca="1" si="0"/>
        <v>#DIV/0!</v>
      </c>
      <c r="H16" s="209">
        <v>0.2</v>
      </c>
      <c r="I16" s="265">
        <f t="shared" ca="1" si="1"/>
        <v>0</v>
      </c>
      <c r="J16" s="392"/>
      <c r="K16" s="392"/>
      <c r="L16" s="384" t="s">
        <v>332</v>
      </c>
      <c r="M16" s="395" t="e">
        <f t="shared" ca="1" si="2"/>
        <v>#DIV/0!</v>
      </c>
      <c r="N16" s="395" t="e">
        <f t="shared" ca="1" si="3"/>
        <v>#DIV/0!</v>
      </c>
      <c r="O16" s="211"/>
      <c r="P16" s="266" t="s">
        <v>341</v>
      </c>
      <c r="Q16" s="266" t="s">
        <v>342</v>
      </c>
      <c r="R16" s="136"/>
      <c r="V16" s="403">
        <f t="shared" ca="1" si="4"/>
        <v>0</v>
      </c>
      <c r="W16" s="403">
        <f t="shared" ca="1" si="5"/>
        <v>0</v>
      </c>
      <c r="X16" s="139"/>
    </row>
    <row r="17" spans="2:24">
      <c r="B17" s="136"/>
      <c r="C17" s="264" t="str">
        <f>"Initial costs "&amp;intervencao4</f>
        <v>Initial costs Rosuvastatin 40mg</v>
      </c>
      <c r="D17" s="393" t="s">
        <v>18</v>
      </c>
      <c r="E17" s="395">
        <f t="shared" ca="1" si="6"/>
        <v>0</v>
      </c>
      <c r="F17" s="399">
        <f ca="1">Costs!D35</f>
        <v>0</v>
      </c>
      <c r="G17" s="397" t="e">
        <f t="shared" ca="1" si="0"/>
        <v>#DIV/0!</v>
      </c>
      <c r="H17" s="209">
        <v>0.2</v>
      </c>
      <c r="I17" s="265">
        <f t="shared" ca="1" si="1"/>
        <v>0</v>
      </c>
      <c r="J17" s="392"/>
      <c r="K17" s="392"/>
      <c r="L17" s="384" t="s">
        <v>332</v>
      </c>
      <c r="M17" s="395" t="e">
        <f t="shared" ca="1" si="2"/>
        <v>#DIV/0!</v>
      </c>
      <c r="N17" s="395" t="e">
        <f t="shared" ca="1" si="3"/>
        <v>#DIV/0!</v>
      </c>
      <c r="O17" s="211"/>
      <c r="P17" s="266" t="s">
        <v>341</v>
      </c>
      <c r="Q17" s="266" t="s">
        <v>342</v>
      </c>
      <c r="R17" s="136"/>
      <c r="V17" s="403">
        <f t="shared" ca="1" si="4"/>
        <v>0</v>
      </c>
      <c r="W17" s="403">
        <f t="shared" ca="1" si="5"/>
        <v>0</v>
      </c>
      <c r="X17" s="139"/>
    </row>
    <row r="18" spans="2:24">
      <c r="B18" s="136"/>
      <c r="C18" s="264" t="str">
        <f>"Initial costs "&amp;comparador1</f>
        <v>Initial costs Atorvastatin 10mg</v>
      </c>
      <c r="D18" s="393" t="s">
        <v>19</v>
      </c>
      <c r="E18" s="395">
        <f t="shared" ca="1" si="6"/>
        <v>0</v>
      </c>
      <c r="F18" s="399">
        <f ca="1">Costs!D36</f>
        <v>0</v>
      </c>
      <c r="G18" s="397" t="e">
        <f t="shared" ca="1" si="0"/>
        <v>#DIV/0!</v>
      </c>
      <c r="H18" s="209">
        <v>0.2</v>
      </c>
      <c r="I18" s="265">
        <f t="shared" ca="1" si="1"/>
        <v>0</v>
      </c>
      <c r="J18" s="392"/>
      <c r="K18" s="392"/>
      <c r="L18" s="384" t="s">
        <v>332</v>
      </c>
      <c r="M18" s="395" t="e">
        <f t="shared" ca="1" si="2"/>
        <v>#DIV/0!</v>
      </c>
      <c r="N18" s="395" t="e">
        <f t="shared" ca="1" si="3"/>
        <v>#DIV/0!</v>
      </c>
      <c r="O18" s="211"/>
      <c r="P18" s="266" t="s">
        <v>341</v>
      </c>
      <c r="Q18" s="266" t="s">
        <v>342</v>
      </c>
      <c r="R18" s="136"/>
      <c r="V18" s="403">
        <f t="shared" ca="1" si="4"/>
        <v>0</v>
      </c>
      <c r="W18" s="403">
        <f t="shared" ca="1" si="5"/>
        <v>0</v>
      </c>
      <c r="X18" s="139"/>
    </row>
    <row r="19" spans="2:24">
      <c r="B19" s="136"/>
      <c r="C19" s="264" t="str">
        <f>"Initial costs "&amp;comparador2</f>
        <v>Initial costs Atorvastatin 20mg</v>
      </c>
      <c r="D19" s="393" t="s">
        <v>20</v>
      </c>
      <c r="E19" s="395">
        <f t="shared" ca="1" si="6"/>
        <v>0</v>
      </c>
      <c r="F19" s="399">
        <f ca="1">Costs!D37</f>
        <v>0</v>
      </c>
      <c r="G19" s="397" t="e">
        <f t="shared" ca="1" si="0"/>
        <v>#DIV/0!</v>
      </c>
      <c r="H19" s="209">
        <v>0.2</v>
      </c>
      <c r="I19" s="265">
        <f t="shared" ca="1" si="1"/>
        <v>0</v>
      </c>
      <c r="J19" s="392"/>
      <c r="K19" s="392"/>
      <c r="L19" s="384" t="s">
        <v>332</v>
      </c>
      <c r="M19" s="395" t="e">
        <f t="shared" ca="1" si="2"/>
        <v>#DIV/0!</v>
      </c>
      <c r="N19" s="395" t="e">
        <f t="shared" ca="1" si="3"/>
        <v>#DIV/0!</v>
      </c>
      <c r="O19" s="211"/>
      <c r="P19" s="266" t="s">
        <v>341</v>
      </c>
      <c r="Q19" s="266" t="s">
        <v>342</v>
      </c>
      <c r="R19" s="136"/>
      <c r="V19" s="403">
        <f t="shared" ca="1" si="4"/>
        <v>0</v>
      </c>
      <c r="W19" s="403">
        <f t="shared" ca="1" si="5"/>
        <v>0</v>
      </c>
      <c r="X19" s="139"/>
    </row>
    <row r="20" spans="2:24">
      <c r="B20" s="136"/>
      <c r="C20" s="264" t="str">
        <f>"Initial costs "&amp;comparador3</f>
        <v>Initial costs Atorvastatin 40mg</v>
      </c>
      <c r="D20" s="393" t="s">
        <v>21</v>
      </c>
      <c r="E20" s="395">
        <f t="shared" ca="1" si="6"/>
        <v>0</v>
      </c>
      <c r="F20" s="399">
        <f ca="1">Costs!D38</f>
        <v>0</v>
      </c>
      <c r="G20" s="397" t="e">
        <f t="shared" ca="1" si="0"/>
        <v>#DIV/0!</v>
      </c>
      <c r="H20" s="209">
        <v>0.2</v>
      </c>
      <c r="I20" s="265">
        <f t="shared" ca="1" si="1"/>
        <v>0</v>
      </c>
      <c r="J20" s="392"/>
      <c r="K20" s="392"/>
      <c r="L20" s="384" t="s">
        <v>332</v>
      </c>
      <c r="M20" s="395" t="e">
        <f t="shared" ca="1" si="2"/>
        <v>#DIV/0!</v>
      </c>
      <c r="N20" s="395" t="e">
        <f t="shared" ca="1" si="3"/>
        <v>#DIV/0!</v>
      </c>
      <c r="O20" s="211"/>
      <c r="P20" s="266" t="s">
        <v>341</v>
      </c>
      <c r="Q20" s="266" t="s">
        <v>342</v>
      </c>
      <c r="R20" s="136"/>
      <c r="V20" s="403">
        <f t="shared" ca="1" si="4"/>
        <v>0</v>
      </c>
      <c r="W20" s="403">
        <f t="shared" ca="1" si="5"/>
        <v>0</v>
      </c>
      <c r="X20" s="139"/>
    </row>
    <row r="21" spans="2:24">
      <c r="B21" s="136"/>
      <c r="C21" s="264" t="str">
        <f>"Initial costs "&amp;comparador4</f>
        <v>Initial costs Atorvastatin 80mg</v>
      </c>
      <c r="D21" s="393" t="s">
        <v>22</v>
      </c>
      <c r="E21" s="395">
        <f t="shared" ca="1" si="6"/>
        <v>0</v>
      </c>
      <c r="F21" s="399">
        <f ca="1">Costs!D39</f>
        <v>0</v>
      </c>
      <c r="G21" s="397" t="e">
        <f t="shared" ca="1" si="0"/>
        <v>#DIV/0!</v>
      </c>
      <c r="H21" s="209">
        <v>0.2</v>
      </c>
      <c r="I21" s="265">
        <f t="shared" ca="1" si="1"/>
        <v>0</v>
      </c>
      <c r="J21" s="392"/>
      <c r="K21" s="392"/>
      <c r="L21" s="384" t="s">
        <v>332</v>
      </c>
      <c r="M21" s="395" t="e">
        <f t="shared" ca="1" si="2"/>
        <v>#DIV/0!</v>
      </c>
      <c r="N21" s="395" t="e">
        <f t="shared" ca="1" si="3"/>
        <v>#DIV/0!</v>
      </c>
      <c r="O21" s="211"/>
      <c r="P21" s="266" t="s">
        <v>341</v>
      </c>
      <c r="Q21" s="266" t="s">
        <v>342</v>
      </c>
      <c r="R21" s="136"/>
      <c r="V21" s="403">
        <f t="shared" ca="1" si="4"/>
        <v>0</v>
      </c>
      <c r="W21" s="403">
        <f t="shared" ca="1" si="5"/>
        <v>0</v>
      </c>
      <c r="X21" s="139"/>
    </row>
    <row r="22" spans="2:24">
      <c r="B22" s="136"/>
      <c r="C22" s="264" t="str">
        <f>"Initial costs "&amp;comparador5</f>
        <v>Initial costs Pravastatin</v>
      </c>
      <c r="D22" s="393" t="s">
        <v>23</v>
      </c>
      <c r="E22" s="395">
        <f t="shared" ca="1" si="6"/>
        <v>0</v>
      </c>
      <c r="F22" s="399">
        <f ca="1">Costs!D40</f>
        <v>0</v>
      </c>
      <c r="G22" s="397" t="e">
        <f t="shared" ca="1" si="0"/>
        <v>#DIV/0!</v>
      </c>
      <c r="H22" s="209">
        <v>0.2</v>
      </c>
      <c r="I22" s="265">
        <f t="shared" ca="1" si="1"/>
        <v>0</v>
      </c>
      <c r="J22" s="392"/>
      <c r="K22" s="392"/>
      <c r="L22" s="384" t="s">
        <v>332</v>
      </c>
      <c r="M22" s="395" t="e">
        <f t="shared" ca="1" si="2"/>
        <v>#DIV/0!</v>
      </c>
      <c r="N22" s="395" t="e">
        <f t="shared" ca="1" si="3"/>
        <v>#DIV/0!</v>
      </c>
      <c r="O22" s="211"/>
      <c r="P22" s="266" t="s">
        <v>341</v>
      </c>
      <c r="Q22" s="266" t="s">
        <v>342</v>
      </c>
      <c r="R22" s="136"/>
      <c r="V22" s="403">
        <f t="shared" ca="1" si="4"/>
        <v>0</v>
      </c>
      <c r="W22" s="403">
        <f t="shared" ca="1" si="5"/>
        <v>0</v>
      </c>
      <c r="X22" s="139"/>
    </row>
    <row r="23" spans="2:24">
      <c r="B23" s="136"/>
      <c r="C23" s="264" t="str">
        <f>"Initial costs "&amp;comparador6</f>
        <v>Initial costs Simvastatin 5mg</v>
      </c>
      <c r="D23" s="393" t="s">
        <v>24</v>
      </c>
      <c r="E23" s="395">
        <f t="shared" ca="1" si="6"/>
        <v>0</v>
      </c>
      <c r="F23" s="399">
        <f ca="1">Costs!D41</f>
        <v>0</v>
      </c>
      <c r="G23" s="397" t="e">
        <f t="shared" ca="1" si="0"/>
        <v>#DIV/0!</v>
      </c>
      <c r="H23" s="209">
        <v>0.2</v>
      </c>
      <c r="I23" s="265">
        <f t="shared" ca="1" si="1"/>
        <v>0</v>
      </c>
      <c r="J23" s="392"/>
      <c r="K23" s="392"/>
      <c r="L23" s="384" t="s">
        <v>332</v>
      </c>
      <c r="M23" s="395" t="e">
        <f t="shared" ca="1" si="2"/>
        <v>#DIV/0!</v>
      </c>
      <c r="N23" s="395" t="e">
        <f t="shared" ca="1" si="3"/>
        <v>#DIV/0!</v>
      </c>
      <c r="O23" s="211"/>
      <c r="P23" s="266" t="s">
        <v>341</v>
      </c>
      <c r="Q23" s="266" t="s">
        <v>342</v>
      </c>
      <c r="R23" s="136"/>
      <c r="V23" s="403">
        <f t="shared" ca="1" si="4"/>
        <v>0</v>
      </c>
      <c r="W23" s="403">
        <f t="shared" ca="1" si="5"/>
        <v>0</v>
      </c>
      <c r="X23" s="139"/>
    </row>
    <row r="24" spans="2:24">
      <c r="B24" s="136"/>
      <c r="C24" s="264" t="str">
        <f>"Initial costs "&amp;comparador7</f>
        <v>Initial costs Simvastatin 10mg</v>
      </c>
      <c r="D24" s="393" t="s">
        <v>25</v>
      </c>
      <c r="E24" s="395">
        <f t="shared" ca="1" si="6"/>
        <v>0</v>
      </c>
      <c r="F24" s="399">
        <f ca="1">Costs!D42</f>
        <v>0</v>
      </c>
      <c r="G24" s="397" t="e">
        <f t="shared" ca="1" si="0"/>
        <v>#DIV/0!</v>
      </c>
      <c r="H24" s="209">
        <v>0.2</v>
      </c>
      <c r="I24" s="265">
        <f t="shared" ca="1" si="1"/>
        <v>0</v>
      </c>
      <c r="J24" s="392"/>
      <c r="K24" s="392"/>
      <c r="L24" s="384" t="s">
        <v>332</v>
      </c>
      <c r="M24" s="395" t="e">
        <f t="shared" ca="1" si="2"/>
        <v>#DIV/0!</v>
      </c>
      <c r="N24" s="395" t="e">
        <f t="shared" ca="1" si="3"/>
        <v>#DIV/0!</v>
      </c>
      <c r="O24" s="211"/>
      <c r="P24" s="266" t="s">
        <v>341</v>
      </c>
      <c r="Q24" s="266" t="s">
        <v>342</v>
      </c>
      <c r="R24" s="136"/>
      <c r="V24" s="403">
        <f t="shared" ca="1" si="4"/>
        <v>0</v>
      </c>
      <c r="W24" s="403">
        <f t="shared" ca="1" si="5"/>
        <v>0</v>
      </c>
      <c r="X24" s="139"/>
    </row>
    <row r="25" spans="2:24">
      <c r="B25" s="136"/>
      <c r="C25" s="264" t="str">
        <f>"Initial costs "&amp;comparador8</f>
        <v>Initial costs Simvastatin 20mg</v>
      </c>
      <c r="D25" s="393" t="s">
        <v>26</v>
      </c>
      <c r="E25" s="395">
        <f t="shared" ca="1" si="6"/>
        <v>0</v>
      </c>
      <c r="F25" s="399">
        <f ca="1">Costs!D43</f>
        <v>0</v>
      </c>
      <c r="G25" s="397" t="e">
        <f t="shared" ca="1" si="0"/>
        <v>#DIV/0!</v>
      </c>
      <c r="H25" s="209">
        <v>0.2</v>
      </c>
      <c r="I25" s="265">
        <f t="shared" ca="1" si="1"/>
        <v>0</v>
      </c>
      <c r="J25" s="392"/>
      <c r="K25" s="392"/>
      <c r="L25" s="384" t="s">
        <v>332</v>
      </c>
      <c r="M25" s="395" t="e">
        <f t="shared" ca="1" si="2"/>
        <v>#DIV/0!</v>
      </c>
      <c r="N25" s="395" t="e">
        <f t="shared" ca="1" si="3"/>
        <v>#DIV/0!</v>
      </c>
      <c r="O25" s="211"/>
      <c r="P25" s="266" t="s">
        <v>341</v>
      </c>
      <c r="Q25" s="266" t="s">
        <v>342</v>
      </c>
      <c r="R25" s="136"/>
      <c r="V25" s="403">
        <f t="shared" ca="1" si="4"/>
        <v>0</v>
      </c>
      <c r="W25" s="403">
        <f t="shared" ca="1" si="5"/>
        <v>0</v>
      </c>
      <c r="X25" s="139"/>
    </row>
    <row r="26" spans="2:24">
      <c r="B26" s="136"/>
      <c r="C26" s="264" t="str">
        <f>"Initial costs "&amp;comparador9</f>
        <v>Initial costs Simvastatin 40mg</v>
      </c>
      <c r="D26" s="393" t="s">
        <v>27</v>
      </c>
      <c r="E26" s="395">
        <f t="shared" ca="1" si="6"/>
        <v>0</v>
      </c>
      <c r="F26" s="399">
        <f ca="1">Costs!D44</f>
        <v>0</v>
      </c>
      <c r="G26" s="397" t="e">
        <f t="shared" ca="1" si="0"/>
        <v>#DIV/0!</v>
      </c>
      <c r="H26" s="209">
        <v>0.2</v>
      </c>
      <c r="I26" s="265">
        <f t="shared" ca="1" si="1"/>
        <v>0</v>
      </c>
      <c r="J26" s="392"/>
      <c r="K26" s="392"/>
      <c r="L26" s="384" t="s">
        <v>332</v>
      </c>
      <c r="M26" s="395" t="e">
        <f t="shared" ca="1" si="2"/>
        <v>#DIV/0!</v>
      </c>
      <c r="N26" s="395" t="e">
        <f t="shared" ca="1" si="3"/>
        <v>#DIV/0!</v>
      </c>
      <c r="O26" s="211"/>
      <c r="P26" s="266" t="s">
        <v>341</v>
      </c>
      <c r="Q26" s="266" t="s">
        <v>342</v>
      </c>
      <c r="R26" s="136"/>
      <c r="V26" s="403">
        <f t="shared" ca="1" si="4"/>
        <v>0</v>
      </c>
      <c r="W26" s="403">
        <f t="shared" ca="1" si="5"/>
        <v>0</v>
      </c>
      <c r="X26" s="139"/>
    </row>
    <row r="27" spans="2:24">
      <c r="B27" s="136"/>
      <c r="C27" s="264" t="str">
        <f>"Initial costs "&amp;comparador10</f>
        <v xml:space="preserve">Initial costs </v>
      </c>
      <c r="D27" s="393" t="s">
        <v>28</v>
      </c>
      <c r="E27" s="395">
        <f t="shared" ca="1" si="6"/>
        <v>0</v>
      </c>
      <c r="F27" s="399">
        <f ca="1">Costs!D45</f>
        <v>0</v>
      </c>
      <c r="G27" s="397" t="e">
        <f t="shared" ca="1" si="0"/>
        <v>#DIV/0!</v>
      </c>
      <c r="H27" s="209">
        <v>0.2</v>
      </c>
      <c r="I27" s="265">
        <f t="shared" ca="1" si="1"/>
        <v>0</v>
      </c>
      <c r="J27" s="392"/>
      <c r="K27" s="392"/>
      <c r="L27" s="384" t="s">
        <v>332</v>
      </c>
      <c r="M27" s="395" t="e">
        <f t="shared" ca="1" si="2"/>
        <v>#DIV/0!</v>
      </c>
      <c r="N27" s="395" t="e">
        <f t="shared" ca="1" si="3"/>
        <v>#DIV/0!</v>
      </c>
      <c r="O27" s="211"/>
      <c r="P27" s="266" t="s">
        <v>341</v>
      </c>
      <c r="Q27" s="266" t="s">
        <v>342</v>
      </c>
      <c r="R27" s="136"/>
      <c r="V27" s="403">
        <f t="shared" ca="1" si="4"/>
        <v>0</v>
      </c>
      <c r="W27" s="403">
        <f t="shared" ca="1" si="5"/>
        <v>0</v>
      </c>
      <c r="X27" s="139"/>
    </row>
    <row r="28" spans="2:24">
      <c r="B28" s="136"/>
      <c r="C28" s="264" t="str">
        <f>"Treatment costs "&amp;intervencao1</f>
        <v>Treatment costs Rosuvastatin 5mg</v>
      </c>
      <c r="D28" s="393" t="s">
        <v>29</v>
      </c>
      <c r="E28" s="395">
        <f t="shared" ca="1" si="6"/>
        <v>4.5</v>
      </c>
      <c r="F28" s="399">
        <f ca="1">Costs!E32</f>
        <v>4.5</v>
      </c>
      <c r="G28" s="397">
        <f t="shared" ca="1" si="0"/>
        <v>4.4151708786620176</v>
      </c>
      <c r="H28" s="209">
        <v>0.2</v>
      </c>
      <c r="I28" s="265">
        <f t="shared" ca="1" si="1"/>
        <v>0.4591836734693876</v>
      </c>
      <c r="J28" s="392"/>
      <c r="K28" s="392"/>
      <c r="L28" s="384" t="s">
        <v>332</v>
      </c>
      <c r="M28" s="395">
        <f t="shared" ca="1" si="2"/>
        <v>96.040000000000077</v>
      </c>
      <c r="N28" s="395">
        <f t="shared" ca="1" si="3"/>
        <v>4.6855476884631368E-2</v>
      </c>
      <c r="O28" s="211"/>
      <c r="P28" s="266" t="s">
        <v>341</v>
      </c>
      <c r="Q28" s="266" t="s">
        <v>342</v>
      </c>
      <c r="R28" s="136"/>
      <c r="V28" s="403">
        <f t="shared" ca="1" si="4"/>
        <v>3.6</v>
      </c>
      <c r="W28" s="403">
        <f t="shared" ca="1" si="5"/>
        <v>5.3999999999999995</v>
      </c>
      <c r="X28" s="139"/>
    </row>
    <row r="29" spans="2:24">
      <c r="B29" s="136"/>
      <c r="C29" s="264" t="str">
        <f>"Treatment costs "&amp;intervencao2</f>
        <v>Treatment costs Rosuvastatin 10mg</v>
      </c>
      <c r="D29" s="393" t="s">
        <v>30</v>
      </c>
      <c r="E29" s="395">
        <f t="shared" ca="1" si="6"/>
        <v>2.6999999999999997</v>
      </c>
      <c r="F29" s="399">
        <f ca="1">Costs!E33</f>
        <v>2.6999999999999997</v>
      </c>
      <c r="G29" s="397">
        <f t="shared" ca="1" si="0"/>
        <v>2.7279515165369252</v>
      </c>
      <c r="H29" s="209">
        <v>0.2</v>
      </c>
      <c r="I29" s="265">
        <f t="shared" ca="1" si="1"/>
        <v>0.27551020408163268</v>
      </c>
      <c r="J29" s="392"/>
      <c r="K29" s="392"/>
      <c r="L29" s="384" t="s">
        <v>332</v>
      </c>
      <c r="M29" s="395">
        <f t="shared" ca="1" si="2"/>
        <v>96.039999999999949</v>
      </c>
      <c r="N29" s="395">
        <f t="shared" ca="1" si="3"/>
        <v>2.8113286130778854E-2</v>
      </c>
      <c r="O29" s="211"/>
      <c r="P29" s="266" t="s">
        <v>341</v>
      </c>
      <c r="Q29" s="266" t="s">
        <v>342</v>
      </c>
      <c r="R29" s="136"/>
      <c r="V29" s="403">
        <f t="shared" ca="1" si="4"/>
        <v>2.1599999999999997</v>
      </c>
      <c r="W29" s="403">
        <f t="shared" ca="1" si="5"/>
        <v>3.2399999999999998</v>
      </c>
      <c r="X29" s="139"/>
    </row>
    <row r="30" spans="2:24">
      <c r="B30" s="136"/>
      <c r="C30" s="264" t="str">
        <f>"Treatment costs "&amp;intervencao3</f>
        <v>Treatment costs Rosuvastatin 20mg</v>
      </c>
      <c r="D30" s="393" t="s">
        <v>31</v>
      </c>
      <c r="E30" s="395">
        <f t="shared" ca="1" si="6"/>
        <v>2.6999999999999997</v>
      </c>
      <c r="F30" s="399">
        <f ca="1">Costs!E34</f>
        <v>2.6999999999999997</v>
      </c>
      <c r="G30" s="397">
        <f t="shared" ca="1" si="0"/>
        <v>2.4778015093491352</v>
      </c>
      <c r="H30" s="209">
        <v>0.2</v>
      </c>
      <c r="I30" s="265">
        <f t="shared" ca="1" si="1"/>
        <v>0.27551020408163268</v>
      </c>
      <c r="J30" s="392"/>
      <c r="K30" s="392"/>
      <c r="L30" s="384" t="s">
        <v>332</v>
      </c>
      <c r="M30" s="395">
        <f t="shared" ca="1" si="2"/>
        <v>96.039999999999949</v>
      </c>
      <c r="N30" s="395">
        <f t="shared" ca="1" si="3"/>
        <v>2.8113286130778854E-2</v>
      </c>
      <c r="O30" s="211"/>
      <c r="P30" s="266" t="s">
        <v>341</v>
      </c>
      <c r="Q30" s="266" t="s">
        <v>342</v>
      </c>
      <c r="R30" s="136"/>
      <c r="V30" s="403">
        <f t="shared" ca="1" si="4"/>
        <v>2.1599999999999997</v>
      </c>
      <c r="W30" s="403">
        <f t="shared" ca="1" si="5"/>
        <v>3.2399999999999998</v>
      </c>
      <c r="X30" s="139"/>
    </row>
    <row r="31" spans="2:24">
      <c r="B31" s="136"/>
      <c r="C31" s="264" t="str">
        <f>"Treatment costs "&amp;intervencao4</f>
        <v>Treatment costs Rosuvastatin 40mg</v>
      </c>
      <c r="D31" s="393" t="s">
        <v>32</v>
      </c>
      <c r="E31" s="395">
        <f t="shared" ca="1" si="6"/>
        <v>20.7</v>
      </c>
      <c r="F31" s="399">
        <f ca="1">Costs!E35</f>
        <v>20.7</v>
      </c>
      <c r="G31" s="397">
        <f t="shared" ca="1" si="0"/>
        <v>22.022243142596263</v>
      </c>
      <c r="H31" s="209">
        <v>0.2</v>
      </c>
      <c r="I31" s="265">
        <f t="shared" ca="1" si="1"/>
        <v>2.1122448979591839</v>
      </c>
      <c r="J31" s="392"/>
      <c r="K31" s="392"/>
      <c r="L31" s="384" t="s">
        <v>332</v>
      </c>
      <c r="M31" s="395">
        <f t="shared" ca="1" si="2"/>
        <v>96.039999999999964</v>
      </c>
      <c r="N31" s="395">
        <f t="shared" ca="1" si="3"/>
        <v>0.21553519366930451</v>
      </c>
      <c r="O31" s="211"/>
      <c r="P31" s="266" t="s">
        <v>341</v>
      </c>
      <c r="Q31" s="266" t="s">
        <v>342</v>
      </c>
      <c r="R31" s="136"/>
      <c r="V31" s="403">
        <f t="shared" ca="1" si="4"/>
        <v>16.559999999999999</v>
      </c>
      <c r="W31" s="403">
        <f t="shared" ca="1" si="5"/>
        <v>24.84</v>
      </c>
      <c r="X31" s="139"/>
    </row>
    <row r="32" spans="2:24">
      <c r="B32" s="136"/>
      <c r="C32" s="264" t="str">
        <f>"Treatment costs "&amp;comparador1</f>
        <v>Treatment costs Atorvastatin 10mg</v>
      </c>
      <c r="D32" s="393" t="s">
        <v>33</v>
      </c>
      <c r="E32" s="395">
        <f t="shared" ca="1" si="6"/>
        <v>0.6</v>
      </c>
      <c r="F32" s="399">
        <f ca="1">Costs!E36</f>
        <v>0.6</v>
      </c>
      <c r="G32" s="397">
        <f t="shared" ca="1" si="0"/>
        <v>0.5700945168796181</v>
      </c>
      <c r="H32" s="209">
        <v>0.2</v>
      </c>
      <c r="I32" s="265">
        <f t="shared" ca="1" si="1"/>
        <v>6.1224489795918366E-2</v>
      </c>
      <c r="J32" s="392"/>
      <c r="K32" s="392"/>
      <c r="L32" s="384" t="s">
        <v>332</v>
      </c>
      <c r="M32" s="395">
        <f t="shared" ca="1" si="2"/>
        <v>96.04</v>
      </c>
      <c r="N32" s="395">
        <f t="shared" ca="1" si="3"/>
        <v>6.2473969179508539E-3</v>
      </c>
      <c r="O32" s="211"/>
      <c r="P32" s="266" t="s">
        <v>341</v>
      </c>
      <c r="Q32" s="266" t="s">
        <v>342</v>
      </c>
      <c r="R32" s="136"/>
      <c r="V32" s="403">
        <f t="shared" ca="1" si="4"/>
        <v>0.48</v>
      </c>
      <c r="W32" s="403">
        <f t="shared" ca="1" si="5"/>
        <v>0.72</v>
      </c>
      <c r="X32" s="139"/>
    </row>
    <row r="33" spans="2:24">
      <c r="B33" s="136"/>
      <c r="C33" s="264" t="str">
        <f>"Treatment costs "&amp;comparador2</f>
        <v>Treatment costs Atorvastatin 20mg</v>
      </c>
      <c r="D33" s="393" t="s">
        <v>34</v>
      </c>
      <c r="E33" s="395">
        <f t="shared" ca="1" si="6"/>
        <v>0.89999999999999991</v>
      </c>
      <c r="F33" s="399">
        <f ca="1">Costs!E37</f>
        <v>0.89999999999999991</v>
      </c>
      <c r="G33" s="397">
        <f t="shared" ca="1" si="0"/>
        <v>0.91763494008940671</v>
      </c>
      <c r="H33" s="209">
        <v>0.2</v>
      </c>
      <c r="I33" s="265">
        <f t="shared" ca="1" si="1"/>
        <v>9.1836734693877514E-2</v>
      </c>
      <c r="J33" s="392"/>
      <c r="K33" s="392"/>
      <c r="L33" s="384" t="s">
        <v>332</v>
      </c>
      <c r="M33" s="395">
        <f t="shared" ca="1" si="2"/>
        <v>96.040000000000063</v>
      </c>
      <c r="N33" s="395">
        <f t="shared" ca="1" si="3"/>
        <v>9.3710953769262743E-3</v>
      </c>
      <c r="O33" s="211"/>
      <c r="P33" s="266" t="s">
        <v>341</v>
      </c>
      <c r="Q33" s="266" t="s">
        <v>342</v>
      </c>
      <c r="R33" s="136"/>
      <c r="V33" s="403">
        <f t="shared" ca="1" si="4"/>
        <v>0.72</v>
      </c>
      <c r="W33" s="403">
        <f t="shared" ca="1" si="5"/>
        <v>1.0799999999999998</v>
      </c>
      <c r="X33" s="139"/>
    </row>
    <row r="34" spans="2:24">
      <c r="B34" s="136"/>
      <c r="C34" s="264" t="str">
        <f>"Treatment costs "&amp;comparador3</f>
        <v>Treatment costs Atorvastatin 40mg</v>
      </c>
      <c r="D34" s="393" t="s">
        <v>35</v>
      </c>
      <c r="E34" s="395">
        <f t="shared" ca="1" si="6"/>
        <v>4.5</v>
      </c>
      <c r="F34" s="399">
        <f ca="1">Costs!E38</f>
        <v>4.5</v>
      </c>
      <c r="G34" s="397">
        <f t="shared" ca="1" si="0"/>
        <v>4.8204230536081534</v>
      </c>
      <c r="H34" s="209">
        <v>0.2</v>
      </c>
      <c r="I34" s="265">
        <f t="shared" ca="1" si="1"/>
        <v>0.4591836734693876</v>
      </c>
      <c r="J34" s="392"/>
      <c r="K34" s="392"/>
      <c r="L34" s="384" t="s">
        <v>332</v>
      </c>
      <c r="M34" s="395">
        <f t="shared" ca="1" si="2"/>
        <v>96.040000000000077</v>
      </c>
      <c r="N34" s="395">
        <f t="shared" ca="1" si="3"/>
        <v>4.6855476884631368E-2</v>
      </c>
      <c r="O34" s="211"/>
      <c r="P34" s="266" t="s">
        <v>341</v>
      </c>
      <c r="Q34" s="266" t="s">
        <v>342</v>
      </c>
      <c r="R34" s="136"/>
      <c r="V34" s="403">
        <f t="shared" ca="1" si="4"/>
        <v>3.6</v>
      </c>
      <c r="W34" s="403">
        <f t="shared" ca="1" si="5"/>
        <v>5.3999999999999995</v>
      </c>
      <c r="X34" s="139"/>
    </row>
    <row r="35" spans="2:24">
      <c r="B35" s="136"/>
      <c r="C35" s="264" t="str">
        <f>"Treatment costs "&amp;comparador4</f>
        <v>Treatment costs Atorvastatin 80mg</v>
      </c>
      <c r="D35" s="393" t="s">
        <v>36</v>
      </c>
      <c r="E35" s="395">
        <f t="shared" ca="1" si="6"/>
        <v>4.8</v>
      </c>
      <c r="F35" s="399">
        <f ca="1">Costs!E39</f>
        <v>4.8</v>
      </c>
      <c r="G35" s="397">
        <f t="shared" ca="1" si="0"/>
        <v>4.8344006672629609</v>
      </c>
      <c r="H35" s="209">
        <v>0.2</v>
      </c>
      <c r="I35" s="265">
        <f t="shared" ca="1" si="1"/>
        <v>0.48979591836734693</v>
      </c>
      <c r="J35" s="392"/>
      <c r="K35" s="392"/>
      <c r="L35" s="384" t="s">
        <v>332</v>
      </c>
      <c r="M35" s="395">
        <f t="shared" ca="1" si="2"/>
        <v>96.04</v>
      </c>
      <c r="N35" s="395">
        <f t="shared" ca="1" si="3"/>
        <v>4.9979175343606831E-2</v>
      </c>
      <c r="O35" s="211"/>
      <c r="P35" s="266" t="s">
        <v>341</v>
      </c>
      <c r="Q35" s="266" t="s">
        <v>342</v>
      </c>
      <c r="R35" s="136"/>
      <c r="V35" s="403">
        <f t="shared" ca="1" si="4"/>
        <v>3.84</v>
      </c>
      <c r="W35" s="403">
        <f t="shared" ca="1" si="5"/>
        <v>5.76</v>
      </c>
      <c r="X35" s="139"/>
    </row>
    <row r="36" spans="2:24">
      <c r="B36" s="136"/>
      <c r="C36" s="264" t="str">
        <f>"Treatment costs "&amp;comparador5</f>
        <v>Treatment costs Pravastatin</v>
      </c>
      <c r="D36" s="393" t="s">
        <v>37</v>
      </c>
      <c r="E36" s="395">
        <f t="shared" ca="1" si="6"/>
        <v>49.934999999999995</v>
      </c>
      <c r="F36" s="399">
        <f ca="1">Costs!E40</f>
        <v>49.934999999999995</v>
      </c>
      <c r="G36" s="397">
        <f t="shared" ca="1" si="0"/>
        <v>44.677300006601243</v>
      </c>
      <c r="H36" s="209">
        <v>0.2</v>
      </c>
      <c r="I36" s="265">
        <f t="shared" ca="1" si="1"/>
        <v>5.0954081632653034</v>
      </c>
      <c r="J36" s="392"/>
      <c r="K36" s="392"/>
      <c r="L36" s="384" t="s">
        <v>332</v>
      </c>
      <c r="M36" s="395">
        <f t="shared" ca="1" si="2"/>
        <v>96.040000000000092</v>
      </c>
      <c r="N36" s="395">
        <f t="shared" ca="1" si="3"/>
        <v>0.51993960849645937</v>
      </c>
      <c r="O36" s="211"/>
      <c r="P36" s="266" t="s">
        <v>341</v>
      </c>
      <c r="Q36" s="266" t="s">
        <v>342</v>
      </c>
      <c r="R36" s="136"/>
      <c r="V36" s="403">
        <f t="shared" ca="1" si="4"/>
        <v>39.948</v>
      </c>
      <c r="W36" s="403">
        <f t="shared" ca="1" si="5"/>
        <v>59.92199999999999</v>
      </c>
      <c r="X36" s="139"/>
    </row>
    <row r="37" spans="2:24">
      <c r="B37" s="136"/>
      <c r="C37" s="264" t="str">
        <f>"Treatment costs "&amp;comparador6</f>
        <v>Treatment costs Simvastatin 5mg</v>
      </c>
      <c r="D37" s="393" t="s">
        <v>38</v>
      </c>
      <c r="E37" s="395">
        <f t="shared" ca="1" si="6"/>
        <v>2.6999999999999997</v>
      </c>
      <c r="F37" s="399">
        <f ca="1">Costs!E41</f>
        <v>2.6999999999999997</v>
      </c>
      <c r="G37" s="397">
        <f t="shared" ca="1" si="0"/>
        <v>2.5845935332304522</v>
      </c>
      <c r="H37" s="209">
        <v>0.2</v>
      </c>
      <c r="I37" s="265">
        <f t="shared" ca="1" si="1"/>
        <v>0.27551020408163268</v>
      </c>
      <c r="J37" s="392"/>
      <c r="K37" s="392"/>
      <c r="L37" s="384" t="s">
        <v>332</v>
      </c>
      <c r="M37" s="395">
        <f t="shared" ca="1" si="2"/>
        <v>96.039999999999949</v>
      </c>
      <c r="N37" s="395">
        <f t="shared" ca="1" si="3"/>
        <v>2.8113286130778854E-2</v>
      </c>
      <c r="O37" s="211"/>
      <c r="P37" s="266" t="s">
        <v>341</v>
      </c>
      <c r="Q37" s="266" t="s">
        <v>342</v>
      </c>
      <c r="R37" s="136"/>
      <c r="V37" s="403">
        <f t="shared" ca="1" si="4"/>
        <v>2.1599999999999997</v>
      </c>
      <c r="W37" s="403">
        <f t="shared" ca="1" si="5"/>
        <v>3.2399999999999998</v>
      </c>
      <c r="X37" s="139"/>
    </row>
    <row r="38" spans="2:24">
      <c r="B38" s="136"/>
      <c r="C38" s="264" t="str">
        <f>"Treatment costs "&amp;comparador7</f>
        <v>Treatment costs Simvastatin 10mg</v>
      </c>
      <c r="D38" s="393" t="s">
        <v>39</v>
      </c>
      <c r="E38" s="395">
        <f t="shared" ca="1" si="6"/>
        <v>0.89999999999999991</v>
      </c>
      <c r="F38" s="399">
        <f ca="1">Costs!E42</f>
        <v>0.89999999999999991</v>
      </c>
      <c r="G38" s="397">
        <f t="shared" ca="1" si="0"/>
        <v>0.73419621702335258</v>
      </c>
      <c r="H38" s="209">
        <v>0.2</v>
      </c>
      <c r="I38" s="265">
        <f t="shared" ca="1" si="1"/>
        <v>9.1836734693877514E-2</v>
      </c>
      <c r="J38" s="392"/>
      <c r="K38" s="392"/>
      <c r="L38" s="384" t="s">
        <v>332</v>
      </c>
      <c r="M38" s="395">
        <f t="shared" ca="1" si="2"/>
        <v>96.040000000000063</v>
      </c>
      <c r="N38" s="395">
        <f t="shared" ca="1" si="3"/>
        <v>9.3710953769262743E-3</v>
      </c>
      <c r="O38" s="211"/>
      <c r="P38" s="266" t="s">
        <v>341</v>
      </c>
      <c r="Q38" s="266" t="s">
        <v>342</v>
      </c>
      <c r="R38" s="136"/>
      <c r="V38" s="403">
        <f t="shared" ca="1" si="4"/>
        <v>0.72</v>
      </c>
      <c r="W38" s="403">
        <f t="shared" ca="1" si="5"/>
        <v>1.0799999999999998</v>
      </c>
      <c r="X38" s="139"/>
    </row>
    <row r="39" spans="2:24">
      <c r="B39" s="136"/>
      <c r="C39" s="264" t="str">
        <f>"Treatment costs "&amp;comparador8</f>
        <v>Treatment costs Simvastatin 20mg</v>
      </c>
      <c r="D39" s="393" t="s">
        <v>40</v>
      </c>
      <c r="E39" s="395">
        <f t="shared" ca="1" si="6"/>
        <v>0.18</v>
      </c>
      <c r="F39" s="399">
        <f ca="1">Costs!E43</f>
        <v>0.18</v>
      </c>
      <c r="G39" s="397">
        <f t="shared" ca="1" si="0"/>
        <v>0.17981999834116916</v>
      </c>
      <c r="H39" s="209">
        <v>0.2</v>
      </c>
      <c r="I39" s="265">
        <f t="shared" ca="1" si="1"/>
        <v>1.8367346938775512E-2</v>
      </c>
      <c r="J39" s="392"/>
      <c r="K39" s="392"/>
      <c r="L39" s="384" t="s">
        <v>332</v>
      </c>
      <c r="M39" s="395">
        <f t="shared" ca="1" si="2"/>
        <v>96.039999999999978</v>
      </c>
      <c r="N39" s="395">
        <f t="shared" ca="1" si="3"/>
        <v>1.8742190753852567E-3</v>
      </c>
      <c r="O39" s="211"/>
      <c r="P39" s="266" t="s">
        <v>341</v>
      </c>
      <c r="Q39" s="266" t="s">
        <v>342</v>
      </c>
      <c r="R39" s="136"/>
      <c r="V39" s="403">
        <f t="shared" ca="1" si="4"/>
        <v>0.14399999999999999</v>
      </c>
      <c r="W39" s="403">
        <f t="shared" ca="1" si="5"/>
        <v>0.216</v>
      </c>
      <c r="X39" s="139"/>
    </row>
    <row r="40" spans="2:24">
      <c r="B40" s="136"/>
      <c r="C40" s="264" t="str">
        <f>"Treatment costs "&amp;comparador9</f>
        <v>Treatment costs Simvastatin 40mg</v>
      </c>
      <c r="D40" s="393" t="s">
        <v>41</v>
      </c>
      <c r="E40" s="395">
        <f t="shared" ca="1" si="6"/>
        <v>1.5</v>
      </c>
      <c r="F40" s="399">
        <f ca="1">Costs!E44</f>
        <v>1.5</v>
      </c>
      <c r="G40" s="397">
        <f t="shared" ca="1" si="0"/>
        <v>1.5308135330329633</v>
      </c>
      <c r="H40" s="209">
        <v>0.2</v>
      </c>
      <c r="I40" s="265">
        <f t="shared" ca="1" si="1"/>
        <v>0.15306122448979584</v>
      </c>
      <c r="J40" s="392"/>
      <c r="K40" s="392"/>
      <c r="L40" s="384" t="s">
        <v>332</v>
      </c>
      <c r="M40" s="395">
        <f t="shared" ca="1" si="2"/>
        <v>96.040000000000106</v>
      </c>
      <c r="N40" s="395">
        <f t="shared" ca="1" si="3"/>
        <v>1.5618492294877119E-2</v>
      </c>
      <c r="O40" s="211"/>
      <c r="P40" s="266" t="s">
        <v>341</v>
      </c>
      <c r="Q40" s="266" t="s">
        <v>342</v>
      </c>
      <c r="R40" s="136"/>
      <c r="V40" s="403">
        <f t="shared" ca="1" si="4"/>
        <v>1.2000000000000002</v>
      </c>
      <c r="W40" s="403">
        <f t="shared" ca="1" si="5"/>
        <v>1.7999999999999998</v>
      </c>
      <c r="X40" s="139"/>
    </row>
    <row r="41" spans="2:24">
      <c r="B41" s="136"/>
      <c r="C41" s="264" t="str">
        <f>"Treatment costs "&amp;comparador10</f>
        <v xml:space="preserve">Treatment costs </v>
      </c>
      <c r="D41" s="393" t="s">
        <v>42</v>
      </c>
      <c r="E41" s="395">
        <f t="shared" ca="1" si="6"/>
        <v>0</v>
      </c>
      <c r="F41" s="399">
        <f ca="1">Costs!E45</f>
        <v>0</v>
      </c>
      <c r="G41" s="397" t="e">
        <f t="shared" ca="1" si="0"/>
        <v>#DIV/0!</v>
      </c>
      <c r="H41" s="209">
        <v>0.2</v>
      </c>
      <c r="I41" s="265">
        <f t="shared" ca="1" si="1"/>
        <v>0</v>
      </c>
      <c r="J41" s="392"/>
      <c r="K41" s="392"/>
      <c r="L41" s="384" t="s">
        <v>332</v>
      </c>
      <c r="M41" s="395" t="e">
        <f t="shared" ca="1" si="2"/>
        <v>#DIV/0!</v>
      </c>
      <c r="N41" s="395" t="e">
        <f t="shared" ca="1" si="3"/>
        <v>#DIV/0!</v>
      </c>
      <c r="O41" s="211"/>
      <c r="P41" s="266" t="s">
        <v>341</v>
      </c>
      <c r="Q41" s="266" t="s">
        <v>342</v>
      </c>
      <c r="R41" s="136"/>
      <c r="V41" s="403">
        <f t="shared" ca="1" si="4"/>
        <v>0</v>
      </c>
      <c r="W41" s="403">
        <f t="shared" ca="1" si="5"/>
        <v>0</v>
      </c>
      <c r="X41" s="139"/>
    </row>
    <row r="42" spans="2:24">
      <c r="B42" s="136"/>
      <c r="C42" s="264" t="str">
        <f>"Additional costs "&amp;intervencao1</f>
        <v>Additional costs Rosuvastatin 5mg</v>
      </c>
      <c r="D42" s="393" t="s">
        <v>43</v>
      </c>
      <c r="E42" s="395">
        <f t="shared" ca="1" si="6"/>
        <v>0</v>
      </c>
      <c r="F42" s="399">
        <f ca="1">Costs!F32</f>
        <v>0</v>
      </c>
      <c r="G42" s="397" t="e">
        <f t="shared" ca="1" si="0"/>
        <v>#DIV/0!</v>
      </c>
      <c r="H42" s="209">
        <v>0.2</v>
      </c>
      <c r="I42" s="265">
        <f t="shared" ca="1" si="1"/>
        <v>0</v>
      </c>
      <c r="J42" s="392"/>
      <c r="K42" s="392"/>
      <c r="L42" s="384" t="s">
        <v>332</v>
      </c>
      <c r="M42" s="395" t="e">
        <f t="shared" ca="1" si="2"/>
        <v>#DIV/0!</v>
      </c>
      <c r="N42" s="395" t="e">
        <f t="shared" ca="1" si="3"/>
        <v>#DIV/0!</v>
      </c>
      <c r="O42" s="211"/>
      <c r="P42" s="266" t="s">
        <v>341</v>
      </c>
      <c r="Q42" s="266" t="s">
        <v>342</v>
      </c>
      <c r="R42" s="136"/>
      <c r="V42" s="403">
        <f t="shared" ca="1" si="4"/>
        <v>0</v>
      </c>
      <c r="W42" s="403">
        <f t="shared" ca="1" si="5"/>
        <v>0</v>
      </c>
      <c r="X42" s="139"/>
    </row>
    <row r="43" spans="2:24">
      <c r="B43" s="136"/>
      <c r="C43" s="264" t="str">
        <f>"Additional costs "&amp;intervencao2</f>
        <v>Additional costs Rosuvastatin 10mg</v>
      </c>
      <c r="D43" s="393" t="s">
        <v>44</v>
      </c>
      <c r="E43" s="395">
        <f t="shared" ca="1" si="6"/>
        <v>0</v>
      </c>
      <c r="F43" s="399">
        <f ca="1">Costs!F33</f>
        <v>0</v>
      </c>
      <c r="G43" s="397" t="e">
        <f t="shared" ca="1" si="0"/>
        <v>#DIV/0!</v>
      </c>
      <c r="H43" s="209">
        <v>0.2</v>
      </c>
      <c r="I43" s="265">
        <f t="shared" ca="1" si="1"/>
        <v>0</v>
      </c>
      <c r="J43" s="392"/>
      <c r="K43" s="392"/>
      <c r="L43" s="384" t="s">
        <v>332</v>
      </c>
      <c r="M43" s="395" t="e">
        <f t="shared" ca="1" si="2"/>
        <v>#DIV/0!</v>
      </c>
      <c r="N43" s="395" t="e">
        <f t="shared" ca="1" si="3"/>
        <v>#DIV/0!</v>
      </c>
      <c r="O43" s="211"/>
      <c r="P43" s="266" t="s">
        <v>341</v>
      </c>
      <c r="Q43" s="266" t="s">
        <v>342</v>
      </c>
      <c r="R43" s="136"/>
      <c r="V43" s="403">
        <f t="shared" ca="1" si="4"/>
        <v>0</v>
      </c>
      <c r="W43" s="403">
        <f t="shared" ca="1" si="5"/>
        <v>0</v>
      </c>
      <c r="X43" s="139"/>
    </row>
    <row r="44" spans="2:24">
      <c r="B44" s="136"/>
      <c r="C44" s="264" t="str">
        <f>"Additional costs "&amp;intervencao3</f>
        <v>Additional costs Rosuvastatin 20mg</v>
      </c>
      <c r="D44" s="393" t="s">
        <v>45</v>
      </c>
      <c r="E44" s="395">
        <f t="shared" ca="1" si="6"/>
        <v>0</v>
      </c>
      <c r="F44" s="399">
        <f ca="1">Costs!F34</f>
        <v>0</v>
      </c>
      <c r="G44" s="397" t="e">
        <f t="shared" ca="1" si="0"/>
        <v>#DIV/0!</v>
      </c>
      <c r="H44" s="209">
        <v>0.2</v>
      </c>
      <c r="I44" s="265">
        <f t="shared" ca="1" si="1"/>
        <v>0</v>
      </c>
      <c r="J44" s="392"/>
      <c r="K44" s="392"/>
      <c r="L44" s="384" t="s">
        <v>332</v>
      </c>
      <c r="M44" s="395" t="e">
        <f t="shared" ca="1" si="2"/>
        <v>#DIV/0!</v>
      </c>
      <c r="N44" s="395" t="e">
        <f t="shared" ca="1" si="3"/>
        <v>#DIV/0!</v>
      </c>
      <c r="O44" s="211"/>
      <c r="P44" s="266" t="s">
        <v>341</v>
      </c>
      <c r="Q44" s="266" t="s">
        <v>342</v>
      </c>
      <c r="R44" s="136"/>
      <c r="V44" s="403">
        <f t="shared" ca="1" si="4"/>
        <v>0</v>
      </c>
      <c r="W44" s="403">
        <f t="shared" ca="1" si="5"/>
        <v>0</v>
      </c>
      <c r="X44" s="139"/>
    </row>
    <row r="45" spans="2:24">
      <c r="B45" s="136"/>
      <c r="C45" s="264" t="str">
        <f>"Additional costs "&amp;intervencao4</f>
        <v>Additional costs Rosuvastatin 40mg</v>
      </c>
      <c r="D45" s="393" t="s">
        <v>46</v>
      </c>
      <c r="E45" s="395">
        <f t="shared" ca="1" si="6"/>
        <v>0</v>
      </c>
      <c r="F45" s="399">
        <f ca="1">Costs!F35</f>
        <v>0</v>
      </c>
      <c r="G45" s="397" t="e">
        <f t="shared" ca="1" si="0"/>
        <v>#DIV/0!</v>
      </c>
      <c r="H45" s="209">
        <v>0.2</v>
      </c>
      <c r="I45" s="265">
        <f t="shared" ca="1" si="1"/>
        <v>0</v>
      </c>
      <c r="J45" s="392"/>
      <c r="K45" s="392"/>
      <c r="L45" s="384" t="s">
        <v>332</v>
      </c>
      <c r="M45" s="395" t="e">
        <f t="shared" ca="1" si="2"/>
        <v>#DIV/0!</v>
      </c>
      <c r="N45" s="395" t="e">
        <f t="shared" ca="1" si="3"/>
        <v>#DIV/0!</v>
      </c>
      <c r="O45" s="211"/>
      <c r="P45" s="266" t="s">
        <v>341</v>
      </c>
      <c r="Q45" s="266" t="s">
        <v>342</v>
      </c>
      <c r="R45" s="136"/>
      <c r="V45" s="403">
        <f t="shared" ca="1" si="4"/>
        <v>0</v>
      </c>
      <c r="W45" s="403">
        <f t="shared" ca="1" si="5"/>
        <v>0</v>
      </c>
      <c r="X45" s="139"/>
    </row>
    <row r="46" spans="2:24">
      <c r="B46" s="136"/>
      <c r="C46" s="264" t="str">
        <f>"Additional costs "&amp;comparador1</f>
        <v>Additional costs Atorvastatin 10mg</v>
      </c>
      <c r="D46" s="393" t="s">
        <v>47</v>
      </c>
      <c r="E46" s="395">
        <f t="shared" ca="1" si="6"/>
        <v>0</v>
      </c>
      <c r="F46" s="399">
        <f ca="1">Costs!F36</f>
        <v>0</v>
      </c>
      <c r="G46" s="397" t="e">
        <f t="shared" ca="1" si="0"/>
        <v>#DIV/0!</v>
      </c>
      <c r="H46" s="209">
        <v>0.2</v>
      </c>
      <c r="I46" s="265">
        <f t="shared" ca="1" si="1"/>
        <v>0</v>
      </c>
      <c r="J46" s="392"/>
      <c r="K46" s="392"/>
      <c r="L46" s="384" t="s">
        <v>332</v>
      </c>
      <c r="M46" s="395" t="e">
        <f t="shared" ca="1" si="2"/>
        <v>#DIV/0!</v>
      </c>
      <c r="N46" s="395" t="e">
        <f t="shared" ca="1" si="3"/>
        <v>#DIV/0!</v>
      </c>
      <c r="O46" s="211"/>
      <c r="P46" s="266" t="s">
        <v>341</v>
      </c>
      <c r="Q46" s="266" t="s">
        <v>342</v>
      </c>
      <c r="R46" s="136"/>
      <c r="V46" s="403">
        <f t="shared" ca="1" si="4"/>
        <v>0</v>
      </c>
      <c r="W46" s="403">
        <f t="shared" ca="1" si="5"/>
        <v>0</v>
      </c>
      <c r="X46" s="139"/>
    </row>
    <row r="47" spans="2:24">
      <c r="B47" s="136"/>
      <c r="C47" s="264" t="str">
        <f>"Additional costs "&amp;comparador2</f>
        <v>Additional costs Atorvastatin 20mg</v>
      </c>
      <c r="D47" s="393" t="s">
        <v>48</v>
      </c>
      <c r="E47" s="395">
        <f t="shared" ca="1" si="6"/>
        <v>0</v>
      </c>
      <c r="F47" s="399">
        <f ca="1">Costs!F37</f>
        <v>0</v>
      </c>
      <c r="G47" s="397" t="e">
        <f t="shared" ca="1" si="0"/>
        <v>#DIV/0!</v>
      </c>
      <c r="H47" s="209">
        <v>0.2</v>
      </c>
      <c r="I47" s="265">
        <f t="shared" ca="1" si="1"/>
        <v>0</v>
      </c>
      <c r="J47" s="392"/>
      <c r="K47" s="392"/>
      <c r="L47" s="384" t="s">
        <v>332</v>
      </c>
      <c r="M47" s="395" t="e">
        <f t="shared" ca="1" si="2"/>
        <v>#DIV/0!</v>
      </c>
      <c r="N47" s="395" t="e">
        <f t="shared" ca="1" si="3"/>
        <v>#DIV/0!</v>
      </c>
      <c r="O47" s="211"/>
      <c r="P47" s="266" t="s">
        <v>341</v>
      </c>
      <c r="Q47" s="266" t="s">
        <v>342</v>
      </c>
      <c r="R47" s="136"/>
      <c r="V47" s="403">
        <f t="shared" ca="1" si="4"/>
        <v>0</v>
      </c>
      <c r="W47" s="403">
        <f t="shared" ca="1" si="5"/>
        <v>0</v>
      </c>
      <c r="X47" s="139"/>
    </row>
    <row r="48" spans="2:24">
      <c r="B48" s="136"/>
      <c r="C48" s="264" t="str">
        <f>"Additional costs "&amp;comparador3</f>
        <v>Additional costs Atorvastatin 40mg</v>
      </c>
      <c r="D48" s="393" t="s">
        <v>49</v>
      </c>
      <c r="E48" s="395">
        <f t="shared" ca="1" si="6"/>
        <v>0</v>
      </c>
      <c r="F48" s="399">
        <f ca="1">Costs!F38</f>
        <v>0</v>
      </c>
      <c r="G48" s="397" t="e">
        <f t="shared" ca="1" si="0"/>
        <v>#DIV/0!</v>
      </c>
      <c r="H48" s="209">
        <v>0.2</v>
      </c>
      <c r="I48" s="265">
        <f t="shared" ca="1" si="1"/>
        <v>0</v>
      </c>
      <c r="J48" s="392"/>
      <c r="K48" s="392"/>
      <c r="L48" s="384" t="s">
        <v>332</v>
      </c>
      <c r="M48" s="395" t="e">
        <f t="shared" ca="1" si="2"/>
        <v>#DIV/0!</v>
      </c>
      <c r="N48" s="395" t="e">
        <f t="shared" ca="1" si="3"/>
        <v>#DIV/0!</v>
      </c>
      <c r="O48" s="211"/>
      <c r="P48" s="266" t="s">
        <v>341</v>
      </c>
      <c r="Q48" s="266" t="s">
        <v>342</v>
      </c>
      <c r="R48" s="136"/>
      <c r="V48" s="403">
        <f t="shared" ca="1" si="4"/>
        <v>0</v>
      </c>
      <c r="W48" s="403">
        <f t="shared" ca="1" si="5"/>
        <v>0</v>
      </c>
      <c r="X48" s="139"/>
    </row>
    <row r="49" spans="3:24">
      <c r="C49" s="264" t="str">
        <f>"Additional costs "&amp;comparador4</f>
        <v>Additional costs Atorvastatin 80mg</v>
      </c>
      <c r="D49" s="393" t="s">
        <v>50</v>
      </c>
      <c r="E49" s="395">
        <f t="shared" ca="1" si="6"/>
        <v>0</v>
      </c>
      <c r="F49" s="399">
        <f ca="1">Costs!F39</f>
        <v>0</v>
      </c>
      <c r="G49" s="397" t="e">
        <f t="shared" ca="1" si="0"/>
        <v>#DIV/0!</v>
      </c>
      <c r="H49" s="209">
        <v>0.2</v>
      </c>
      <c r="I49" s="265">
        <f t="shared" ca="1" si="1"/>
        <v>0</v>
      </c>
      <c r="J49" s="392"/>
      <c r="K49" s="392"/>
      <c r="L49" s="384" t="s">
        <v>332</v>
      </c>
      <c r="M49" s="395" t="e">
        <f t="shared" ca="1" si="2"/>
        <v>#DIV/0!</v>
      </c>
      <c r="N49" s="395" t="e">
        <f t="shared" ca="1" si="3"/>
        <v>#DIV/0!</v>
      </c>
      <c r="O49" s="211"/>
      <c r="P49" s="266" t="s">
        <v>341</v>
      </c>
      <c r="Q49" s="266" t="s">
        <v>342</v>
      </c>
      <c r="V49" s="403">
        <f t="shared" ca="1" si="4"/>
        <v>0</v>
      </c>
      <c r="W49" s="403">
        <f t="shared" ca="1" si="5"/>
        <v>0</v>
      </c>
      <c r="X49" s="139"/>
    </row>
    <row r="50" spans="3:24">
      <c r="C50" s="264" t="str">
        <f>"Additional costs "&amp;comparador5</f>
        <v>Additional costs Pravastatin</v>
      </c>
      <c r="D50" s="393" t="s">
        <v>51</v>
      </c>
      <c r="E50" s="395">
        <f t="shared" ca="1" si="6"/>
        <v>0</v>
      </c>
      <c r="F50" s="399">
        <f ca="1">Costs!F40</f>
        <v>0</v>
      </c>
      <c r="G50" s="397" t="e">
        <f t="shared" ca="1" si="0"/>
        <v>#DIV/0!</v>
      </c>
      <c r="H50" s="209">
        <v>0.2</v>
      </c>
      <c r="I50" s="265">
        <f t="shared" ca="1" si="1"/>
        <v>0</v>
      </c>
      <c r="J50" s="392"/>
      <c r="K50" s="392"/>
      <c r="L50" s="384" t="s">
        <v>332</v>
      </c>
      <c r="M50" s="395" t="e">
        <f t="shared" ca="1" si="2"/>
        <v>#DIV/0!</v>
      </c>
      <c r="N50" s="395" t="e">
        <f t="shared" ca="1" si="3"/>
        <v>#DIV/0!</v>
      </c>
      <c r="O50" s="211"/>
      <c r="P50" s="266" t="s">
        <v>341</v>
      </c>
      <c r="Q50" s="266" t="s">
        <v>342</v>
      </c>
      <c r="V50" s="403">
        <f t="shared" ca="1" si="4"/>
        <v>0</v>
      </c>
      <c r="W50" s="403">
        <f t="shared" ca="1" si="5"/>
        <v>0</v>
      </c>
      <c r="X50" s="139"/>
    </row>
    <row r="51" spans="3:24">
      <c r="C51" s="264" t="str">
        <f>"Additional costs "&amp;comparador6</f>
        <v>Additional costs Simvastatin 5mg</v>
      </c>
      <c r="D51" s="393" t="s">
        <v>52</v>
      </c>
      <c r="E51" s="395">
        <f t="shared" ca="1" si="6"/>
        <v>0</v>
      </c>
      <c r="F51" s="399">
        <f ca="1">Costs!F41</f>
        <v>0</v>
      </c>
      <c r="G51" s="397" t="e">
        <f t="shared" ca="1" si="0"/>
        <v>#DIV/0!</v>
      </c>
      <c r="H51" s="209">
        <v>0.2</v>
      </c>
      <c r="I51" s="265">
        <f t="shared" ca="1" si="1"/>
        <v>0</v>
      </c>
      <c r="J51" s="392"/>
      <c r="K51" s="392"/>
      <c r="L51" s="384" t="s">
        <v>332</v>
      </c>
      <c r="M51" s="395" t="e">
        <f t="shared" ca="1" si="2"/>
        <v>#DIV/0!</v>
      </c>
      <c r="N51" s="395" t="e">
        <f t="shared" ca="1" si="3"/>
        <v>#DIV/0!</v>
      </c>
      <c r="O51" s="211"/>
      <c r="P51" s="266" t="s">
        <v>341</v>
      </c>
      <c r="Q51" s="266" t="s">
        <v>342</v>
      </c>
      <c r="V51" s="403">
        <f t="shared" ca="1" si="4"/>
        <v>0</v>
      </c>
      <c r="W51" s="403">
        <f t="shared" ca="1" si="5"/>
        <v>0</v>
      </c>
      <c r="X51" s="139"/>
    </row>
    <row r="52" spans="3:24">
      <c r="C52" s="264" t="str">
        <f>"Additional costs "&amp;comparador7</f>
        <v>Additional costs Simvastatin 10mg</v>
      </c>
      <c r="D52" s="393" t="s">
        <v>53</v>
      </c>
      <c r="E52" s="395">
        <f t="shared" ca="1" si="6"/>
        <v>0</v>
      </c>
      <c r="F52" s="399">
        <f ca="1">Costs!F42</f>
        <v>0</v>
      </c>
      <c r="G52" s="397" t="e">
        <f t="shared" ca="1" si="0"/>
        <v>#DIV/0!</v>
      </c>
      <c r="H52" s="209">
        <v>0.2</v>
      </c>
      <c r="I52" s="265">
        <f t="shared" ca="1" si="1"/>
        <v>0</v>
      </c>
      <c r="J52" s="392"/>
      <c r="K52" s="392"/>
      <c r="L52" s="384" t="s">
        <v>332</v>
      </c>
      <c r="M52" s="395" t="e">
        <f t="shared" ca="1" si="2"/>
        <v>#DIV/0!</v>
      </c>
      <c r="N52" s="395" t="e">
        <f t="shared" ca="1" si="3"/>
        <v>#DIV/0!</v>
      </c>
      <c r="O52" s="211"/>
      <c r="P52" s="266" t="s">
        <v>341</v>
      </c>
      <c r="Q52" s="266" t="s">
        <v>342</v>
      </c>
      <c r="V52" s="403">
        <f t="shared" ca="1" si="4"/>
        <v>0</v>
      </c>
      <c r="W52" s="403">
        <f t="shared" ca="1" si="5"/>
        <v>0</v>
      </c>
      <c r="X52" s="139"/>
    </row>
    <row r="53" spans="3:24">
      <c r="C53" s="264" t="str">
        <f>"Additional costs "&amp;comparador8</f>
        <v>Additional costs Simvastatin 20mg</v>
      </c>
      <c r="D53" s="393" t="s">
        <v>54</v>
      </c>
      <c r="E53" s="395">
        <f t="shared" ca="1" si="6"/>
        <v>0</v>
      </c>
      <c r="F53" s="399">
        <f ca="1">Costs!F43</f>
        <v>0</v>
      </c>
      <c r="G53" s="397" t="e">
        <f t="shared" ca="1" si="0"/>
        <v>#DIV/0!</v>
      </c>
      <c r="H53" s="209">
        <v>0.2</v>
      </c>
      <c r="I53" s="265">
        <f t="shared" ca="1" si="1"/>
        <v>0</v>
      </c>
      <c r="J53" s="392"/>
      <c r="K53" s="392"/>
      <c r="L53" s="384" t="s">
        <v>332</v>
      </c>
      <c r="M53" s="395" t="e">
        <f t="shared" ca="1" si="2"/>
        <v>#DIV/0!</v>
      </c>
      <c r="N53" s="395" t="e">
        <f t="shared" ca="1" si="3"/>
        <v>#DIV/0!</v>
      </c>
      <c r="O53" s="211"/>
      <c r="P53" s="266" t="s">
        <v>341</v>
      </c>
      <c r="Q53" s="266" t="s">
        <v>342</v>
      </c>
      <c r="V53" s="403">
        <f t="shared" ca="1" si="4"/>
        <v>0</v>
      </c>
      <c r="W53" s="403">
        <f t="shared" ca="1" si="5"/>
        <v>0</v>
      </c>
      <c r="X53" s="139"/>
    </row>
    <row r="54" spans="3:24">
      <c r="C54" s="264" t="str">
        <f>"Additional costs "&amp;comparador9</f>
        <v>Additional costs Simvastatin 40mg</v>
      </c>
      <c r="D54" s="393" t="s">
        <v>55</v>
      </c>
      <c r="E54" s="395">
        <f t="shared" ca="1" si="6"/>
        <v>0</v>
      </c>
      <c r="F54" s="399">
        <f ca="1">Costs!F44</f>
        <v>0</v>
      </c>
      <c r="G54" s="397" t="e">
        <f t="shared" ca="1" si="0"/>
        <v>#DIV/0!</v>
      </c>
      <c r="H54" s="209">
        <v>0.2</v>
      </c>
      <c r="I54" s="265">
        <f t="shared" ca="1" si="1"/>
        <v>0</v>
      </c>
      <c r="J54" s="392"/>
      <c r="K54" s="392"/>
      <c r="L54" s="384" t="s">
        <v>332</v>
      </c>
      <c r="M54" s="395" t="e">
        <f t="shared" ca="1" si="2"/>
        <v>#DIV/0!</v>
      </c>
      <c r="N54" s="395" t="e">
        <f t="shared" ca="1" si="3"/>
        <v>#DIV/0!</v>
      </c>
      <c r="O54" s="211"/>
      <c r="P54" s="266" t="s">
        <v>341</v>
      </c>
      <c r="Q54" s="266" t="s">
        <v>342</v>
      </c>
      <c r="V54" s="403">
        <f t="shared" ca="1" si="4"/>
        <v>0</v>
      </c>
      <c r="W54" s="403">
        <f t="shared" ca="1" si="5"/>
        <v>0</v>
      </c>
      <c r="X54" s="139"/>
    </row>
    <row r="55" spans="3:24">
      <c r="C55" s="264" t="str">
        <f>"Additional costs "&amp;comparador10</f>
        <v xml:space="preserve">Additional costs </v>
      </c>
      <c r="D55" s="393" t="s">
        <v>56</v>
      </c>
      <c r="E55" s="395">
        <f t="shared" ca="1" si="6"/>
        <v>0</v>
      </c>
      <c r="F55" s="399">
        <f ca="1">Costs!F45</f>
        <v>0</v>
      </c>
      <c r="G55" s="397" t="e">
        <f t="shared" ca="1" si="0"/>
        <v>#DIV/0!</v>
      </c>
      <c r="H55" s="209">
        <v>0.2</v>
      </c>
      <c r="I55" s="265">
        <f t="shared" ca="1" si="1"/>
        <v>0</v>
      </c>
      <c r="J55" s="392"/>
      <c r="K55" s="392"/>
      <c r="L55" s="384" t="s">
        <v>332</v>
      </c>
      <c r="M55" s="395" t="e">
        <f t="shared" ca="1" si="2"/>
        <v>#DIV/0!</v>
      </c>
      <c r="N55" s="395" t="e">
        <f t="shared" ca="1" si="3"/>
        <v>#DIV/0!</v>
      </c>
      <c r="O55" s="211"/>
      <c r="P55" s="266" t="s">
        <v>341</v>
      </c>
      <c r="Q55" s="266" t="s">
        <v>342</v>
      </c>
      <c r="V55" s="403">
        <f t="shared" ca="1" si="4"/>
        <v>0</v>
      </c>
      <c r="W55" s="403">
        <f t="shared" ca="1" si="5"/>
        <v>0</v>
      </c>
      <c r="X55" s="139"/>
    </row>
    <row r="56" spans="3:24">
      <c r="C56" s="268" t="str">
        <f>Costs!G31</f>
        <v>Initial general costs</v>
      </c>
      <c r="D56" s="400" t="s">
        <v>57</v>
      </c>
      <c r="E56" s="395">
        <f t="shared" si="6"/>
        <v>0</v>
      </c>
      <c r="F56" s="399">
        <f>Costs!G32</f>
        <v>0</v>
      </c>
      <c r="G56" s="397" t="e">
        <f t="shared" ca="1" si="0"/>
        <v>#DIV/0!</v>
      </c>
      <c r="H56" s="209">
        <v>0.2</v>
      </c>
      <c r="I56" s="265">
        <f t="shared" si="1"/>
        <v>0</v>
      </c>
      <c r="J56" s="392"/>
      <c r="K56" s="392"/>
      <c r="L56" s="384" t="s">
        <v>332</v>
      </c>
      <c r="M56" s="395" t="e">
        <f t="shared" si="2"/>
        <v>#DIV/0!</v>
      </c>
      <c r="N56" s="395" t="e">
        <f t="shared" si="3"/>
        <v>#DIV/0!</v>
      </c>
      <c r="O56" s="211"/>
      <c r="P56" s="266" t="s">
        <v>341</v>
      </c>
      <c r="Q56" s="266" t="s">
        <v>342</v>
      </c>
      <c r="V56" s="403">
        <f t="shared" si="4"/>
        <v>0</v>
      </c>
      <c r="W56" s="403">
        <f t="shared" si="5"/>
        <v>0</v>
      </c>
      <c r="X56" s="139"/>
    </row>
    <row r="57" spans="3:24">
      <c r="C57" s="268" t="str">
        <f>Costs!H31</f>
        <v>Monthly costs during treatment</v>
      </c>
      <c r="D57" s="400" t="s">
        <v>58</v>
      </c>
      <c r="E57" s="395">
        <f t="shared" si="6"/>
        <v>0</v>
      </c>
      <c r="F57" s="399">
        <f>Costs!H32</f>
        <v>0</v>
      </c>
      <c r="G57" s="397" t="e">
        <f t="shared" ca="1" si="0"/>
        <v>#DIV/0!</v>
      </c>
      <c r="H57" s="209">
        <v>0.2</v>
      </c>
      <c r="I57" s="265">
        <f t="shared" si="1"/>
        <v>0</v>
      </c>
      <c r="J57" s="392"/>
      <c r="K57" s="392"/>
      <c r="L57" s="384" t="s">
        <v>332</v>
      </c>
      <c r="M57" s="395" t="e">
        <f t="shared" si="2"/>
        <v>#DIV/0!</v>
      </c>
      <c r="N57" s="395" t="e">
        <f t="shared" si="3"/>
        <v>#DIV/0!</v>
      </c>
      <c r="O57" s="211"/>
      <c r="P57" s="266" t="s">
        <v>341</v>
      </c>
      <c r="Q57" s="266" t="s">
        <v>342</v>
      </c>
      <c r="V57" s="403">
        <f t="shared" si="4"/>
        <v>0</v>
      </c>
      <c r="W57" s="403">
        <f t="shared" si="5"/>
        <v>0</v>
      </c>
      <c r="X57" s="139"/>
    </row>
    <row r="58" spans="3:24">
      <c r="C58" s="268" t="str">
        <f>Costs!I31</f>
        <v>Monthly costs after treatment</v>
      </c>
      <c r="D58" s="400" t="s">
        <v>59</v>
      </c>
      <c r="E58" s="395">
        <f t="shared" si="6"/>
        <v>0</v>
      </c>
      <c r="F58" s="399">
        <f>Costs!I32</f>
        <v>0</v>
      </c>
      <c r="G58" s="397" t="e">
        <f t="shared" ca="1" si="0"/>
        <v>#DIV/0!</v>
      </c>
      <c r="H58" s="209">
        <v>0.2</v>
      </c>
      <c r="I58" s="265">
        <f t="shared" si="1"/>
        <v>0</v>
      </c>
      <c r="J58" s="392"/>
      <c r="K58" s="392"/>
      <c r="L58" s="384" t="s">
        <v>332</v>
      </c>
      <c r="M58" s="395" t="e">
        <f t="shared" si="2"/>
        <v>#DIV/0!</v>
      </c>
      <c r="N58" s="395" t="e">
        <f t="shared" si="3"/>
        <v>#DIV/0!</v>
      </c>
      <c r="O58" s="211"/>
      <c r="P58" s="266" t="s">
        <v>341</v>
      </c>
      <c r="Q58" s="266" t="s">
        <v>342</v>
      </c>
      <c r="V58" s="403">
        <f t="shared" si="4"/>
        <v>0</v>
      </c>
      <c r="W58" s="403">
        <f t="shared" si="5"/>
        <v>0</v>
      </c>
      <c r="X58" s="139"/>
    </row>
    <row r="69" spans="2:24" s="3" customFormat="1" ht="13.95" customHeight="1">
      <c r="B69" s="7"/>
      <c r="C69" s="7"/>
      <c r="D69" s="7"/>
      <c r="E69" s="7"/>
      <c r="F69" s="7"/>
      <c r="G69" s="7"/>
      <c r="H69" s="7"/>
      <c r="I69" s="7"/>
      <c r="J69" s="7"/>
      <c r="K69" s="7"/>
      <c r="L69" s="142"/>
      <c r="M69" s="142"/>
      <c r="N69" s="9"/>
      <c r="O69" s="9"/>
      <c r="P69" s="9"/>
      <c r="Q69" s="9"/>
      <c r="R69" s="9"/>
      <c r="S69" s="9"/>
      <c r="T69" s="9"/>
      <c r="U69" s="4"/>
      <c r="V69" s="4"/>
      <c r="W69" s="4"/>
      <c r="X69" s="9"/>
    </row>
    <row r="70" spans="2:24" s="3" customFormat="1">
      <c r="B70" s="65"/>
      <c r="C70" s="65"/>
      <c r="D70" s="65"/>
      <c r="E70" s="65"/>
      <c r="F70" s="65"/>
      <c r="G70" s="65"/>
      <c r="H70" s="65"/>
      <c r="I70" s="65"/>
      <c r="J70" s="65"/>
      <c r="K70" s="65"/>
      <c r="L70" s="65"/>
      <c r="M70" s="65"/>
      <c r="U70" s="4"/>
      <c r="V70" s="4"/>
      <c r="W70" s="4"/>
    </row>
    <row r="71" spans="2:24" s="3" customFormat="1">
      <c r="B71" s="406" t="s">
        <v>77</v>
      </c>
      <c r="C71" s="406"/>
      <c r="D71" s="406"/>
      <c r="E71" s="406"/>
      <c r="F71" s="406"/>
      <c r="G71" s="406"/>
      <c r="H71" s="406"/>
      <c r="I71" s="406"/>
      <c r="J71" s="406"/>
      <c r="K71" s="406"/>
      <c r="L71" s="406"/>
      <c r="M71" s="406"/>
      <c r="U71" s="4"/>
      <c r="V71" s="4"/>
      <c r="W71" s="4"/>
    </row>
    <row r="72" spans="2:24" s="3" customFormat="1">
      <c r="B72" s="406"/>
      <c r="C72" s="406"/>
      <c r="D72" s="406"/>
      <c r="E72" s="406"/>
      <c r="F72" s="406"/>
      <c r="G72" s="406"/>
      <c r="H72" s="406"/>
      <c r="I72" s="406"/>
      <c r="J72" s="406"/>
      <c r="K72" s="406"/>
      <c r="L72" s="406"/>
      <c r="M72" s="406"/>
      <c r="U72" s="4"/>
      <c r="V72" s="4"/>
      <c r="W72" s="4"/>
    </row>
    <row r="73" spans="2:24" s="1" customFormat="1" ht="85.95" customHeight="1">
      <c r="B73" s="405" t="e" vm="1">
        <v>#VALUE!</v>
      </c>
      <c r="C73" s="405"/>
      <c r="D73" s="405"/>
      <c r="E73" s="405"/>
      <c r="F73" s="405"/>
      <c r="G73" s="405"/>
      <c r="H73" s="405"/>
      <c r="I73" s="405"/>
      <c r="J73" s="405"/>
      <c r="K73" s="405"/>
      <c r="L73" s="405"/>
      <c r="M73" s="405"/>
      <c r="U73" s="404"/>
      <c r="V73" s="404"/>
      <c r="W73" s="404"/>
    </row>
  </sheetData>
  <sheetProtection algorithmName="SHA-512" hashValue="Dsbc5AYknan4+Ae5f6EJrpj9mEFHaXB6CdEBsfHFbnysP0pI2qMWRkpPX1mjO37T7ofTBanBTR7g2KzEl0sqzQ==" saltValue="BVNKHDCLp1KMUu647Msmpw==" spinCount="100000" sheet="1"/>
  <mergeCells count="2">
    <mergeCell ref="B71:M72"/>
    <mergeCell ref="B73:M73"/>
  </mergeCells>
  <phoneticPr fontId="2" type="noConversion"/>
  <dataValidations count="3">
    <dataValidation type="list" allowBlank="1" showInputMessage="1" showErrorMessage="1" sqref="L5:L58" xr:uid="{F2BAF586-5945-4089-A5EF-5C6076AD30C7}">
      <formula1>"Beta, Gamma,Normal"</formula1>
    </dataValidation>
    <dataValidation type="list" allowBlank="1" showInputMessage="1" showErrorMessage="1" sqref="P5:P58" xr:uid="{B9042FCA-4806-4863-8F3D-04F5390D0550}">
      <formula1>"point estimate,lower limit,upper limit"</formula1>
    </dataValidation>
    <dataValidation type="list" allowBlank="1" showInputMessage="1" showErrorMessage="1" sqref="Q5:Q58" xr:uid="{C93D2978-1137-40BC-9B78-1D518B444130}">
      <formula1>"yes,no"</formula1>
    </dataValidation>
  </dataValidation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7E0-3ABF-4847-9CBD-924E5A2BC87D}">
  <sheetPr codeName="Planilha18">
    <tabColor rgb="FF0EB1BA"/>
  </sheetPr>
  <dimension ref="A1:S141"/>
  <sheetViews>
    <sheetView showGridLines="0" showRowColHeaders="0" topLeftCell="B99" zoomScaleNormal="100" workbookViewId="0">
      <selection activeCell="H69" sqref="H69:K69"/>
    </sheetView>
  </sheetViews>
  <sheetFormatPr defaultColWidth="8.77734375" defaultRowHeight="14.4"/>
  <cols>
    <col min="1" max="1" width="8.77734375" style="118"/>
    <col min="2" max="2" width="41.77734375" style="1" customWidth="1"/>
    <col min="3" max="5" width="19.44140625" style="1" customWidth="1"/>
    <col min="6" max="7" width="8.77734375" style="1"/>
    <col min="8" max="8" width="58.77734375" style="1" customWidth="1"/>
    <col min="9" max="11" width="19.44140625" style="1" customWidth="1"/>
    <col min="12" max="16384" width="8.77734375" style="1"/>
  </cols>
  <sheetData>
    <row r="1" spans="1:12" s="33" customFormat="1" ht="33.6">
      <c r="A1" s="116"/>
      <c r="B1" s="34" t="str">
        <f>Introduction!$B$1</f>
        <v>Budget impact analysis of treatments for Patients at high and very high cardiovascular risk</v>
      </c>
      <c r="C1" s="34"/>
      <c r="D1" s="35"/>
      <c r="E1" s="36"/>
      <c r="F1" s="36"/>
      <c r="G1" s="36"/>
      <c r="H1" s="36"/>
      <c r="I1" s="36"/>
      <c r="J1" s="36"/>
      <c r="K1" s="36"/>
      <c r="L1" s="36"/>
    </row>
    <row r="2" spans="1:12" s="33" customFormat="1" ht="18">
      <c r="A2" s="116"/>
      <c r="B2" s="37"/>
      <c r="C2" s="37"/>
      <c r="D2" s="38"/>
      <c r="E2" s="39"/>
      <c r="F2" s="39"/>
      <c r="G2" s="39"/>
      <c r="H2" s="39"/>
      <c r="I2" s="39"/>
      <c r="J2" s="39"/>
      <c r="K2" s="39"/>
      <c r="L2" s="39"/>
    </row>
    <row r="3" spans="1:12" s="45" customFormat="1" ht="2.25" customHeight="1">
      <c r="A3" s="117"/>
      <c r="D3" s="46"/>
    </row>
    <row r="4" spans="1:12">
      <c r="B4" s="52" t="s">
        <v>331</v>
      </c>
      <c r="C4" s="52" t="s">
        <v>321</v>
      </c>
      <c r="D4" s="52" t="s">
        <v>322</v>
      </c>
      <c r="E4" s="8"/>
      <c r="F4" s="8"/>
      <c r="G4" s="118"/>
      <c r="H4" s="52" t="s">
        <v>330</v>
      </c>
      <c r="I4" s="52" t="s">
        <v>321</v>
      </c>
      <c r="J4" s="52" t="s">
        <v>322</v>
      </c>
      <c r="K4" s="8"/>
      <c r="L4" s="8"/>
    </row>
    <row r="5" spans="1:12">
      <c r="A5" s="118">
        <v>1</v>
      </c>
      <c r="B5" s="54">
        <f>Parameters!C5</f>
        <v>0</v>
      </c>
      <c r="C5" s="317">
        <v>511004574.00527775</v>
      </c>
      <c r="D5" s="317">
        <v>511004574.00527775</v>
      </c>
      <c r="E5" s="8"/>
      <c r="F5" s="8"/>
      <c r="G5" s="118">
        <v>1</v>
      </c>
      <c r="H5" s="54">
        <f>Parameters!C5</f>
        <v>0</v>
      </c>
      <c r="I5" s="317">
        <v>511004574.00527775</v>
      </c>
      <c r="J5" s="317">
        <v>511004574.00527775</v>
      </c>
      <c r="K5" s="8"/>
      <c r="L5" s="8"/>
    </row>
    <row r="6" spans="1:12">
      <c r="A6" s="118">
        <v>2</v>
      </c>
      <c r="B6" s="54" t="str">
        <f>Parameters!C6</f>
        <v>adults at high cardiovascular risk</v>
      </c>
      <c r="C6" s="317">
        <v>445044042.93931472</v>
      </c>
      <c r="D6" s="317">
        <v>584167691.79683483</v>
      </c>
      <c r="E6" s="8"/>
      <c r="F6" s="8"/>
      <c r="G6" s="118">
        <v>2</v>
      </c>
      <c r="H6" s="54" t="str">
        <f>Parameters!C6</f>
        <v>adults at high cardiovascular risk</v>
      </c>
      <c r="I6" s="317">
        <v>445044042.93931472</v>
      </c>
      <c r="J6" s="317">
        <v>584167691.79683483</v>
      </c>
      <c r="K6" s="8"/>
      <c r="L6" s="8"/>
    </row>
    <row r="7" spans="1:12">
      <c r="A7" s="118">
        <v>3</v>
      </c>
      <c r="B7" s="54" t="str">
        <f>Parameters!C7</f>
        <v>proportion of adults treated</v>
      </c>
      <c r="C7" s="317">
        <v>448309489.68613583</v>
      </c>
      <c r="D7" s="317">
        <v>570632114.34178996</v>
      </c>
      <c r="E7" s="8"/>
      <c r="F7" s="8"/>
      <c r="G7" s="118">
        <v>3</v>
      </c>
      <c r="H7" s="54" t="str">
        <f>Parameters!C7</f>
        <v>proportion of adults treated</v>
      </c>
      <c r="I7" s="317">
        <v>448309489.68613583</v>
      </c>
      <c r="J7" s="317">
        <v>570632114.34178996</v>
      </c>
      <c r="K7" s="8"/>
      <c r="L7" s="8"/>
    </row>
    <row r="8" spans="1:12">
      <c r="A8" s="118">
        <v>4</v>
      </c>
      <c r="B8" s="54">
        <f>Parameters!C8</f>
        <v>0</v>
      </c>
      <c r="C8" s="317">
        <v>511004574.00527775</v>
      </c>
      <c r="D8" s="317">
        <v>511004574.00527775</v>
      </c>
      <c r="E8" s="8"/>
      <c r="F8" s="8"/>
      <c r="G8" s="118">
        <v>4</v>
      </c>
      <c r="H8" s="54">
        <f>Parameters!C8</f>
        <v>0</v>
      </c>
      <c r="I8" s="317">
        <v>511004574.00527775</v>
      </c>
      <c r="J8" s="317">
        <v>511004574.00527775</v>
      </c>
      <c r="K8" s="8"/>
      <c r="L8" s="8"/>
    </row>
    <row r="9" spans="1:12">
      <c r="A9" s="118">
        <v>5</v>
      </c>
      <c r="B9" s="54">
        <f>Parameters!C9</f>
        <v>0</v>
      </c>
      <c r="C9" s="317">
        <v>511004574.00527775</v>
      </c>
      <c r="D9" s="317">
        <v>511004574.00527775</v>
      </c>
      <c r="E9" s="8"/>
      <c r="F9" s="8"/>
      <c r="G9" s="118">
        <v>5</v>
      </c>
      <c r="H9" s="54">
        <f>Parameters!C9</f>
        <v>0</v>
      </c>
      <c r="I9" s="317">
        <v>511004574.00527775</v>
      </c>
      <c r="J9" s="317">
        <v>511004574.00527775</v>
      </c>
      <c r="K9" s="8"/>
      <c r="L9" s="8"/>
    </row>
    <row r="10" spans="1:12">
      <c r="A10" s="118">
        <v>6</v>
      </c>
      <c r="B10" s="54">
        <f>Parameters!C10</f>
        <v>0</v>
      </c>
      <c r="C10" s="317">
        <v>511004574.00527775</v>
      </c>
      <c r="D10" s="317">
        <v>511004574.00527775</v>
      </c>
      <c r="E10" s="8"/>
      <c r="F10" s="8"/>
      <c r="G10" s="118">
        <v>6</v>
      </c>
      <c r="H10" s="54">
        <f>Parameters!C10</f>
        <v>0</v>
      </c>
      <c r="I10" s="317">
        <v>511004574.00527775</v>
      </c>
      <c r="J10" s="317">
        <v>511004574.00527775</v>
      </c>
      <c r="K10" s="8"/>
      <c r="L10" s="8"/>
    </row>
    <row r="11" spans="1:12">
      <c r="A11" s="118">
        <v>7</v>
      </c>
      <c r="B11" s="54">
        <f>Parameters!C11</f>
        <v>0</v>
      </c>
      <c r="C11" s="317">
        <v>511004574.00527775</v>
      </c>
      <c r="D11" s="317">
        <v>511004574.00527775</v>
      </c>
      <c r="E11" s="8"/>
      <c r="F11" s="8"/>
      <c r="G11" s="118">
        <v>7</v>
      </c>
      <c r="H11" s="54">
        <f>Parameters!C11</f>
        <v>0</v>
      </c>
      <c r="I11" s="317">
        <v>511004574.00527775</v>
      </c>
      <c r="J11" s="317">
        <v>511004574.00527775</v>
      </c>
      <c r="K11" s="8"/>
      <c r="L11" s="8"/>
    </row>
    <row r="12" spans="1:12">
      <c r="A12" s="118">
        <v>8</v>
      </c>
      <c r="B12" s="54">
        <f>Parameters!C12</f>
        <v>0</v>
      </c>
      <c r="C12" s="317">
        <v>511004574.00527775</v>
      </c>
      <c r="D12" s="317">
        <v>511004574.00527775</v>
      </c>
      <c r="E12" s="8"/>
      <c r="F12" s="8"/>
      <c r="G12" s="118">
        <v>8</v>
      </c>
      <c r="H12" s="54">
        <f>Parameters!C12</f>
        <v>0</v>
      </c>
      <c r="I12" s="317">
        <v>511004574.00527775</v>
      </c>
      <c r="J12" s="317">
        <v>511004574.00527775</v>
      </c>
      <c r="K12" s="8"/>
      <c r="L12" s="8"/>
    </row>
    <row r="13" spans="1:12">
      <c r="A13" s="118">
        <v>9</v>
      </c>
      <c r="B13" s="54">
        <f>Parameters!C13</f>
        <v>0</v>
      </c>
      <c r="C13" s="317">
        <v>511004574.00527775</v>
      </c>
      <c r="D13" s="317">
        <v>511004574.00527775</v>
      </c>
      <c r="E13" s="8"/>
      <c r="F13" s="8"/>
      <c r="G13" s="118">
        <v>9</v>
      </c>
      <c r="H13" s="54">
        <f>Parameters!C13</f>
        <v>0</v>
      </c>
      <c r="I13" s="317">
        <v>511004574.00527775</v>
      </c>
      <c r="J13" s="317">
        <v>511004574.00527775</v>
      </c>
      <c r="K13" s="8"/>
      <c r="L13" s="8"/>
    </row>
    <row r="14" spans="1:12">
      <c r="A14" s="118">
        <v>10</v>
      </c>
      <c r="B14" s="54" t="str">
        <f>Parameters!C14</f>
        <v>Initial costs Rosuvastatin 5mg</v>
      </c>
      <c r="C14" s="317">
        <v>511004574.00527775</v>
      </c>
      <c r="D14" s="317">
        <v>511004574.00527775</v>
      </c>
      <c r="E14" s="8"/>
      <c r="F14" s="8"/>
      <c r="G14" s="118">
        <v>10</v>
      </c>
      <c r="H14" s="54" t="str">
        <f>Parameters!C14</f>
        <v>Initial costs Rosuvastatin 5mg</v>
      </c>
      <c r="I14" s="317">
        <v>511004574.00527775</v>
      </c>
      <c r="J14" s="317">
        <v>511004574.00527775</v>
      </c>
      <c r="K14" s="8"/>
      <c r="L14" s="8"/>
    </row>
    <row r="15" spans="1:12">
      <c r="A15" s="118">
        <v>11</v>
      </c>
      <c r="B15" s="54" t="str">
        <f>Parameters!C15</f>
        <v>Initial costs Rosuvastatin 10mg</v>
      </c>
      <c r="C15" s="317">
        <v>511004574.00527775</v>
      </c>
      <c r="D15" s="317">
        <v>511004574.00527775</v>
      </c>
      <c r="E15" s="8"/>
      <c r="F15" s="8"/>
      <c r="G15" s="118">
        <v>11</v>
      </c>
      <c r="H15" s="54" t="str">
        <f>Parameters!C15</f>
        <v>Initial costs Rosuvastatin 10mg</v>
      </c>
      <c r="I15" s="317">
        <v>511004574.00527775</v>
      </c>
      <c r="J15" s="317">
        <v>511004574.00527775</v>
      </c>
      <c r="K15" s="8"/>
      <c r="L15" s="8"/>
    </row>
    <row r="16" spans="1:12">
      <c r="A16" s="118">
        <v>12</v>
      </c>
      <c r="B16" s="54" t="str">
        <f>Parameters!C16</f>
        <v>Initial costs Rosuvastatin 20mg</v>
      </c>
      <c r="C16" s="317">
        <v>511004574.00527775</v>
      </c>
      <c r="D16" s="317">
        <v>511004574.00527775</v>
      </c>
      <c r="E16" s="8"/>
      <c r="F16" s="8"/>
      <c r="G16" s="118">
        <v>12</v>
      </c>
      <c r="H16" s="54" t="str">
        <f>Parameters!C16</f>
        <v>Initial costs Rosuvastatin 20mg</v>
      </c>
      <c r="I16" s="317">
        <v>511004574.00527775</v>
      </c>
      <c r="J16" s="317">
        <v>511004574.00527775</v>
      </c>
      <c r="K16" s="8"/>
      <c r="L16" s="8"/>
    </row>
    <row r="17" spans="1:12">
      <c r="A17" s="118">
        <v>13</v>
      </c>
      <c r="B17" s="54" t="str">
        <f>Parameters!C17</f>
        <v>Initial costs Rosuvastatin 40mg</v>
      </c>
      <c r="C17" s="317">
        <v>511004574.00527775</v>
      </c>
      <c r="D17" s="317">
        <v>511004574.00527775</v>
      </c>
      <c r="E17" s="8"/>
      <c r="F17" s="8"/>
      <c r="G17" s="118">
        <v>13</v>
      </c>
      <c r="H17" s="54" t="str">
        <f>Parameters!C17</f>
        <v>Initial costs Rosuvastatin 40mg</v>
      </c>
      <c r="I17" s="317">
        <v>511004574.00527775</v>
      </c>
      <c r="J17" s="317">
        <v>511004574.00527775</v>
      </c>
      <c r="K17" s="8"/>
      <c r="L17" s="8"/>
    </row>
    <row r="18" spans="1:12">
      <c r="A18" s="118">
        <v>14</v>
      </c>
      <c r="B18" s="54" t="str">
        <f>Parameters!C18</f>
        <v>Initial costs Atorvastatin 10mg</v>
      </c>
      <c r="C18" s="317">
        <v>511004574.00527775</v>
      </c>
      <c r="D18" s="317">
        <v>511004574.00527775</v>
      </c>
      <c r="E18" s="8"/>
      <c r="F18" s="8"/>
      <c r="G18" s="118">
        <v>14</v>
      </c>
      <c r="H18" s="54" t="str">
        <f>Parameters!C18</f>
        <v>Initial costs Atorvastatin 10mg</v>
      </c>
      <c r="I18" s="317">
        <v>511004574.00527775</v>
      </c>
      <c r="J18" s="317">
        <v>511004574.00527775</v>
      </c>
      <c r="K18" s="8"/>
      <c r="L18" s="8"/>
    </row>
    <row r="19" spans="1:12">
      <c r="A19" s="118">
        <v>15</v>
      </c>
      <c r="B19" s="54" t="str">
        <f>Parameters!C19</f>
        <v>Initial costs Atorvastatin 20mg</v>
      </c>
      <c r="C19" s="317">
        <v>511004574.00527775</v>
      </c>
      <c r="D19" s="317">
        <v>511004574.00527775</v>
      </c>
      <c r="E19" s="8"/>
      <c r="F19" s="8"/>
      <c r="G19" s="118">
        <v>15</v>
      </c>
      <c r="H19" s="54" t="str">
        <f>Parameters!C19</f>
        <v>Initial costs Atorvastatin 20mg</v>
      </c>
      <c r="I19" s="317">
        <v>511004574.00527775</v>
      </c>
      <c r="J19" s="317">
        <v>511004574.00527775</v>
      </c>
      <c r="K19" s="8"/>
      <c r="L19" s="8"/>
    </row>
    <row r="20" spans="1:12">
      <c r="A20" s="118">
        <v>16</v>
      </c>
      <c r="B20" s="54" t="str">
        <f>Parameters!C20</f>
        <v>Initial costs Atorvastatin 40mg</v>
      </c>
      <c r="C20" s="317">
        <v>511004574.00527775</v>
      </c>
      <c r="D20" s="317">
        <v>511004574.00527775</v>
      </c>
      <c r="E20" s="8"/>
      <c r="F20" s="8"/>
      <c r="G20" s="118">
        <v>16</v>
      </c>
      <c r="H20" s="54" t="str">
        <f>Parameters!C20</f>
        <v>Initial costs Atorvastatin 40mg</v>
      </c>
      <c r="I20" s="317">
        <v>511004574.00527775</v>
      </c>
      <c r="J20" s="317">
        <v>511004574.00527775</v>
      </c>
      <c r="K20" s="8"/>
      <c r="L20" s="8"/>
    </row>
    <row r="21" spans="1:12">
      <c r="A21" s="118">
        <v>17</v>
      </c>
      <c r="B21" s="54" t="str">
        <f>Parameters!C21</f>
        <v>Initial costs Atorvastatin 80mg</v>
      </c>
      <c r="C21" s="317">
        <v>511004574.00527775</v>
      </c>
      <c r="D21" s="317">
        <v>511004574.00527775</v>
      </c>
      <c r="E21" s="8"/>
      <c r="F21" s="8"/>
      <c r="G21" s="118">
        <v>17</v>
      </c>
      <c r="H21" s="54" t="str">
        <f>Parameters!C21</f>
        <v>Initial costs Atorvastatin 80mg</v>
      </c>
      <c r="I21" s="317">
        <v>511004574.00527775</v>
      </c>
      <c r="J21" s="317">
        <v>511004574.00527775</v>
      </c>
      <c r="K21" s="8"/>
      <c r="L21" s="8"/>
    </row>
    <row r="22" spans="1:12">
      <c r="A22" s="118">
        <v>18</v>
      </c>
      <c r="B22" s="54" t="str">
        <f>Parameters!C22</f>
        <v>Initial costs Pravastatin</v>
      </c>
      <c r="C22" s="317">
        <v>511004574.00527775</v>
      </c>
      <c r="D22" s="317">
        <v>511004574.00527775</v>
      </c>
      <c r="E22" s="8"/>
      <c r="F22" s="8"/>
      <c r="G22" s="118">
        <v>18</v>
      </c>
      <c r="H22" s="54" t="str">
        <f>Parameters!C22</f>
        <v>Initial costs Pravastatin</v>
      </c>
      <c r="I22" s="317">
        <v>511004574.00527775</v>
      </c>
      <c r="J22" s="317">
        <v>511004574.00527775</v>
      </c>
      <c r="K22" s="8"/>
      <c r="L22" s="8"/>
    </row>
    <row r="23" spans="1:12">
      <c r="A23" s="118">
        <v>19</v>
      </c>
      <c r="B23" s="54" t="str">
        <f>Parameters!C23</f>
        <v>Initial costs Simvastatin 5mg</v>
      </c>
      <c r="C23" s="317">
        <v>511004574.00527775</v>
      </c>
      <c r="D23" s="317">
        <v>511004574.00527775</v>
      </c>
      <c r="E23" s="8"/>
      <c r="F23" s="8"/>
      <c r="G23" s="118">
        <v>19</v>
      </c>
      <c r="H23" s="54" t="str">
        <f>Parameters!C23</f>
        <v>Initial costs Simvastatin 5mg</v>
      </c>
      <c r="I23" s="317">
        <v>511004574.00527775</v>
      </c>
      <c r="J23" s="317">
        <v>511004574.00527775</v>
      </c>
      <c r="K23" s="8"/>
      <c r="L23" s="8"/>
    </row>
    <row r="24" spans="1:12">
      <c r="A24" s="118">
        <v>20</v>
      </c>
      <c r="B24" s="54" t="str">
        <f>Parameters!C24</f>
        <v>Initial costs Simvastatin 10mg</v>
      </c>
      <c r="C24" s="317">
        <v>511004574.00527775</v>
      </c>
      <c r="D24" s="317">
        <v>511004574.00527775</v>
      </c>
      <c r="E24" s="8"/>
      <c r="F24" s="8"/>
      <c r="G24" s="118">
        <v>20</v>
      </c>
      <c r="H24" s="54" t="str">
        <f>Parameters!C24</f>
        <v>Initial costs Simvastatin 10mg</v>
      </c>
      <c r="I24" s="317">
        <v>511004574.00527775</v>
      </c>
      <c r="J24" s="317">
        <v>511004574.00527775</v>
      </c>
      <c r="K24" s="8"/>
      <c r="L24" s="8"/>
    </row>
    <row r="25" spans="1:12">
      <c r="A25" s="118">
        <v>21</v>
      </c>
      <c r="B25" s="54" t="str">
        <f>Parameters!C25</f>
        <v>Initial costs Simvastatin 20mg</v>
      </c>
      <c r="C25" s="317">
        <v>511004574.00527775</v>
      </c>
      <c r="D25" s="317">
        <v>511004574.00527775</v>
      </c>
      <c r="E25" s="8"/>
      <c r="F25" s="8"/>
      <c r="G25" s="118">
        <v>21</v>
      </c>
      <c r="H25" s="54" t="str">
        <f>Parameters!C25</f>
        <v>Initial costs Simvastatin 20mg</v>
      </c>
      <c r="I25" s="317">
        <v>511004574.00527775</v>
      </c>
      <c r="J25" s="317">
        <v>511004574.00527775</v>
      </c>
      <c r="K25" s="8"/>
      <c r="L25" s="8"/>
    </row>
    <row r="26" spans="1:12">
      <c r="A26" s="118">
        <v>22</v>
      </c>
      <c r="B26" s="54" t="str">
        <f>Parameters!C26</f>
        <v>Initial costs Simvastatin 40mg</v>
      </c>
      <c r="C26" s="317">
        <v>511004574.00527775</v>
      </c>
      <c r="D26" s="317">
        <v>511004574.00527775</v>
      </c>
      <c r="E26" s="8"/>
      <c r="F26" s="8"/>
      <c r="G26" s="118">
        <v>22</v>
      </c>
      <c r="H26" s="54" t="str">
        <f>Parameters!C26</f>
        <v>Initial costs Simvastatin 40mg</v>
      </c>
      <c r="I26" s="317">
        <v>511004574.00527775</v>
      </c>
      <c r="J26" s="317">
        <v>511004574.00527775</v>
      </c>
      <c r="K26" s="8"/>
      <c r="L26" s="8"/>
    </row>
    <row r="27" spans="1:12">
      <c r="A27" s="118">
        <v>23</v>
      </c>
      <c r="B27" s="54" t="str">
        <f>Parameters!C27</f>
        <v xml:space="preserve">Initial costs </v>
      </c>
      <c r="C27" s="317">
        <v>511004574.00527775</v>
      </c>
      <c r="D27" s="317">
        <v>511004574.00527775</v>
      </c>
      <c r="E27" s="8"/>
      <c r="F27" s="8"/>
      <c r="G27" s="118">
        <v>23</v>
      </c>
      <c r="H27" s="54" t="str">
        <f>Parameters!C27</f>
        <v xml:space="preserve">Initial costs </v>
      </c>
      <c r="I27" s="317">
        <v>511004574.00527775</v>
      </c>
      <c r="J27" s="317">
        <v>511004574.00527775</v>
      </c>
      <c r="K27" s="8"/>
      <c r="L27" s="8"/>
    </row>
    <row r="28" spans="1:12">
      <c r="A28" s="118">
        <v>24</v>
      </c>
      <c r="B28" s="54" t="str">
        <f>Parameters!C28</f>
        <v>Treatment costs Rosuvastatin 5mg</v>
      </c>
      <c r="C28" s="317">
        <v>482627492.32722914</v>
      </c>
      <c r="D28" s="317">
        <v>539381655.68332636</v>
      </c>
      <c r="E28" s="8"/>
      <c r="F28" s="8"/>
      <c r="G28" s="118">
        <v>24</v>
      </c>
      <c r="H28" s="54" t="str">
        <f>Parameters!C28</f>
        <v>Treatment costs Rosuvastatin 5mg</v>
      </c>
      <c r="I28" s="317">
        <v>482627492.32722914</v>
      </c>
      <c r="J28" s="317">
        <v>539381655.68332636</v>
      </c>
      <c r="K28" s="8"/>
      <c r="L28" s="8"/>
    </row>
    <row r="29" spans="1:12">
      <c r="A29" s="118">
        <v>25</v>
      </c>
      <c r="B29" s="54" t="str">
        <f>Parameters!C29</f>
        <v>Treatment costs Rosuvastatin 10mg</v>
      </c>
      <c r="C29" s="317">
        <v>454530025.03588831</v>
      </c>
      <c r="D29" s="317">
        <v>567479122.97466731</v>
      </c>
      <c r="E29" s="8"/>
      <c r="F29" s="8"/>
      <c r="G29" s="118">
        <v>25</v>
      </c>
      <c r="H29" s="54" t="str">
        <f>Parameters!C29</f>
        <v>Treatment costs Rosuvastatin 10mg</v>
      </c>
      <c r="I29" s="317">
        <v>454530025.03588831</v>
      </c>
      <c r="J29" s="317">
        <v>567479122.97466731</v>
      </c>
      <c r="K29" s="8"/>
      <c r="L29" s="8"/>
    </row>
    <row r="30" spans="1:12">
      <c r="A30" s="118">
        <v>26</v>
      </c>
      <c r="B30" s="54" t="str">
        <f>Parameters!C30</f>
        <v>Treatment costs Rosuvastatin 20mg</v>
      </c>
      <c r="C30" s="317">
        <v>484002892.82400811</v>
      </c>
      <c r="D30" s="317">
        <v>538006255.1865474</v>
      </c>
      <c r="E30" s="8"/>
      <c r="F30" s="8"/>
      <c r="G30" s="118">
        <v>26</v>
      </c>
      <c r="H30" s="54" t="str">
        <f>Parameters!C30</f>
        <v>Treatment costs Rosuvastatin 20mg</v>
      </c>
      <c r="I30" s="317">
        <v>484002892.82400811</v>
      </c>
      <c r="J30" s="317">
        <v>538006255.1865474</v>
      </c>
      <c r="K30" s="8"/>
      <c r="L30" s="8"/>
    </row>
    <row r="31" spans="1:12">
      <c r="A31" s="118">
        <v>27</v>
      </c>
      <c r="B31" s="54" t="str">
        <f>Parameters!C31</f>
        <v>Treatment costs Rosuvastatin 40mg</v>
      </c>
      <c r="C31" s="317">
        <v>481050567.94813836</v>
      </c>
      <c r="D31" s="317">
        <v>540958580.06241715</v>
      </c>
      <c r="E31" s="8"/>
      <c r="F31" s="8"/>
      <c r="G31" s="118">
        <v>27</v>
      </c>
      <c r="H31" s="54" t="str">
        <f>Parameters!C31</f>
        <v>Treatment costs Rosuvastatin 40mg</v>
      </c>
      <c r="I31" s="317">
        <v>481050567.94813836</v>
      </c>
      <c r="J31" s="317">
        <v>540958580.06241715</v>
      </c>
      <c r="K31" s="8"/>
      <c r="L31" s="8"/>
    </row>
    <row r="32" spans="1:12">
      <c r="A32" s="118">
        <v>28</v>
      </c>
      <c r="B32" s="54" t="str">
        <f>Parameters!C32</f>
        <v>Treatment costs Atorvastatin 10mg</v>
      </c>
      <c r="C32" s="317">
        <v>511450980.83652556</v>
      </c>
      <c r="D32" s="317">
        <v>510558167.17402995</v>
      </c>
      <c r="E32" s="8"/>
      <c r="F32" s="8"/>
      <c r="G32" s="118">
        <v>28</v>
      </c>
      <c r="H32" s="54" t="str">
        <f>Parameters!C32</f>
        <v>Treatment costs Atorvastatin 10mg</v>
      </c>
      <c r="I32" s="317">
        <v>511450980.83652556</v>
      </c>
      <c r="J32" s="317">
        <v>510558167.17402995</v>
      </c>
      <c r="K32" s="8"/>
      <c r="L32" s="8"/>
    </row>
    <row r="33" spans="1:12">
      <c r="A33" s="118">
        <v>29</v>
      </c>
      <c r="B33" s="54" t="str">
        <f>Parameters!C33</f>
        <v>Treatment costs Atorvastatin 20mg</v>
      </c>
      <c r="C33" s="317">
        <v>514363142.11955792</v>
      </c>
      <c r="D33" s="317">
        <v>507646005.89099753</v>
      </c>
      <c r="E33" s="8"/>
      <c r="F33" s="8"/>
      <c r="G33" s="118">
        <v>29</v>
      </c>
      <c r="H33" s="54" t="str">
        <f>Parameters!C33</f>
        <v>Treatment costs Atorvastatin 20mg</v>
      </c>
      <c r="I33" s="317">
        <v>514363142.11955792</v>
      </c>
      <c r="J33" s="317">
        <v>507646005.89099753</v>
      </c>
      <c r="K33" s="8"/>
      <c r="L33" s="8"/>
    </row>
    <row r="34" spans="1:12">
      <c r="A34" s="118">
        <v>30</v>
      </c>
      <c r="B34" s="54" t="str">
        <f>Parameters!C34</f>
        <v>Treatment costs Atorvastatin 40mg</v>
      </c>
      <c r="C34" s="317">
        <v>529496316.4867996</v>
      </c>
      <c r="D34" s="317">
        <v>492512831.52375567</v>
      </c>
      <c r="E34" s="8"/>
      <c r="F34" s="8"/>
      <c r="G34" s="118">
        <v>30</v>
      </c>
      <c r="H34" s="54" t="str">
        <f>Parameters!C34</f>
        <v>Treatment costs Atorvastatin 40mg</v>
      </c>
      <c r="I34" s="317">
        <v>529496316.4867996</v>
      </c>
      <c r="J34" s="317">
        <v>492512831.52375567</v>
      </c>
      <c r="K34" s="8"/>
      <c r="L34" s="8"/>
    </row>
    <row r="35" spans="1:12">
      <c r="A35" s="118">
        <v>31</v>
      </c>
      <c r="B35" s="54" t="str">
        <f>Parameters!C35</f>
        <v>Treatment costs Atorvastatin 80mg</v>
      </c>
      <c r="C35" s="317">
        <v>514528803.04187679</v>
      </c>
      <c r="D35" s="317">
        <v>507480344.96867871</v>
      </c>
      <c r="E35" s="8"/>
      <c r="F35" s="8"/>
      <c r="G35" s="118">
        <v>31</v>
      </c>
      <c r="H35" s="54" t="str">
        <f>Parameters!C35</f>
        <v>Treatment costs Atorvastatin 80mg</v>
      </c>
      <c r="I35" s="317">
        <v>514528803.04187679</v>
      </c>
      <c r="J35" s="317">
        <v>507480344.96867871</v>
      </c>
      <c r="K35" s="8"/>
      <c r="L35" s="8"/>
    </row>
    <row r="36" spans="1:12">
      <c r="A36" s="118">
        <v>32</v>
      </c>
      <c r="B36" s="54" t="str">
        <f>Parameters!C36</f>
        <v>Treatment costs Pravastatin</v>
      </c>
      <c r="C36" s="317">
        <v>511122277.60364795</v>
      </c>
      <c r="D36" s="317">
        <v>510886870.40690756</v>
      </c>
      <c r="E36" s="8"/>
      <c r="F36" s="8"/>
      <c r="G36" s="118">
        <v>32</v>
      </c>
      <c r="H36" s="54" t="str">
        <f>Parameters!C36</f>
        <v>Treatment costs Pravastatin</v>
      </c>
      <c r="I36" s="317">
        <v>511122277.60364795</v>
      </c>
      <c r="J36" s="317">
        <v>510886870.40690756</v>
      </c>
      <c r="K36" s="8"/>
      <c r="L36" s="8"/>
    </row>
    <row r="37" spans="1:12">
      <c r="A37" s="118">
        <v>33</v>
      </c>
      <c r="B37" s="54" t="str">
        <f>Parameters!C37</f>
        <v>Treatment costs Simvastatin 5mg</v>
      </c>
      <c r="C37" s="317">
        <v>511017676.97457206</v>
      </c>
      <c r="D37" s="317">
        <v>510991471.03598326</v>
      </c>
      <c r="E37" s="8"/>
      <c r="F37" s="8"/>
      <c r="G37" s="118">
        <v>33</v>
      </c>
      <c r="H37" s="54" t="str">
        <f>Parameters!C37</f>
        <v>Treatment costs Simvastatin 5mg</v>
      </c>
      <c r="I37" s="317">
        <v>511017676.97457206</v>
      </c>
      <c r="J37" s="317">
        <v>510991471.03598326</v>
      </c>
      <c r="K37" s="8"/>
      <c r="L37" s="8"/>
    </row>
    <row r="38" spans="1:12">
      <c r="A38" s="118">
        <v>34</v>
      </c>
      <c r="B38" s="54" t="str">
        <f>Parameters!C38</f>
        <v>Treatment costs Simvastatin 10mg</v>
      </c>
      <c r="C38" s="317">
        <v>511950713.54403013</v>
      </c>
      <c r="D38" s="317">
        <v>510058434.46652532</v>
      </c>
      <c r="E38" s="8"/>
      <c r="F38" s="8"/>
      <c r="G38" s="118">
        <v>34</v>
      </c>
      <c r="H38" s="54" t="str">
        <f>Parameters!C38</f>
        <v>Treatment costs Simvastatin 10mg</v>
      </c>
      <c r="I38" s="317">
        <v>511950713.54403013</v>
      </c>
      <c r="J38" s="317">
        <v>510058434.46652532</v>
      </c>
      <c r="K38" s="8"/>
      <c r="L38" s="8"/>
    </row>
    <row r="39" spans="1:12">
      <c r="A39" s="118">
        <v>35</v>
      </c>
      <c r="B39" s="54" t="str">
        <f>Parameters!C39</f>
        <v>Treatment costs Simvastatin 20mg</v>
      </c>
      <c r="C39" s="317">
        <v>515058692.12955326</v>
      </c>
      <c r="D39" s="317">
        <v>506950455.88100213</v>
      </c>
      <c r="E39" s="8"/>
      <c r="F39" s="8"/>
      <c r="G39" s="118">
        <v>35</v>
      </c>
      <c r="H39" s="54" t="str">
        <f>Parameters!C39</f>
        <v>Treatment costs Simvastatin 20mg</v>
      </c>
      <c r="I39" s="317">
        <v>515058692.12955326</v>
      </c>
      <c r="J39" s="317">
        <v>506950455.88100213</v>
      </c>
      <c r="K39" s="8"/>
      <c r="L39" s="8"/>
    </row>
    <row r="40" spans="1:12">
      <c r="A40" s="118">
        <v>36</v>
      </c>
      <c r="B40" s="54" t="str">
        <f>Parameters!C40</f>
        <v>Treatment costs Simvastatin 40mg</v>
      </c>
      <c r="C40" s="317">
        <v>519658966.39572775</v>
      </c>
      <c r="D40" s="317">
        <v>502350181.61482763</v>
      </c>
      <c r="E40" s="8"/>
      <c r="F40" s="8"/>
      <c r="G40" s="118">
        <v>36</v>
      </c>
      <c r="H40" s="54" t="str">
        <f>Parameters!C40</f>
        <v>Treatment costs Simvastatin 40mg</v>
      </c>
      <c r="I40" s="317">
        <v>519658966.39572775</v>
      </c>
      <c r="J40" s="317">
        <v>502350181.61482763</v>
      </c>
      <c r="K40" s="8"/>
      <c r="L40" s="8"/>
    </row>
    <row r="41" spans="1:12">
      <c r="A41" s="118">
        <v>37</v>
      </c>
      <c r="B41" s="54" t="str">
        <f>Parameters!C41</f>
        <v xml:space="preserve">Treatment costs </v>
      </c>
      <c r="C41" s="317">
        <v>511004574.00527775</v>
      </c>
      <c r="D41" s="317">
        <v>511004574.00527775</v>
      </c>
      <c r="E41" s="8"/>
      <c r="F41" s="8"/>
      <c r="G41" s="118">
        <v>37</v>
      </c>
      <c r="H41" s="54" t="str">
        <f>Parameters!C41</f>
        <v xml:space="preserve">Treatment costs </v>
      </c>
      <c r="I41" s="317">
        <v>511004574.00527775</v>
      </c>
      <c r="J41" s="317">
        <v>511004574.00527775</v>
      </c>
      <c r="K41" s="8"/>
      <c r="L41" s="8"/>
    </row>
    <row r="42" spans="1:12">
      <c r="A42" s="118">
        <v>38</v>
      </c>
      <c r="B42" s="54" t="str">
        <f>Parameters!C42</f>
        <v>Additional costs Rosuvastatin 5mg</v>
      </c>
      <c r="C42" s="317">
        <v>511004574.00527775</v>
      </c>
      <c r="D42" s="317">
        <v>511004574.00527775</v>
      </c>
      <c r="E42" s="8"/>
      <c r="F42" s="8"/>
      <c r="G42" s="118">
        <v>38</v>
      </c>
      <c r="H42" s="54" t="str">
        <f>Parameters!C42</f>
        <v>Additional costs Rosuvastatin 5mg</v>
      </c>
      <c r="I42" s="317">
        <v>511004574.00527775</v>
      </c>
      <c r="J42" s="317">
        <v>511004574.00527775</v>
      </c>
      <c r="K42" s="8"/>
      <c r="L42" s="8"/>
    </row>
    <row r="43" spans="1:12">
      <c r="A43" s="118">
        <v>39</v>
      </c>
      <c r="B43" s="54" t="str">
        <f>Parameters!C43</f>
        <v>Additional costs Rosuvastatin 10mg</v>
      </c>
      <c r="C43" s="317">
        <v>511004574.00527775</v>
      </c>
      <c r="D43" s="317">
        <v>511004574.00527775</v>
      </c>
      <c r="E43" s="8"/>
      <c r="F43" s="8"/>
      <c r="G43" s="118">
        <v>39</v>
      </c>
      <c r="H43" s="54" t="str">
        <f>Parameters!C43</f>
        <v>Additional costs Rosuvastatin 10mg</v>
      </c>
      <c r="I43" s="317">
        <v>511004574.00527775</v>
      </c>
      <c r="J43" s="317">
        <v>511004574.00527775</v>
      </c>
      <c r="K43" s="8"/>
      <c r="L43" s="8"/>
    </row>
    <row r="44" spans="1:12">
      <c r="A44" s="118">
        <v>40</v>
      </c>
      <c r="B44" s="54" t="str">
        <f>Parameters!C44</f>
        <v>Additional costs Rosuvastatin 20mg</v>
      </c>
      <c r="C44" s="317">
        <v>511004574.00527775</v>
      </c>
      <c r="D44" s="317">
        <v>511004574.00527775</v>
      </c>
      <c r="E44" s="8"/>
      <c r="F44" s="8"/>
      <c r="G44" s="118">
        <v>40</v>
      </c>
      <c r="H44" s="54" t="str">
        <f>Parameters!C44</f>
        <v>Additional costs Rosuvastatin 20mg</v>
      </c>
      <c r="I44" s="317">
        <v>511004574.00527775</v>
      </c>
      <c r="J44" s="317">
        <v>511004574.00527775</v>
      </c>
      <c r="K44" s="8"/>
      <c r="L44" s="8"/>
    </row>
    <row r="45" spans="1:12">
      <c r="A45" s="118">
        <v>41</v>
      </c>
      <c r="B45" s="54" t="str">
        <f>Parameters!C45</f>
        <v>Additional costs Rosuvastatin 40mg</v>
      </c>
      <c r="C45" s="317">
        <v>511004574.00527775</v>
      </c>
      <c r="D45" s="317">
        <v>511004574.00527775</v>
      </c>
      <c r="E45" s="8"/>
      <c r="F45" s="8"/>
      <c r="G45" s="118">
        <v>41</v>
      </c>
      <c r="H45" s="54" t="str">
        <f>Parameters!C45</f>
        <v>Additional costs Rosuvastatin 40mg</v>
      </c>
      <c r="I45" s="317">
        <v>511004574.00527775</v>
      </c>
      <c r="J45" s="317">
        <v>511004574.00527775</v>
      </c>
      <c r="K45" s="8"/>
      <c r="L45" s="8"/>
    </row>
    <row r="46" spans="1:12">
      <c r="A46" s="118">
        <v>42</v>
      </c>
      <c r="B46" s="54" t="str">
        <f>Parameters!C46</f>
        <v>Additional costs Atorvastatin 10mg</v>
      </c>
      <c r="C46" s="317">
        <v>511004574.00527775</v>
      </c>
      <c r="D46" s="317">
        <v>511004574.00527775</v>
      </c>
      <c r="E46" s="8"/>
      <c r="F46" s="8"/>
      <c r="G46" s="118">
        <v>42</v>
      </c>
      <c r="H46" s="54" t="str">
        <f>Parameters!C46</f>
        <v>Additional costs Atorvastatin 10mg</v>
      </c>
      <c r="I46" s="317">
        <v>511004574.00527775</v>
      </c>
      <c r="J46" s="317">
        <v>511004574.00527775</v>
      </c>
      <c r="K46" s="8"/>
      <c r="L46" s="8"/>
    </row>
    <row r="47" spans="1:12">
      <c r="A47" s="118">
        <v>43</v>
      </c>
      <c r="B47" s="54" t="str">
        <f>Parameters!C47</f>
        <v>Additional costs Atorvastatin 20mg</v>
      </c>
      <c r="C47" s="317">
        <v>511004574.00527775</v>
      </c>
      <c r="D47" s="317">
        <v>511004574.00527775</v>
      </c>
      <c r="E47" s="8"/>
      <c r="F47" s="8"/>
      <c r="G47" s="118">
        <v>43</v>
      </c>
      <c r="H47" s="54" t="str">
        <f>Parameters!C47</f>
        <v>Additional costs Atorvastatin 20mg</v>
      </c>
      <c r="I47" s="317">
        <v>511004574.00527775</v>
      </c>
      <c r="J47" s="317">
        <v>511004574.00527775</v>
      </c>
      <c r="K47" s="8"/>
      <c r="L47" s="8"/>
    </row>
    <row r="48" spans="1:12">
      <c r="A48" s="118">
        <v>44</v>
      </c>
      <c r="B48" s="54" t="str">
        <f>Parameters!C48</f>
        <v>Additional costs Atorvastatin 40mg</v>
      </c>
      <c r="C48" s="317">
        <v>511004574.00527775</v>
      </c>
      <c r="D48" s="317">
        <v>511004574.00527775</v>
      </c>
      <c r="E48" s="8"/>
      <c r="F48" s="8"/>
      <c r="G48" s="118">
        <v>44</v>
      </c>
      <c r="H48" s="54" t="str">
        <f>Parameters!C48</f>
        <v>Additional costs Atorvastatin 40mg</v>
      </c>
      <c r="I48" s="317">
        <v>511004574.00527775</v>
      </c>
      <c r="J48" s="317">
        <v>511004574.00527775</v>
      </c>
      <c r="K48" s="8"/>
      <c r="L48" s="8"/>
    </row>
    <row r="49" spans="1:12">
      <c r="A49" s="118">
        <v>45</v>
      </c>
      <c r="B49" s="54" t="str">
        <f>Parameters!C49</f>
        <v>Additional costs Atorvastatin 80mg</v>
      </c>
      <c r="C49" s="317">
        <v>511004574.00527775</v>
      </c>
      <c r="D49" s="317">
        <v>511004574.00527775</v>
      </c>
      <c r="E49" s="8"/>
      <c r="F49" s="8"/>
      <c r="G49" s="118">
        <v>45</v>
      </c>
      <c r="H49" s="54" t="str">
        <f>Parameters!C49</f>
        <v>Additional costs Atorvastatin 80mg</v>
      </c>
      <c r="I49" s="317">
        <v>511004574.00527775</v>
      </c>
      <c r="J49" s="317">
        <v>511004574.00527775</v>
      </c>
      <c r="K49" s="8"/>
      <c r="L49" s="8"/>
    </row>
    <row r="50" spans="1:12">
      <c r="A50" s="118">
        <v>46</v>
      </c>
      <c r="B50" s="54" t="str">
        <f>Parameters!C50</f>
        <v>Additional costs Pravastatin</v>
      </c>
      <c r="C50" s="317">
        <v>511004574.00527775</v>
      </c>
      <c r="D50" s="317">
        <v>511004574.00527775</v>
      </c>
      <c r="E50" s="8"/>
      <c r="F50" s="8"/>
      <c r="G50" s="118">
        <v>46</v>
      </c>
      <c r="H50" s="54" t="str">
        <f>Parameters!C50</f>
        <v>Additional costs Pravastatin</v>
      </c>
      <c r="I50" s="317">
        <v>511004574.00527775</v>
      </c>
      <c r="J50" s="317">
        <v>511004574.00527775</v>
      </c>
      <c r="K50" s="8"/>
      <c r="L50" s="8"/>
    </row>
    <row r="51" spans="1:12">
      <c r="A51" s="118">
        <v>47</v>
      </c>
      <c r="B51" s="54" t="str">
        <f>Parameters!C51</f>
        <v>Additional costs Simvastatin 5mg</v>
      </c>
      <c r="C51" s="317">
        <v>511004574.00527775</v>
      </c>
      <c r="D51" s="317">
        <v>511004574.00527775</v>
      </c>
      <c r="E51" s="8"/>
      <c r="F51" s="8"/>
      <c r="G51" s="118">
        <v>47</v>
      </c>
      <c r="H51" s="54" t="str">
        <f>Parameters!C51</f>
        <v>Additional costs Simvastatin 5mg</v>
      </c>
      <c r="I51" s="317">
        <v>511004574.00527775</v>
      </c>
      <c r="J51" s="317">
        <v>511004574.00527775</v>
      </c>
      <c r="K51" s="8"/>
      <c r="L51" s="8"/>
    </row>
    <row r="52" spans="1:12">
      <c r="A52" s="118">
        <v>48</v>
      </c>
      <c r="B52" s="54" t="str">
        <f>Parameters!C52</f>
        <v>Additional costs Simvastatin 10mg</v>
      </c>
      <c r="C52" s="317">
        <v>511004574.00527775</v>
      </c>
      <c r="D52" s="317">
        <v>511004574.00527775</v>
      </c>
      <c r="E52" s="8"/>
      <c r="F52" s="8"/>
      <c r="G52" s="118">
        <v>48</v>
      </c>
      <c r="H52" s="54" t="str">
        <f>Parameters!C52</f>
        <v>Additional costs Simvastatin 10mg</v>
      </c>
      <c r="I52" s="317">
        <v>511004574.00527775</v>
      </c>
      <c r="J52" s="317">
        <v>511004574.00527775</v>
      </c>
      <c r="K52" s="8"/>
      <c r="L52" s="8"/>
    </row>
    <row r="53" spans="1:12">
      <c r="A53" s="118">
        <v>49</v>
      </c>
      <c r="B53" s="54" t="str">
        <f>Parameters!C53</f>
        <v>Additional costs Simvastatin 20mg</v>
      </c>
      <c r="C53" s="317">
        <v>511004574.00527775</v>
      </c>
      <c r="D53" s="317">
        <v>511004574.00527775</v>
      </c>
      <c r="E53" s="8"/>
      <c r="F53" s="8"/>
      <c r="G53" s="118">
        <v>49</v>
      </c>
      <c r="H53" s="54" t="str">
        <f>Parameters!C53</f>
        <v>Additional costs Simvastatin 20mg</v>
      </c>
      <c r="I53" s="317">
        <v>511004574.00527775</v>
      </c>
      <c r="J53" s="317">
        <v>511004574.00527775</v>
      </c>
      <c r="K53" s="8"/>
      <c r="L53" s="8"/>
    </row>
    <row r="54" spans="1:12">
      <c r="A54" s="118">
        <v>50</v>
      </c>
      <c r="B54" s="54" t="str">
        <f>Parameters!C54</f>
        <v>Additional costs Simvastatin 40mg</v>
      </c>
      <c r="C54" s="317">
        <v>511004574.00527775</v>
      </c>
      <c r="D54" s="317">
        <v>511004574.00527775</v>
      </c>
      <c r="E54" s="8"/>
      <c r="F54" s="8"/>
      <c r="G54" s="118">
        <v>50</v>
      </c>
      <c r="H54" s="54" t="str">
        <f>Parameters!C54</f>
        <v>Additional costs Simvastatin 40mg</v>
      </c>
      <c r="I54" s="317">
        <v>511004574.00527775</v>
      </c>
      <c r="J54" s="317">
        <v>511004574.00527775</v>
      </c>
      <c r="K54" s="8"/>
      <c r="L54" s="8"/>
    </row>
    <row r="55" spans="1:12">
      <c r="A55" s="118">
        <v>51</v>
      </c>
      <c r="B55" s="54" t="str">
        <f>Parameters!C55</f>
        <v xml:space="preserve">Additional costs </v>
      </c>
      <c r="C55" s="317">
        <v>511004574.00527775</v>
      </c>
      <c r="D55" s="317">
        <v>511004574.00527775</v>
      </c>
      <c r="E55" s="8"/>
      <c r="F55" s="8"/>
      <c r="G55" s="118">
        <v>51</v>
      </c>
      <c r="H55" s="54" t="str">
        <f>Parameters!C55</f>
        <v xml:space="preserve">Additional costs </v>
      </c>
      <c r="I55" s="317">
        <v>511004574.00527775</v>
      </c>
      <c r="J55" s="317">
        <v>511004574.00527775</v>
      </c>
      <c r="K55" s="8"/>
      <c r="L55" s="8"/>
    </row>
    <row r="56" spans="1:12">
      <c r="A56" s="118">
        <v>52</v>
      </c>
      <c r="B56" s="54" t="str">
        <f>Parameters!C56</f>
        <v>Initial general costs</v>
      </c>
      <c r="C56" s="317">
        <v>511004574.00527775</v>
      </c>
      <c r="D56" s="317">
        <v>511004574.00527775</v>
      </c>
      <c r="E56" s="8"/>
      <c r="F56" s="8"/>
      <c r="G56" s="118">
        <v>52</v>
      </c>
      <c r="H56" s="54" t="str">
        <f>Parameters!C56</f>
        <v>Initial general costs</v>
      </c>
      <c r="I56" s="317">
        <v>511004574.00527775</v>
      </c>
      <c r="J56" s="317">
        <v>511004574.00527775</v>
      </c>
      <c r="K56" s="8"/>
      <c r="L56" s="8"/>
    </row>
    <row r="57" spans="1:12">
      <c r="A57" s="118">
        <v>53</v>
      </c>
      <c r="B57" s="54" t="str">
        <f>Parameters!C57</f>
        <v>Monthly costs during treatment</v>
      </c>
      <c r="C57" s="317">
        <v>511004574.00527775</v>
      </c>
      <c r="D57" s="317">
        <v>511004574.00527775</v>
      </c>
      <c r="E57" s="8"/>
      <c r="F57" s="8"/>
      <c r="G57" s="118">
        <v>53</v>
      </c>
      <c r="H57" s="54" t="str">
        <f>Parameters!C57</f>
        <v>Monthly costs during treatment</v>
      </c>
      <c r="I57" s="317">
        <v>511004574.00527775</v>
      </c>
      <c r="J57" s="317">
        <v>511004574.00527775</v>
      </c>
      <c r="K57" s="8"/>
      <c r="L57" s="8"/>
    </row>
    <row r="58" spans="1:12">
      <c r="A58" s="118">
        <v>54</v>
      </c>
      <c r="B58" s="54" t="str">
        <f>Parameters!C58</f>
        <v>Monthly costs after treatment</v>
      </c>
      <c r="C58" s="317">
        <v>511004574.00527775</v>
      </c>
      <c r="D58" s="317">
        <v>511004574.00527775</v>
      </c>
      <c r="E58" s="8"/>
      <c r="F58" s="8"/>
      <c r="G58" s="118">
        <v>54</v>
      </c>
      <c r="H58" s="54" t="str">
        <f>Parameters!C58</f>
        <v>Monthly costs after treatment</v>
      </c>
      <c r="I58" s="317">
        <v>511004574.00527775</v>
      </c>
      <c r="J58" s="317">
        <v>511004574.00527775</v>
      </c>
      <c r="K58" s="8"/>
      <c r="L58" s="8"/>
    </row>
    <row r="59" spans="1:12">
      <c r="A59" s="118">
        <v>55</v>
      </c>
      <c r="B59" s="54"/>
      <c r="C59" s="54"/>
      <c r="D59" s="54"/>
      <c r="E59" s="8"/>
      <c r="F59" s="8"/>
      <c r="G59" s="118">
        <v>55</v>
      </c>
      <c r="H59" s="54"/>
      <c r="I59" s="54"/>
      <c r="J59" s="54"/>
      <c r="K59" s="8"/>
      <c r="L59" s="8"/>
    </row>
    <row r="60" spans="1:12">
      <c r="A60" s="118">
        <v>56</v>
      </c>
      <c r="B60" s="54"/>
      <c r="C60" s="54"/>
      <c r="D60" s="54"/>
      <c r="E60" s="8"/>
      <c r="F60" s="8"/>
      <c r="G60" s="118">
        <v>56</v>
      </c>
      <c r="H60" s="54"/>
      <c r="I60" s="54"/>
      <c r="J60" s="54"/>
      <c r="K60" s="8"/>
      <c r="L60" s="8"/>
    </row>
    <row r="61" spans="1:12">
      <c r="A61" s="118">
        <v>57</v>
      </c>
      <c r="B61" s="54"/>
      <c r="C61" s="54"/>
      <c r="D61" s="54"/>
      <c r="E61" s="8"/>
      <c r="F61" s="8"/>
      <c r="G61" s="118">
        <v>57</v>
      </c>
      <c r="H61" s="54"/>
      <c r="I61" s="54"/>
      <c r="J61" s="54"/>
      <c r="K61" s="8"/>
      <c r="L61" s="8"/>
    </row>
    <row r="62" spans="1:12">
      <c r="A62" s="118">
        <v>58</v>
      </c>
      <c r="B62" s="54"/>
      <c r="C62" s="54"/>
      <c r="D62" s="54"/>
      <c r="E62" s="8"/>
      <c r="F62" s="8"/>
      <c r="G62" s="118">
        <v>58</v>
      </c>
      <c r="H62" s="54"/>
      <c r="I62" s="54"/>
      <c r="J62" s="54"/>
      <c r="K62" s="8"/>
      <c r="L62" s="8"/>
    </row>
    <row r="63" spans="1:12">
      <c r="A63" s="118">
        <v>59</v>
      </c>
      <c r="B63" s="54"/>
      <c r="C63" s="54"/>
      <c r="D63" s="54"/>
      <c r="E63" s="8"/>
      <c r="F63" s="8"/>
      <c r="G63" s="118">
        <v>59</v>
      </c>
      <c r="H63" s="54"/>
      <c r="I63" s="54"/>
      <c r="J63" s="54"/>
      <c r="K63" s="8"/>
      <c r="L63" s="8"/>
    </row>
    <row r="64" spans="1:12">
      <c r="A64" s="118">
        <v>60</v>
      </c>
      <c r="B64" s="54"/>
      <c r="C64" s="54"/>
      <c r="D64" s="54"/>
      <c r="E64" s="8"/>
      <c r="F64" s="8"/>
      <c r="G64" s="118">
        <v>60</v>
      </c>
      <c r="H64" s="54"/>
      <c r="I64" s="54"/>
      <c r="J64" s="54"/>
      <c r="K64" s="8"/>
      <c r="L64" s="8"/>
    </row>
    <row r="65" spans="1:12">
      <c r="B65" s="8"/>
      <c r="C65" s="12"/>
      <c r="D65" s="12"/>
      <c r="E65" s="8"/>
      <c r="F65" s="8"/>
      <c r="G65" s="118"/>
      <c r="H65" s="8"/>
      <c r="I65" s="12"/>
      <c r="J65" s="12"/>
      <c r="K65" s="8"/>
      <c r="L65" s="8"/>
    </row>
    <row r="66" spans="1:12">
      <c r="B66" s="8"/>
      <c r="C66" s="12"/>
      <c r="D66" s="12"/>
      <c r="E66" s="8"/>
      <c r="F66" s="8"/>
      <c r="G66" s="118"/>
      <c r="H66" s="8"/>
      <c r="I66" s="12"/>
      <c r="J66" s="12"/>
      <c r="K66" s="8"/>
      <c r="L66" s="8"/>
    </row>
    <row r="67" spans="1:12">
      <c r="B67" s="8"/>
      <c r="C67" s="12"/>
      <c r="D67" s="12"/>
      <c r="E67" s="8"/>
      <c r="F67" s="8"/>
      <c r="G67" s="118"/>
      <c r="H67" s="8"/>
      <c r="I67" s="12"/>
      <c r="J67" s="12"/>
      <c r="K67" s="8"/>
      <c r="L67" s="8"/>
    </row>
    <row r="68" spans="1:12">
      <c r="B68" s="8"/>
      <c r="C68" s="8"/>
      <c r="D68" s="8"/>
      <c r="E68" s="8"/>
      <c r="F68" s="8"/>
      <c r="G68" s="118"/>
      <c r="H68" s="8"/>
      <c r="I68" s="8"/>
      <c r="J68" s="8"/>
      <c r="K68" s="8"/>
      <c r="L68" s="8"/>
    </row>
    <row r="69" spans="1:12">
      <c r="B69" s="52" t="s">
        <v>331</v>
      </c>
      <c r="C69" s="52" t="s">
        <v>321</v>
      </c>
      <c r="D69" s="52" t="s">
        <v>322</v>
      </c>
      <c r="E69" s="52" t="s">
        <v>320</v>
      </c>
      <c r="F69" s="8"/>
      <c r="G69" s="118"/>
      <c r="H69" s="52" t="s">
        <v>330</v>
      </c>
      <c r="I69" s="52" t="s">
        <v>321</v>
      </c>
      <c r="J69" s="52" t="s">
        <v>322</v>
      </c>
      <c r="K69" s="52" t="s">
        <v>320</v>
      </c>
      <c r="L69" s="8"/>
    </row>
    <row r="70" spans="1:12">
      <c r="A70" s="118">
        <v>1</v>
      </c>
      <c r="B70" s="54">
        <v>0</v>
      </c>
      <c r="C70" s="317">
        <v>511004574.00527775</v>
      </c>
      <c r="D70" s="317">
        <v>511004574.00527775</v>
      </c>
      <c r="E70" s="317">
        <f t="shared" ref="E70:E101" si="0">IF(C70="","",ABS(D70-C70))</f>
        <v>0</v>
      </c>
      <c r="F70" s="8"/>
      <c r="G70" s="118">
        <v>1</v>
      </c>
      <c r="H70" s="54">
        <v>0</v>
      </c>
      <c r="I70" s="317">
        <v>511004574.00527775</v>
      </c>
      <c r="J70" s="317">
        <v>511004574.00527775</v>
      </c>
      <c r="K70" s="317">
        <f t="shared" ref="K70:K101" si="1">IF(I70="","",ABS(J70-I70))</f>
        <v>0</v>
      </c>
      <c r="L70" s="8"/>
    </row>
    <row r="71" spans="1:12">
      <c r="A71" s="118">
        <v>2</v>
      </c>
      <c r="B71" s="54">
        <v>0</v>
      </c>
      <c r="C71" s="317">
        <v>511004574.00527775</v>
      </c>
      <c r="D71" s="317">
        <v>511004574.00527775</v>
      </c>
      <c r="E71" s="317">
        <f t="shared" si="0"/>
        <v>0</v>
      </c>
      <c r="F71" s="8"/>
      <c r="G71" s="118">
        <v>2</v>
      </c>
      <c r="H71" s="54">
        <v>0</v>
      </c>
      <c r="I71" s="317">
        <v>511004574.00527775</v>
      </c>
      <c r="J71" s="317">
        <v>511004574.00527775</v>
      </c>
      <c r="K71" s="317">
        <f t="shared" si="1"/>
        <v>0</v>
      </c>
      <c r="L71" s="8"/>
    </row>
    <row r="72" spans="1:12">
      <c r="A72" s="118">
        <v>3</v>
      </c>
      <c r="B72" s="54">
        <v>0</v>
      </c>
      <c r="C72" s="317">
        <v>511004574.00527775</v>
      </c>
      <c r="D72" s="317">
        <v>511004574.00527775</v>
      </c>
      <c r="E72" s="317">
        <f t="shared" si="0"/>
        <v>0</v>
      </c>
      <c r="F72" s="8"/>
      <c r="G72" s="118">
        <v>3</v>
      </c>
      <c r="H72" s="54">
        <v>0</v>
      </c>
      <c r="I72" s="317">
        <v>511004574.00527775</v>
      </c>
      <c r="J72" s="317">
        <v>511004574.00527775</v>
      </c>
      <c r="K72" s="317">
        <f t="shared" si="1"/>
        <v>0</v>
      </c>
      <c r="L72" s="8"/>
    </row>
    <row r="73" spans="1:12">
      <c r="A73" s="118">
        <v>4</v>
      </c>
      <c r="B73" s="54">
        <v>0</v>
      </c>
      <c r="C73" s="317">
        <v>511004574.00527775</v>
      </c>
      <c r="D73" s="317">
        <v>511004574.00527775</v>
      </c>
      <c r="E73" s="317">
        <f t="shared" si="0"/>
        <v>0</v>
      </c>
      <c r="F73" s="8"/>
      <c r="G73" s="118">
        <v>4</v>
      </c>
      <c r="H73" s="54">
        <v>0</v>
      </c>
      <c r="I73" s="317">
        <v>511004574.00527775</v>
      </c>
      <c r="J73" s="317">
        <v>511004574.00527775</v>
      </c>
      <c r="K73" s="317">
        <f t="shared" si="1"/>
        <v>0</v>
      </c>
      <c r="L73" s="8"/>
    </row>
    <row r="74" spans="1:12">
      <c r="A74" s="118">
        <v>5</v>
      </c>
      <c r="B74" s="54">
        <v>0</v>
      </c>
      <c r="C74" s="317">
        <v>511004574.00527775</v>
      </c>
      <c r="D74" s="317">
        <v>511004574.00527775</v>
      </c>
      <c r="E74" s="317">
        <f t="shared" si="0"/>
        <v>0</v>
      </c>
      <c r="F74" s="8"/>
      <c r="G74" s="118">
        <v>5</v>
      </c>
      <c r="H74" s="54">
        <v>0</v>
      </c>
      <c r="I74" s="317">
        <v>511004574.00527775</v>
      </c>
      <c r="J74" s="317">
        <v>511004574.00527775</v>
      </c>
      <c r="K74" s="317">
        <f t="shared" si="1"/>
        <v>0</v>
      </c>
      <c r="L74" s="8"/>
    </row>
    <row r="75" spans="1:12">
      <c r="A75" s="118">
        <v>6</v>
      </c>
      <c r="B75" s="54">
        <v>0</v>
      </c>
      <c r="C75" s="317">
        <v>511004574.00527775</v>
      </c>
      <c r="D75" s="317">
        <v>511004574.00527775</v>
      </c>
      <c r="E75" s="317">
        <f t="shared" si="0"/>
        <v>0</v>
      </c>
      <c r="F75" s="8"/>
      <c r="G75" s="118">
        <v>6</v>
      </c>
      <c r="H75" s="54">
        <v>0</v>
      </c>
      <c r="I75" s="317">
        <v>511004574.00527775</v>
      </c>
      <c r="J75" s="317">
        <v>511004574.00527775</v>
      </c>
      <c r="K75" s="317">
        <f t="shared" si="1"/>
        <v>0</v>
      </c>
      <c r="L75" s="8"/>
    </row>
    <row r="76" spans="1:12">
      <c r="A76" s="118">
        <v>7</v>
      </c>
      <c r="B76" s="54">
        <v>0</v>
      </c>
      <c r="C76" s="317">
        <v>511004574.00527775</v>
      </c>
      <c r="D76" s="317">
        <v>511004574.00527775</v>
      </c>
      <c r="E76" s="317">
        <f t="shared" si="0"/>
        <v>0</v>
      </c>
      <c r="F76" s="8"/>
      <c r="G76" s="118">
        <v>7</v>
      </c>
      <c r="H76" s="54">
        <v>0</v>
      </c>
      <c r="I76" s="317">
        <v>511004574.00527775</v>
      </c>
      <c r="J76" s="317">
        <v>511004574.00527775</v>
      </c>
      <c r="K76" s="317">
        <f t="shared" si="1"/>
        <v>0</v>
      </c>
      <c r="L76" s="8"/>
    </row>
    <row r="77" spans="1:12">
      <c r="A77" s="118">
        <v>8</v>
      </c>
      <c r="B77" s="54" t="s">
        <v>370</v>
      </c>
      <c r="C77" s="317">
        <v>511004574.00527775</v>
      </c>
      <c r="D77" s="317">
        <v>511004574.00527775</v>
      </c>
      <c r="E77" s="317">
        <f t="shared" si="0"/>
        <v>0</v>
      </c>
      <c r="F77" s="8"/>
      <c r="G77" s="118">
        <v>8</v>
      </c>
      <c r="H77" s="54" t="s">
        <v>370</v>
      </c>
      <c r="I77" s="317">
        <v>511004574.00527775</v>
      </c>
      <c r="J77" s="317">
        <v>511004574.00527775</v>
      </c>
      <c r="K77" s="317">
        <f t="shared" si="1"/>
        <v>0</v>
      </c>
      <c r="L77" s="8"/>
    </row>
    <row r="78" spans="1:12">
      <c r="A78" s="118">
        <v>9</v>
      </c>
      <c r="B78" s="54" t="s">
        <v>371</v>
      </c>
      <c r="C78" s="317">
        <v>511004574.00527775</v>
      </c>
      <c r="D78" s="317">
        <v>511004574.00527775</v>
      </c>
      <c r="E78" s="317">
        <f t="shared" si="0"/>
        <v>0</v>
      </c>
      <c r="F78" s="8"/>
      <c r="G78" s="118">
        <v>9</v>
      </c>
      <c r="H78" s="54" t="s">
        <v>371</v>
      </c>
      <c r="I78" s="317">
        <v>511004574.00527775</v>
      </c>
      <c r="J78" s="317">
        <v>511004574.00527775</v>
      </c>
      <c r="K78" s="317">
        <f t="shared" si="1"/>
        <v>0</v>
      </c>
      <c r="L78" s="8"/>
    </row>
    <row r="79" spans="1:12">
      <c r="A79" s="118">
        <v>10</v>
      </c>
      <c r="B79" s="54" t="s">
        <v>372</v>
      </c>
      <c r="C79" s="317">
        <v>511004574.00527775</v>
      </c>
      <c r="D79" s="317">
        <v>511004574.00527775</v>
      </c>
      <c r="E79" s="317">
        <f t="shared" si="0"/>
        <v>0</v>
      </c>
      <c r="F79" s="8"/>
      <c r="G79" s="118">
        <v>10</v>
      </c>
      <c r="H79" s="54" t="s">
        <v>372</v>
      </c>
      <c r="I79" s="317">
        <v>511004574.00527775</v>
      </c>
      <c r="J79" s="317">
        <v>511004574.00527775</v>
      </c>
      <c r="K79" s="317">
        <f t="shared" si="1"/>
        <v>0</v>
      </c>
      <c r="L79" s="8"/>
    </row>
    <row r="80" spans="1:12">
      <c r="A80" s="118">
        <v>11</v>
      </c>
      <c r="B80" s="54" t="s">
        <v>373</v>
      </c>
      <c r="C80" s="317">
        <v>511004574.00527775</v>
      </c>
      <c r="D80" s="317">
        <v>511004574.00527775</v>
      </c>
      <c r="E80" s="317">
        <f t="shared" si="0"/>
        <v>0</v>
      </c>
      <c r="F80" s="8"/>
      <c r="G80" s="118">
        <v>11</v>
      </c>
      <c r="H80" s="54" t="s">
        <v>373</v>
      </c>
      <c r="I80" s="317">
        <v>511004574.00527775</v>
      </c>
      <c r="J80" s="317">
        <v>511004574.00527775</v>
      </c>
      <c r="K80" s="317">
        <f t="shared" si="1"/>
        <v>0</v>
      </c>
      <c r="L80" s="8"/>
    </row>
    <row r="81" spans="1:12">
      <c r="A81" s="118">
        <v>12</v>
      </c>
      <c r="B81" s="54" t="s">
        <v>374</v>
      </c>
      <c r="C81" s="317">
        <v>511004574.00527775</v>
      </c>
      <c r="D81" s="317">
        <v>511004574.00527775</v>
      </c>
      <c r="E81" s="317">
        <f t="shared" si="0"/>
        <v>0</v>
      </c>
      <c r="F81" s="8"/>
      <c r="G81" s="118">
        <v>12</v>
      </c>
      <c r="H81" s="54" t="s">
        <v>374</v>
      </c>
      <c r="I81" s="317">
        <v>511004574.00527775</v>
      </c>
      <c r="J81" s="317">
        <v>511004574.00527775</v>
      </c>
      <c r="K81" s="317">
        <f t="shared" si="1"/>
        <v>0</v>
      </c>
      <c r="L81" s="8"/>
    </row>
    <row r="82" spans="1:12">
      <c r="A82" s="118">
        <v>13</v>
      </c>
      <c r="B82" s="54" t="s">
        <v>375</v>
      </c>
      <c r="C82" s="317">
        <v>511004574.00527775</v>
      </c>
      <c r="D82" s="317">
        <v>511004574.00527775</v>
      </c>
      <c r="E82" s="317">
        <f t="shared" si="0"/>
        <v>0</v>
      </c>
      <c r="F82" s="8"/>
      <c r="G82" s="118">
        <v>13</v>
      </c>
      <c r="H82" s="54" t="s">
        <v>375</v>
      </c>
      <c r="I82" s="317">
        <v>511004574.00527775</v>
      </c>
      <c r="J82" s="317">
        <v>511004574.00527775</v>
      </c>
      <c r="K82" s="317">
        <f t="shared" si="1"/>
        <v>0</v>
      </c>
      <c r="L82" s="8"/>
    </row>
    <row r="83" spans="1:12">
      <c r="A83" s="118">
        <v>14</v>
      </c>
      <c r="B83" s="54" t="s">
        <v>376</v>
      </c>
      <c r="C83" s="317">
        <v>511004574.00527775</v>
      </c>
      <c r="D83" s="317">
        <v>511004574.00527775</v>
      </c>
      <c r="E83" s="317">
        <f t="shared" si="0"/>
        <v>0</v>
      </c>
      <c r="F83" s="8"/>
      <c r="G83" s="118">
        <v>14</v>
      </c>
      <c r="H83" s="54" t="s">
        <v>376</v>
      </c>
      <c r="I83" s="317">
        <v>511004574.00527775</v>
      </c>
      <c r="J83" s="317">
        <v>511004574.00527775</v>
      </c>
      <c r="K83" s="317">
        <f t="shared" si="1"/>
        <v>0</v>
      </c>
      <c r="L83" s="8"/>
    </row>
    <row r="84" spans="1:12">
      <c r="A84" s="118">
        <v>15</v>
      </c>
      <c r="B84" s="54" t="s">
        <v>377</v>
      </c>
      <c r="C84" s="317">
        <v>511004574.00527775</v>
      </c>
      <c r="D84" s="317">
        <v>511004574.00527775</v>
      </c>
      <c r="E84" s="317">
        <f t="shared" si="0"/>
        <v>0</v>
      </c>
      <c r="F84" s="8"/>
      <c r="G84" s="118">
        <v>15</v>
      </c>
      <c r="H84" s="54" t="s">
        <v>377</v>
      </c>
      <c r="I84" s="317">
        <v>511004574.00527775</v>
      </c>
      <c r="J84" s="317">
        <v>511004574.00527775</v>
      </c>
      <c r="K84" s="317">
        <f t="shared" si="1"/>
        <v>0</v>
      </c>
      <c r="L84" s="8"/>
    </row>
    <row r="85" spans="1:12">
      <c r="A85" s="118">
        <v>16</v>
      </c>
      <c r="B85" s="54" t="s">
        <v>378</v>
      </c>
      <c r="C85" s="317">
        <v>511004574.00527775</v>
      </c>
      <c r="D85" s="317">
        <v>511004574.00527775</v>
      </c>
      <c r="E85" s="317">
        <f t="shared" si="0"/>
        <v>0</v>
      </c>
      <c r="F85" s="8"/>
      <c r="G85" s="118">
        <v>16</v>
      </c>
      <c r="H85" s="54" t="s">
        <v>378</v>
      </c>
      <c r="I85" s="317">
        <v>511004574.00527775</v>
      </c>
      <c r="J85" s="317">
        <v>511004574.00527775</v>
      </c>
      <c r="K85" s="317">
        <f t="shared" si="1"/>
        <v>0</v>
      </c>
      <c r="L85" s="8"/>
    </row>
    <row r="86" spans="1:12">
      <c r="A86" s="118">
        <v>17</v>
      </c>
      <c r="B86" s="54" t="s">
        <v>379</v>
      </c>
      <c r="C86" s="317">
        <v>511004574.00527775</v>
      </c>
      <c r="D86" s="317">
        <v>511004574.00527775</v>
      </c>
      <c r="E86" s="317">
        <f t="shared" si="0"/>
        <v>0</v>
      </c>
      <c r="F86" s="8"/>
      <c r="G86" s="118">
        <v>17</v>
      </c>
      <c r="H86" s="54" t="s">
        <v>379</v>
      </c>
      <c r="I86" s="317">
        <v>511004574.00527775</v>
      </c>
      <c r="J86" s="317">
        <v>511004574.00527775</v>
      </c>
      <c r="K86" s="317">
        <f t="shared" si="1"/>
        <v>0</v>
      </c>
      <c r="L86" s="8"/>
    </row>
    <row r="87" spans="1:12">
      <c r="A87" s="118">
        <v>18</v>
      </c>
      <c r="B87" s="54" t="s">
        <v>380</v>
      </c>
      <c r="C87" s="317">
        <v>511004574.00527775</v>
      </c>
      <c r="D87" s="317">
        <v>511004574.00527775</v>
      </c>
      <c r="E87" s="317">
        <f t="shared" si="0"/>
        <v>0</v>
      </c>
      <c r="F87" s="8"/>
      <c r="G87" s="118">
        <v>18</v>
      </c>
      <c r="H87" s="54" t="s">
        <v>380</v>
      </c>
      <c r="I87" s="317">
        <v>511004574.00527775</v>
      </c>
      <c r="J87" s="317">
        <v>511004574.00527775</v>
      </c>
      <c r="K87" s="317">
        <f t="shared" si="1"/>
        <v>0</v>
      </c>
      <c r="L87" s="8"/>
    </row>
    <row r="88" spans="1:12">
      <c r="A88" s="118">
        <v>19</v>
      </c>
      <c r="B88" s="54" t="s">
        <v>381</v>
      </c>
      <c r="C88" s="317">
        <v>511004574.00527775</v>
      </c>
      <c r="D88" s="317">
        <v>511004574.00527775</v>
      </c>
      <c r="E88" s="317">
        <f t="shared" si="0"/>
        <v>0</v>
      </c>
      <c r="F88" s="8"/>
      <c r="G88" s="118">
        <v>19</v>
      </c>
      <c r="H88" s="54" t="s">
        <v>381</v>
      </c>
      <c r="I88" s="317">
        <v>511004574.00527775</v>
      </c>
      <c r="J88" s="317">
        <v>511004574.00527775</v>
      </c>
      <c r="K88" s="317">
        <f t="shared" si="1"/>
        <v>0</v>
      </c>
      <c r="L88" s="8"/>
    </row>
    <row r="89" spans="1:12">
      <c r="A89" s="118">
        <v>20</v>
      </c>
      <c r="B89" s="54" t="s">
        <v>382</v>
      </c>
      <c r="C89" s="317">
        <v>511004574.00527775</v>
      </c>
      <c r="D89" s="317">
        <v>511004574.00527775</v>
      </c>
      <c r="E89" s="317">
        <f t="shared" si="0"/>
        <v>0</v>
      </c>
      <c r="F89" s="8"/>
      <c r="G89" s="118">
        <v>20</v>
      </c>
      <c r="H89" s="54" t="s">
        <v>382</v>
      </c>
      <c r="I89" s="317">
        <v>511004574.00527775</v>
      </c>
      <c r="J89" s="317">
        <v>511004574.00527775</v>
      </c>
      <c r="K89" s="317">
        <f t="shared" si="1"/>
        <v>0</v>
      </c>
      <c r="L89" s="8"/>
    </row>
    <row r="90" spans="1:12">
      <c r="A90" s="118">
        <v>21</v>
      </c>
      <c r="B90" s="54" t="s">
        <v>343</v>
      </c>
      <c r="C90" s="317">
        <v>511004574.00527775</v>
      </c>
      <c r="D90" s="317">
        <v>511004574.00527775</v>
      </c>
      <c r="E90" s="317">
        <f t="shared" si="0"/>
        <v>0</v>
      </c>
      <c r="F90" s="8"/>
      <c r="G90" s="118">
        <v>21</v>
      </c>
      <c r="H90" s="54" t="s">
        <v>343</v>
      </c>
      <c r="I90" s="317">
        <v>511004574.00527775</v>
      </c>
      <c r="J90" s="317">
        <v>511004574.00527775</v>
      </c>
      <c r="K90" s="317">
        <f t="shared" si="1"/>
        <v>0</v>
      </c>
      <c r="L90" s="8"/>
    </row>
    <row r="91" spans="1:12">
      <c r="A91" s="118">
        <v>22</v>
      </c>
      <c r="B91" s="54" t="s">
        <v>344</v>
      </c>
      <c r="C91" s="317">
        <v>511004574.00527775</v>
      </c>
      <c r="D91" s="317">
        <v>511004574.00527775</v>
      </c>
      <c r="E91" s="317">
        <f t="shared" si="0"/>
        <v>0</v>
      </c>
      <c r="F91" s="8"/>
      <c r="G91" s="118">
        <v>22</v>
      </c>
      <c r="H91" s="54" t="s">
        <v>344</v>
      </c>
      <c r="I91" s="317">
        <v>511004574.00527775</v>
      </c>
      <c r="J91" s="317">
        <v>511004574.00527775</v>
      </c>
      <c r="K91" s="317">
        <f t="shared" si="1"/>
        <v>0</v>
      </c>
      <c r="L91" s="8"/>
    </row>
    <row r="92" spans="1:12">
      <c r="A92" s="118">
        <v>23</v>
      </c>
      <c r="B92" s="54" t="s">
        <v>396</v>
      </c>
      <c r="C92" s="317">
        <v>511004574.00527775</v>
      </c>
      <c r="D92" s="317">
        <v>511004574.00527775</v>
      </c>
      <c r="E92" s="317">
        <f t="shared" si="0"/>
        <v>0</v>
      </c>
      <c r="F92" s="8"/>
      <c r="G92" s="118">
        <v>23</v>
      </c>
      <c r="H92" s="54" t="s">
        <v>396</v>
      </c>
      <c r="I92" s="317">
        <v>511004574.00527775</v>
      </c>
      <c r="J92" s="317">
        <v>511004574.00527775</v>
      </c>
      <c r="K92" s="317">
        <f t="shared" si="1"/>
        <v>0</v>
      </c>
      <c r="L92" s="8"/>
    </row>
    <row r="93" spans="1:12">
      <c r="A93" s="118">
        <v>24</v>
      </c>
      <c r="B93" s="54" t="s">
        <v>397</v>
      </c>
      <c r="C93" s="317">
        <v>511004574.00527775</v>
      </c>
      <c r="D93" s="317">
        <v>511004574.00527775</v>
      </c>
      <c r="E93" s="317">
        <f t="shared" si="0"/>
        <v>0</v>
      </c>
      <c r="F93" s="8"/>
      <c r="G93" s="118">
        <v>24</v>
      </c>
      <c r="H93" s="54" t="s">
        <v>397</v>
      </c>
      <c r="I93" s="317">
        <v>511004574.00527775</v>
      </c>
      <c r="J93" s="317">
        <v>511004574.00527775</v>
      </c>
      <c r="K93" s="317">
        <f t="shared" si="1"/>
        <v>0</v>
      </c>
      <c r="L93" s="8"/>
    </row>
    <row r="94" spans="1:12">
      <c r="A94" s="118">
        <v>25</v>
      </c>
      <c r="B94" s="54" t="s">
        <v>398</v>
      </c>
      <c r="C94" s="317">
        <v>511004574.00527775</v>
      </c>
      <c r="D94" s="317">
        <v>511004574.00527775</v>
      </c>
      <c r="E94" s="317">
        <f t="shared" si="0"/>
        <v>0</v>
      </c>
      <c r="F94" s="8"/>
      <c r="G94" s="118">
        <v>25</v>
      </c>
      <c r="H94" s="54" t="s">
        <v>398</v>
      </c>
      <c r="I94" s="317">
        <v>511004574.00527775</v>
      </c>
      <c r="J94" s="317">
        <v>511004574.00527775</v>
      </c>
      <c r="K94" s="317">
        <f t="shared" si="1"/>
        <v>0</v>
      </c>
      <c r="L94" s="8"/>
    </row>
    <row r="95" spans="1:12">
      <c r="A95" s="118">
        <v>26</v>
      </c>
      <c r="B95" s="54" t="s">
        <v>399</v>
      </c>
      <c r="C95" s="317">
        <v>511004574.00527775</v>
      </c>
      <c r="D95" s="317">
        <v>511004574.00527775</v>
      </c>
      <c r="E95" s="317">
        <f t="shared" si="0"/>
        <v>0</v>
      </c>
      <c r="F95" s="8"/>
      <c r="G95" s="118">
        <v>26</v>
      </c>
      <c r="H95" s="54" t="s">
        <v>399</v>
      </c>
      <c r="I95" s="317">
        <v>511004574.00527775</v>
      </c>
      <c r="J95" s="317">
        <v>511004574.00527775</v>
      </c>
      <c r="K95" s="317">
        <f t="shared" si="1"/>
        <v>0</v>
      </c>
      <c r="L95" s="8"/>
    </row>
    <row r="96" spans="1:12">
      <c r="A96" s="118">
        <v>27</v>
      </c>
      <c r="B96" s="54" t="s">
        <v>400</v>
      </c>
      <c r="C96" s="317">
        <v>511004574.00527775</v>
      </c>
      <c r="D96" s="317">
        <v>511004574.00527775</v>
      </c>
      <c r="E96" s="317">
        <f t="shared" si="0"/>
        <v>0</v>
      </c>
      <c r="F96" s="8"/>
      <c r="G96" s="118">
        <v>27</v>
      </c>
      <c r="H96" s="54" t="s">
        <v>400</v>
      </c>
      <c r="I96" s="317">
        <v>511004574.00527775</v>
      </c>
      <c r="J96" s="317">
        <v>511004574.00527775</v>
      </c>
      <c r="K96" s="317">
        <f t="shared" si="1"/>
        <v>0</v>
      </c>
      <c r="L96" s="8"/>
    </row>
    <row r="97" spans="1:12">
      <c r="A97" s="118">
        <v>28</v>
      </c>
      <c r="B97" s="54" t="s">
        <v>401</v>
      </c>
      <c r="C97" s="317">
        <v>511004574.00527775</v>
      </c>
      <c r="D97" s="317">
        <v>511004574.00527775</v>
      </c>
      <c r="E97" s="317">
        <f t="shared" si="0"/>
        <v>0</v>
      </c>
      <c r="F97" s="8"/>
      <c r="G97" s="118">
        <v>28</v>
      </c>
      <c r="H97" s="54" t="s">
        <v>401</v>
      </c>
      <c r="I97" s="317">
        <v>511004574.00527775</v>
      </c>
      <c r="J97" s="317">
        <v>511004574.00527775</v>
      </c>
      <c r="K97" s="317">
        <f t="shared" si="1"/>
        <v>0</v>
      </c>
      <c r="L97" s="8"/>
    </row>
    <row r="98" spans="1:12">
      <c r="A98" s="118">
        <v>29</v>
      </c>
      <c r="B98" s="54" t="s">
        <v>402</v>
      </c>
      <c r="C98" s="317">
        <v>511004574.00527775</v>
      </c>
      <c r="D98" s="317">
        <v>511004574.00527775</v>
      </c>
      <c r="E98" s="317">
        <f t="shared" si="0"/>
        <v>0</v>
      </c>
      <c r="F98" s="8"/>
      <c r="G98" s="118">
        <v>29</v>
      </c>
      <c r="H98" s="54" t="s">
        <v>402</v>
      </c>
      <c r="I98" s="317">
        <v>511004574.00527775</v>
      </c>
      <c r="J98" s="317">
        <v>511004574.00527775</v>
      </c>
      <c r="K98" s="317">
        <f t="shared" si="1"/>
        <v>0</v>
      </c>
      <c r="L98" s="8"/>
    </row>
    <row r="99" spans="1:12">
      <c r="A99" s="118">
        <v>30</v>
      </c>
      <c r="B99" s="54" t="s">
        <v>403</v>
      </c>
      <c r="C99" s="317">
        <v>511004574.00527775</v>
      </c>
      <c r="D99" s="317">
        <v>511004574.00527775</v>
      </c>
      <c r="E99" s="317">
        <f t="shared" si="0"/>
        <v>0</v>
      </c>
      <c r="F99" s="8"/>
      <c r="G99" s="118">
        <v>30</v>
      </c>
      <c r="H99" s="54" t="s">
        <v>403</v>
      </c>
      <c r="I99" s="317">
        <v>511004574.00527775</v>
      </c>
      <c r="J99" s="317">
        <v>511004574.00527775</v>
      </c>
      <c r="K99" s="317">
        <f t="shared" si="1"/>
        <v>0</v>
      </c>
      <c r="L99" s="8"/>
    </row>
    <row r="100" spans="1:12">
      <c r="A100" s="118">
        <v>31</v>
      </c>
      <c r="B100" s="54" t="s">
        <v>404</v>
      </c>
      <c r="C100" s="317">
        <v>511004574.00527775</v>
      </c>
      <c r="D100" s="317">
        <v>511004574.00527775</v>
      </c>
      <c r="E100" s="317">
        <f t="shared" si="0"/>
        <v>0</v>
      </c>
      <c r="F100" s="8"/>
      <c r="G100" s="118">
        <v>31</v>
      </c>
      <c r="H100" s="54" t="s">
        <v>404</v>
      </c>
      <c r="I100" s="317">
        <v>511004574.00527775</v>
      </c>
      <c r="J100" s="317">
        <v>511004574.00527775</v>
      </c>
      <c r="K100" s="317">
        <f t="shared" si="1"/>
        <v>0</v>
      </c>
      <c r="L100" s="8"/>
    </row>
    <row r="101" spans="1:12">
      <c r="A101" s="118">
        <v>32</v>
      </c>
      <c r="B101" s="54" t="s">
        <v>405</v>
      </c>
      <c r="C101" s="317">
        <v>511004574.00527775</v>
      </c>
      <c r="D101" s="317">
        <v>511004574.00527775</v>
      </c>
      <c r="E101" s="317">
        <f t="shared" si="0"/>
        <v>0</v>
      </c>
      <c r="F101" s="8"/>
      <c r="G101" s="118">
        <v>32</v>
      </c>
      <c r="H101" s="54" t="s">
        <v>405</v>
      </c>
      <c r="I101" s="317">
        <v>511004574.00527775</v>
      </c>
      <c r="J101" s="317">
        <v>511004574.00527775</v>
      </c>
      <c r="K101" s="317">
        <f t="shared" si="1"/>
        <v>0</v>
      </c>
      <c r="L101" s="8"/>
    </row>
    <row r="102" spans="1:12">
      <c r="A102" s="118">
        <v>33</v>
      </c>
      <c r="B102" s="54" t="s">
        <v>406</v>
      </c>
      <c r="C102" s="317">
        <v>511004574.00527775</v>
      </c>
      <c r="D102" s="317">
        <v>511004574.00527775</v>
      </c>
      <c r="E102" s="317">
        <f t="shared" ref="E102:E133" si="2">IF(C102="","",ABS(D102-C102))</f>
        <v>0</v>
      </c>
      <c r="F102" s="8"/>
      <c r="G102" s="118">
        <v>33</v>
      </c>
      <c r="H102" s="54" t="s">
        <v>406</v>
      </c>
      <c r="I102" s="317">
        <v>511004574.00527775</v>
      </c>
      <c r="J102" s="317">
        <v>511004574.00527775</v>
      </c>
      <c r="K102" s="317">
        <f t="shared" ref="K102:K133" si="3">IF(I102="","",ABS(J102-I102))</f>
        <v>0</v>
      </c>
      <c r="L102" s="8"/>
    </row>
    <row r="103" spans="1:12">
      <c r="A103" s="118">
        <v>34</v>
      </c>
      <c r="B103" s="54" t="s">
        <v>407</v>
      </c>
      <c r="C103" s="317">
        <v>511004574.00527775</v>
      </c>
      <c r="D103" s="317">
        <v>511004574.00527775</v>
      </c>
      <c r="E103" s="317">
        <f t="shared" si="2"/>
        <v>0</v>
      </c>
      <c r="F103" s="8"/>
      <c r="G103" s="118">
        <v>34</v>
      </c>
      <c r="H103" s="54" t="s">
        <v>407</v>
      </c>
      <c r="I103" s="317">
        <v>511004574.00527775</v>
      </c>
      <c r="J103" s="317">
        <v>511004574.00527775</v>
      </c>
      <c r="K103" s="317">
        <f t="shared" si="3"/>
        <v>0</v>
      </c>
      <c r="L103" s="8"/>
    </row>
    <row r="104" spans="1:12">
      <c r="A104" s="118">
        <v>35</v>
      </c>
      <c r="B104" s="54" t="s">
        <v>408</v>
      </c>
      <c r="C104" s="317">
        <v>511004574.00527775</v>
      </c>
      <c r="D104" s="317">
        <v>511004574.00527775</v>
      </c>
      <c r="E104" s="317">
        <f t="shared" si="2"/>
        <v>0</v>
      </c>
      <c r="F104" s="8"/>
      <c r="G104" s="118">
        <v>35</v>
      </c>
      <c r="H104" s="54" t="s">
        <v>408</v>
      </c>
      <c r="I104" s="317">
        <v>511004574.00527775</v>
      </c>
      <c r="J104" s="317">
        <v>511004574.00527775</v>
      </c>
      <c r="K104" s="317">
        <f t="shared" si="3"/>
        <v>0</v>
      </c>
      <c r="L104" s="8"/>
    </row>
    <row r="105" spans="1:12">
      <c r="A105" s="118">
        <v>36</v>
      </c>
      <c r="B105" s="54" t="s">
        <v>345</v>
      </c>
      <c r="C105" s="317">
        <v>511004574.00527775</v>
      </c>
      <c r="D105" s="317">
        <v>511004574.00527775</v>
      </c>
      <c r="E105" s="317">
        <f t="shared" si="2"/>
        <v>0</v>
      </c>
      <c r="F105" s="8"/>
      <c r="G105" s="118">
        <v>36</v>
      </c>
      <c r="H105" s="54" t="s">
        <v>345</v>
      </c>
      <c r="I105" s="317">
        <v>511004574.00527775</v>
      </c>
      <c r="J105" s="317">
        <v>511004574.00527775</v>
      </c>
      <c r="K105" s="317">
        <f t="shared" si="3"/>
        <v>0</v>
      </c>
      <c r="L105" s="8"/>
    </row>
    <row r="106" spans="1:12">
      <c r="A106" s="118">
        <v>37</v>
      </c>
      <c r="B106" s="54" t="s">
        <v>230</v>
      </c>
      <c r="C106" s="317">
        <v>511004574.00527775</v>
      </c>
      <c r="D106" s="317">
        <v>511004574.00527775</v>
      </c>
      <c r="E106" s="317">
        <f t="shared" si="2"/>
        <v>0</v>
      </c>
      <c r="F106" s="8"/>
      <c r="G106" s="118">
        <v>37</v>
      </c>
      <c r="H106" s="54" t="s">
        <v>230</v>
      </c>
      <c r="I106" s="317">
        <v>511004574.00527775</v>
      </c>
      <c r="J106" s="317">
        <v>511004574.00527775</v>
      </c>
      <c r="K106" s="317">
        <f t="shared" si="3"/>
        <v>0</v>
      </c>
      <c r="L106" s="8"/>
    </row>
    <row r="107" spans="1:12">
      <c r="A107" s="118">
        <v>38</v>
      </c>
      <c r="B107" s="54" t="s">
        <v>232</v>
      </c>
      <c r="C107" s="317">
        <v>511004574.00527775</v>
      </c>
      <c r="D107" s="317">
        <v>511004574.00527775</v>
      </c>
      <c r="E107" s="317">
        <f t="shared" si="2"/>
        <v>0</v>
      </c>
      <c r="F107" s="8"/>
      <c r="G107" s="118">
        <v>38</v>
      </c>
      <c r="H107" s="54" t="s">
        <v>232</v>
      </c>
      <c r="I107" s="317">
        <v>511004574.00527775</v>
      </c>
      <c r="J107" s="317">
        <v>511004574.00527775</v>
      </c>
      <c r="K107" s="317">
        <f t="shared" si="3"/>
        <v>0</v>
      </c>
      <c r="L107" s="8"/>
    </row>
    <row r="108" spans="1:12">
      <c r="A108" s="118">
        <v>39</v>
      </c>
      <c r="B108" s="54" t="s">
        <v>233</v>
      </c>
      <c r="C108" s="317">
        <v>511004574.00527775</v>
      </c>
      <c r="D108" s="317">
        <v>511004574.00527775</v>
      </c>
      <c r="E108" s="317">
        <f t="shared" si="2"/>
        <v>0</v>
      </c>
      <c r="F108" s="8"/>
      <c r="G108" s="118">
        <v>39</v>
      </c>
      <c r="H108" s="54" t="s">
        <v>233</v>
      </c>
      <c r="I108" s="317">
        <v>511004574.00527775</v>
      </c>
      <c r="J108" s="317">
        <v>511004574.00527775</v>
      </c>
      <c r="K108" s="317">
        <f t="shared" si="3"/>
        <v>0</v>
      </c>
      <c r="L108" s="8"/>
    </row>
    <row r="109" spans="1:12">
      <c r="A109" s="118">
        <v>40</v>
      </c>
      <c r="B109" s="54" t="s">
        <v>392</v>
      </c>
      <c r="C109" s="317">
        <v>511017676.97457206</v>
      </c>
      <c r="D109" s="317">
        <v>510991471.03598326</v>
      </c>
      <c r="E109" s="317">
        <f t="shared" si="2"/>
        <v>26205.938588798046</v>
      </c>
      <c r="F109" s="8"/>
      <c r="G109" s="118">
        <v>40</v>
      </c>
      <c r="H109" s="54" t="s">
        <v>392</v>
      </c>
      <c r="I109" s="317">
        <v>511017676.97457206</v>
      </c>
      <c r="J109" s="317">
        <v>510991471.03598326</v>
      </c>
      <c r="K109" s="317">
        <f t="shared" si="3"/>
        <v>26205.938588798046</v>
      </c>
      <c r="L109" s="8"/>
    </row>
    <row r="110" spans="1:12">
      <c r="A110" s="118">
        <v>41</v>
      </c>
      <c r="B110" s="54" t="s">
        <v>391</v>
      </c>
      <c r="C110" s="317">
        <v>511122277.60364795</v>
      </c>
      <c r="D110" s="317">
        <v>510886870.40690756</v>
      </c>
      <c r="E110" s="317">
        <f t="shared" si="2"/>
        <v>235407.19674038887</v>
      </c>
      <c r="F110" s="8"/>
      <c r="G110" s="118">
        <v>41</v>
      </c>
      <c r="H110" s="54" t="s">
        <v>391</v>
      </c>
      <c r="I110" s="317">
        <v>511122277.60364795</v>
      </c>
      <c r="J110" s="317">
        <v>510886870.40690756</v>
      </c>
      <c r="K110" s="317">
        <f t="shared" si="3"/>
        <v>235407.19674038887</v>
      </c>
      <c r="L110" s="8"/>
    </row>
    <row r="111" spans="1:12">
      <c r="A111" s="118">
        <v>42</v>
      </c>
      <c r="B111" s="54" t="s">
        <v>387</v>
      </c>
      <c r="C111" s="317">
        <v>511450980.83652556</v>
      </c>
      <c r="D111" s="317">
        <v>510558167.17402995</v>
      </c>
      <c r="E111" s="317">
        <f t="shared" si="2"/>
        <v>892813.6624956131</v>
      </c>
      <c r="F111" s="8"/>
      <c r="G111" s="118">
        <v>42</v>
      </c>
      <c r="H111" s="54" t="s">
        <v>387</v>
      </c>
      <c r="I111" s="317">
        <v>511450980.83652556</v>
      </c>
      <c r="J111" s="317">
        <v>510558167.17402995</v>
      </c>
      <c r="K111" s="317">
        <f t="shared" si="3"/>
        <v>892813.6624956131</v>
      </c>
      <c r="L111" s="8"/>
    </row>
    <row r="112" spans="1:12">
      <c r="A112" s="118">
        <v>43</v>
      </c>
      <c r="B112" s="54" t="s">
        <v>393</v>
      </c>
      <c r="C112" s="317">
        <v>511950713.54403013</v>
      </c>
      <c r="D112" s="317">
        <v>510058434.46652532</v>
      </c>
      <c r="E112" s="317">
        <f t="shared" si="2"/>
        <v>1892279.0775048137</v>
      </c>
      <c r="F112" s="8"/>
      <c r="G112" s="118">
        <v>43</v>
      </c>
      <c r="H112" s="54" t="s">
        <v>393</v>
      </c>
      <c r="I112" s="317">
        <v>511950713.54403013</v>
      </c>
      <c r="J112" s="317">
        <v>510058434.46652532</v>
      </c>
      <c r="K112" s="317">
        <f t="shared" si="3"/>
        <v>1892279.0775048137</v>
      </c>
      <c r="L112" s="8"/>
    </row>
    <row r="113" spans="1:12">
      <c r="A113" s="118">
        <v>44</v>
      </c>
      <c r="B113" s="54" t="s">
        <v>388</v>
      </c>
      <c r="C113" s="317">
        <v>514363142.11955792</v>
      </c>
      <c r="D113" s="317">
        <v>507646005.89099753</v>
      </c>
      <c r="E113" s="317">
        <f t="shared" si="2"/>
        <v>6717136.2285603881</v>
      </c>
      <c r="F113" s="8"/>
      <c r="G113" s="118">
        <v>44</v>
      </c>
      <c r="H113" s="54" t="s">
        <v>388</v>
      </c>
      <c r="I113" s="317">
        <v>514363142.11955792</v>
      </c>
      <c r="J113" s="317">
        <v>507646005.89099753</v>
      </c>
      <c r="K113" s="317">
        <f t="shared" si="3"/>
        <v>6717136.2285603881</v>
      </c>
      <c r="L113" s="8"/>
    </row>
    <row r="114" spans="1:12">
      <c r="A114" s="118">
        <v>45</v>
      </c>
      <c r="B114" s="54" t="s">
        <v>390</v>
      </c>
      <c r="C114" s="317">
        <v>514528803.04187679</v>
      </c>
      <c r="D114" s="317">
        <v>507480344.96867871</v>
      </c>
      <c r="E114" s="317">
        <f t="shared" si="2"/>
        <v>7048458.0731980801</v>
      </c>
      <c r="F114" s="8"/>
      <c r="G114" s="118">
        <v>45</v>
      </c>
      <c r="H114" s="54" t="s">
        <v>390</v>
      </c>
      <c r="I114" s="317">
        <v>514528803.04187679</v>
      </c>
      <c r="J114" s="317">
        <v>507480344.96867871</v>
      </c>
      <c r="K114" s="317">
        <f t="shared" si="3"/>
        <v>7048458.0731980801</v>
      </c>
      <c r="L114" s="8"/>
    </row>
    <row r="115" spans="1:12">
      <c r="A115" s="118">
        <v>46</v>
      </c>
      <c r="B115" s="54" t="s">
        <v>394</v>
      </c>
      <c r="C115" s="317">
        <v>515058692.12955326</v>
      </c>
      <c r="D115" s="317">
        <v>506950455.88100213</v>
      </c>
      <c r="E115" s="317">
        <f t="shared" si="2"/>
        <v>8108236.2485511303</v>
      </c>
      <c r="F115" s="8"/>
      <c r="G115" s="118">
        <v>46</v>
      </c>
      <c r="H115" s="54" t="s">
        <v>394</v>
      </c>
      <c r="I115" s="317">
        <v>515058692.12955326</v>
      </c>
      <c r="J115" s="317">
        <v>506950455.88100213</v>
      </c>
      <c r="K115" s="317">
        <f t="shared" si="3"/>
        <v>8108236.2485511303</v>
      </c>
      <c r="L115" s="8"/>
    </row>
    <row r="116" spans="1:12">
      <c r="A116" s="118">
        <v>47</v>
      </c>
      <c r="B116" s="54" t="s">
        <v>395</v>
      </c>
      <c r="C116" s="317">
        <v>519658966.39572775</v>
      </c>
      <c r="D116" s="317">
        <v>502350181.61482763</v>
      </c>
      <c r="E116" s="317">
        <f t="shared" si="2"/>
        <v>17308784.780900121</v>
      </c>
      <c r="F116" s="8"/>
      <c r="G116" s="118">
        <v>47</v>
      </c>
      <c r="H116" s="54" t="s">
        <v>395</v>
      </c>
      <c r="I116" s="317">
        <v>519658966.39572775</v>
      </c>
      <c r="J116" s="317">
        <v>502350181.61482763</v>
      </c>
      <c r="K116" s="317">
        <f t="shared" si="3"/>
        <v>17308784.780900121</v>
      </c>
      <c r="L116" s="8"/>
    </row>
    <row r="117" spans="1:12">
      <c r="A117" s="118">
        <v>48</v>
      </c>
      <c r="B117" s="54" t="s">
        <v>389</v>
      </c>
      <c r="C117" s="317">
        <v>529496316.4867996</v>
      </c>
      <c r="D117" s="317">
        <v>492512831.52375567</v>
      </c>
      <c r="E117" s="317">
        <f t="shared" si="2"/>
        <v>36983484.963043928</v>
      </c>
      <c r="F117" s="8"/>
      <c r="G117" s="118">
        <v>48</v>
      </c>
      <c r="H117" s="54" t="s">
        <v>389</v>
      </c>
      <c r="I117" s="317">
        <v>529496316.4867996</v>
      </c>
      <c r="J117" s="317">
        <v>492512831.52375567</v>
      </c>
      <c r="K117" s="317">
        <f t="shared" si="3"/>
        <v>36983484.963043928</v>
      </c>
      <c r="L117" s="8"/>
    </row>
    <row r="118" spans="1:12">
      <c r="A118" s="118">
        <v>49</v>
      </c>
      <c r="B118" s="54" t="s">
        <v>385</v>
      </c>
      <c r="C118" s="317">
        <v>484002892.82400811</v>
      </c>
      <c r="D118" s="317">
        <v>538006255.1865474</v>
      </c>
      <c r="E118" s="317">
        <f t="shared" si="2"/>
        <v>54003362.362539291</v>
      </c>
      <c r="F118" s="8"/>
      <c r="G118" s="118">
        <v>49</v>
      </c>
      <c r="H118" s="54" t="s">
        <v>385</v>
      </c>
      <c r="I118" s="317">
        <v>484002892.82400811</v>
      </c>
      <c r="J118" s="317">
        <v>538006255.1865474</v>
      </c>
      <c r="K118" s="317">
        <f t="shared" si="3"/>
        <v>54003362.362539291</v>
      </c>
      <c r="L118" s="8"/>
    </row>
    <row r="119" spans="1:12">
      <c r="A119" s="118">
        <v>50</v>
      </c>
      <c r="B119" s="54" t="s">
        <v>383</v>
      </c>
      <c r="C119" s="317">
        <v>482627492.32722914</v>
      </c>
      <c r="D119" s="317">
        <v>539381655.68332636</v>
      </c>
      <c r="E119" s="317">
        <f t="shared" si="2"/>
        <v>56754163.356097221</v>
      </c>
      <c r="F119" s="8"/>
      <c r="G119" s="118">
        <v>50</v>
      </c>
      <c r="H119" s="54" t="s">
        <v>383</v>
      </c>
      <c r="I119" s="317">
        <v>482627492.32722914</v>
      </c>
      <c r="J119" s="317">
        <v>539381655.68332636</v>
      </c>
      <c r="K119" s="317">
        <f t="shared" si="3"/>
        <v>56754163.356097221</v>
      </c>
      <c r="L119" s="8"/>
    </row>
    <row r="120" spans="1:12">
      <c r="A120" s="118">
        <v>51</v>
      </c>
      <c r="B120" s="54" t="s">
        <v>386</v>
      </c>
      <c r="C120" s="317">
        <v>481050567.94813836</v>
      </c>
      <c r="D120" s="317">
        <v>540958580.06241715</v>
      </c>
      <c r="E120" s="317">
        <f t="shared" si="2"/>
        <v>59908012.114278793</v>
      </c>
      <c r="F120" s="8"/>
      <c r="G120" s="118">
        <v>51</v>
      </c>
      <c r="H120" s="54" t="s">
        <v>386</v>
      </c>
      <c r="I120" s="317">
        <v>481050567.94813836</v>
      </c>
      <c r="J120" s="317">
        <v>540958580.06241715</v>
      </c>
      <c r="K120" s="317">
        <f t="shared" si="3"/>
        <v>59908012.114278793</v>
      </c>
      <c r="L120" s="8"/>
    </row>
    <row r="121" spans="1:12">
      <c r="A121" s="118">
        <v>52</v>
      </c>
      <c r="B121" s="54" t="s">
        <v>384</v>
      </c>
      <c r="C121" s="317">
        <v>454530025.03588831</v>
      </c>
      <c r="D121" s="317">
        <v>567479122.97466731</v>
      </c>
      <c r="E121" s="317">
        <f t="shared" si="2"/>
        <v>112949097.938779</v>
      </c>
      <c r="F121" s="8"/>
      <c r="G121" s="118">
        <v>52</v>
      </c>
      <c r="H121" s="54" t="s">
        <v>384</v>
      </c>
      <c r="I121" s="317">
        <v>454530025.03588831</v>
      </c>
      <c r="J121" s="317">
        <v>567479122.97466731</v>
      </c>
      <c r="K121" s="317">
        <f t="shared" si="3"/>
        <v>112949097.938779</v>
      </c>
      <c r="L121" s="8"/>
    </row>
    <row r="122" spans="1:12">
      <c r="A122" s="118">
        <v>53</v>
      </c>
      <c r="B122" s="54" t="s">
        <v>368</v>
      </c>
      <c r="C122" s="317">
        <v>448309489.68613583</v>
      </c>
      <c r="D122" s="317">
        <v>570632114.34178996</v>
      </c>
      <c r="E122" s="317">
        <f t="shared" si="2"/>
        <v>122322624.65565413</v>
      </c>
      <c r="F122" s="8"/>
      <c r="G122" s="118">
        <v>53</v>
      </c>
      <c r="H122" s="54" t="s">
        <v>368</v>
      </c>
      <c r="I122" s="317">
        <v>448309489.68613583</v>
      </c>
      <c r="J122" s="317">
        <v>570632114.34178996</v>
      </c>
      <c r="K122" s="317">
        <f t="shared" si="3"/>
        <v>122322624.65565413</v>
      </c>
      <c r="L122" s="8"/>
    </row>
    <row r="123" spans="1:12">
      <c r="A123" s="118">
        <v>54</v>
      </c>
      <c r="B123" s="54" t="s">
        <v>367</v>
      </c>
      <c r="C123" s="317">
        <v>445044042.93931472</v>
      </c>
      <c r="D123" s="317">
        <v>584167691.79683483</v>
      </c>
      <c r="E123" s="317">
        <f t="shared" si="2"/>
        <v>139123648.8575201</v>
      </c>
      <c r="F123" s="8"/>
      <c r="G123" s="118">
        <v>54</v>
      </c>
      <c r="H123" s="54" t="s">
        <v>367</v>
      </c>
      <c r="I123" s="317">
        <v>445044042.93931472</v>
      </c>
      <c r="J123" s="317">
        <v>584167691.79683483</v>
      </c>
      <c r="K123" s="317">
        <f t="shared" si="3"/>
        <v>139123648.8575201</v>
      </c>
      <c r="L123" s="8"/>
    </row>
    <row r="124" spans="1:12">
      <c r="A124" s="118">
        <v>55</v>
      </c>
      <c r="B124" s="54"/>
      <c r="C124" s="317"/>
      <c r="D124" s="317"/>
      <c r="E124" s="317" t="str">
        <f t="shared" si="2"/>
        <v/>
      </c>
      <c r="F124" s="8"/>
      <c r="G124" s="118">
        <v>55</v>
      </c>
      <c r="H124" s="54"/>
      <c r="I124" s="317"/>
      <c r="J124" s="317"/>
      <c r="K124" s="317" t="str">
        <f t="shared" si="3"/>
        <v/>
      </c>
      <c r="L124" s="8"/>
    </row>
    <row r="125" spans="1:12">
      <c r="A125" s="118">
        <v>56</v>
      </c>
      <c r="B125" s="54"/>
      <c r="C125" s="317"/>
      <c r="D125" s="317"/>
      <c r="E125" s="317" t="str">
        <f t="shared" si="2"/>
        <v/>
      </c>
      <c r="F125" s="8"/>
      <c r="G125" s="118">
        <v>56</v>
      </c>
      <c r="H125" s="54"/>
      <c r="I125" s="317"/>
      <c r="J125" s="317"/>
      <c r="K125" s="317" t="str">
        <f t="shared" si="3"/>
        <v/>
      </c>
      <c r="L125" s="8"/>
    </row>
    <row r="126" spans="1:12">
      <c r="A126" s="118">
        <v>57</v>
      </c>
      <c r="B126" s="54"/>
      <c r="C126" s="317"/>
      <c r="D126" s="317"/>
      <c r="E126" s="317" t="str">
        <f t="shared" si="2"/>
        <v/>
      </c>
      <c r="F126" s="8"/>
      <c r="G126" s="118">
        <v>57</v>
      </c>
      <c r="H126" s="54"/>
      <c r="I126" s="317"/>
      <c r="J126" s="317"/>
      <c r="K126" s="317" t="str">
        <f t="shared" si="3"/>
        <v/>
      </c>
      <c r="L126" s="8"/>
    </row>
    <row r="127" spans="1:12">
      <c r="A127" s="118">
        <v>58</v>
      </c>
      <c r="B127" s="54"/>
      <c r="C127" s="317"/>
      <c r="D127" s="317"/>
      <c r="E127" s="317" t="str">
        <f t="shared" si="2"/>
        <v/>
      </c>
      <c r="F127" s="8"/>
      <c r="G127" s="118">
        <v>58</v>
      </c>
      <c r="H127" s="54"/>
      <c r="I127" s="317"/>
      <c r="J127" s="317"/>
      <c r="K127" s="317" t="str">
        <f t="shared" si="3"/>
        <v/>
      </c>
      <c r="L127" s="8"/>
    </row>
    <row r="128" spans="1:12">
      <c r="A128" s="118">
        <v>59</v>
      </c>
      <c r="B128" s="54"/>
      <c r="C128" s="317"/>
      <c r="D128" s="317"/>
      <c r="E128" s="317" t="str">
        <f t="shared" si="2"/>
        <v/>
      </c>
      <c r="F128" s="8"/>
      <c r="G128" s="118">
        <v>59</v>
      </c>
      <c r="H128" s="54"/>
      <c r="I128" s="317"/>
      <c r="J128" s="317"/>
      <c r="K128" s="317" t="str">
        <f t="shared" si="3"/>
        <v/>
      </c>
      <c r="L128" s="8"/>
    </row>
    <row r="129" spans="1:19">
      <c r="A129" s="118">
        <v>60</v>
      </c>
      <c r="B129" s="54"/>
      <c r="C129" s="317"/>
      <c r="D129" s="317"/>
      <c r="E129" s="317" t="str">
        <f t="shared" si="2"/>
        <v/>
      </c>
      <c r="F129" s="8"/>
      <c r="G129" s="118">
        <v>60</v>
      </c>
      <c r="H129" s="54"/>
      <c r="I129" s="317"/>
      <c r="J129" s="317"/>
      <c r="K129" s="317" t="str">
        <f t="shared" si="3"/>
        <v/>
      </c>
      <c r="L129" s="8"/>
    </row>
    <row r="137" spans="1:19" s="3" customFormat="1" ht="13.95" customHeight="1">
      <c r="B137" s="7"/>
      <c r="C137" s="7"/>
      <c r="D137" s="7"/>
      <c r="E137" s="7"/>
      <c r="F137" s="7"/>
      <c r="G137" s="7"/>
      <c r="H137" s="7"/>
      <c r="I137" s="7"/>
      <c r="J137" s="7"/>
      <c r="K137" s="7"/>
      <c r="L137" s="142"/>
      <c r="M137" s="9"/>
      <c r="N137" s="9"/>
      <c r="O137" s="9"/>
      <c r="P137" s="9"/>
      <c r="Q137" s="9"/>
      <c r="R137" s="9"/>
      <c r="S137" s="9"/>
    </row>
    <row r="138" spans="1:19" s="3" customFormat="1">
      <c r="B138" s="65"/>
      <c r="C138" s="65"/>
      <c r="D138" s="65"/>
      <c r="E138" s="65"/>
      <c r="F138" s="65"/>
      <c r="G138" s="65"/>
      <c r="H138" s="65"/>
      <c r="I138" s="65"/>
      <c r="J138" s="65"/>
      <c r="K138" s="65"/>
      <c r="L138" s="65"/>
    </row>
    <row r="139" spans="1:19" s="3" customFormat="1" ht="14.55" customHeight="1">
      <c r="B139" s="406" t="s">
        <v>77</v>
      </c>
      <c r="C139" s="406"/>
      <c r="D139" s="406"/>
      <c r="E139" s="406"/>
      <c r="F139" s="406"/>
      <c r="G139" s="406"/>
      <c r="H139" s="406"/>
      <c r="I139" s="406"/>
      <c r="J139" s="406"/>
      <c r="K139" s="406"/>
      <c r="L139" s="406"/>
    </row>
    <row r="140" spans="1:19" s="3" customFormat="1">
      <c r="B140" s="378"/>
      <c r="C140" s="378"/>
      <c r="D140" s="378"/>
      <c r="E140" s="378"/>
      <c r="F140" s="378"/>
      <c r="G140" s="378"/>
      <c r="H140" s="378"/>
      <c r="I140" s="378"/>
      <c r="J140" s="378"/>
      <c r="K140" s="378"/>
      <c r="L140" s="378"/>
    </row>
    <row r="141" spans="1:19" ht="85.95" customHeight="1">
      <c r="A141" s="1"/>
      <c r="B141" s="405" t="e" vm="1">
        <v>#VALUE!</v>
      </c>
      <c r="C141" s="405"/>
      <c r="D141" s="405"/>
      <c r="E141" s="405"/>
      <c r="F141" s="405"/>
      <c r="G141" s="405"/>
      <c r="H141" s="405"/>
      <c r="I141" s="405"/>
      <c r="J141" s="405"/>
      <c r="K141" s="405"/>
      <c r="L141" s="405"/>
    </row>
  </sheetData>
  <mergeCells count="2">
    <mergeCell ref="B139:L139"/>
    <mergeCell ref="B141:L14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189</vt:i4>
      </vt:variant>
    </vt:vector>
  </HeadingPairs>
  <TitlesOfParts>
    <vt:vector size="204" baseType="lpstr">
      <vt:lpstr>Introduction</vt:lpstr>
      <vt:lpstr>Definitions</vt:lpstr>
      <vt:lpstr>Mkt share</vt:lpstr>
      <vt:lpstr>Population</vt:lpstr>
      <vt:lpstr>Costs</vt:lpstr>
      <vt:lpstr>Time on treatment</vt:lpstr>
      <vt:lpstr>Results</vt:lpstr>
      <vt:lpstr>PSA</vt:lpstr>
      <vt:lpstr>SensibilityAn</vt:lpstr>
      <vt:lpstr>Data</vt:lpstr>
      <vt:lpstr>Calculations</vt:lpstr>
      <vt:lpstr>Calculations2</vt:lpstr>
      <vt:lpstr>Calculations3</vt:lpstr>
      <vt:lpstr>Parameters</vt:lpstr>
      <vt:lpstr>DSA</vt:lpstr>
      <vt:lpstr>ano_1</vt:lpstr>
      <vt:lpstr>c_inicial</vt:lpstr>
      <vt:lpstr>c_off</vt:lpstr>
      <vt:lpstr>c_on</vt:lpstr>
      <vt:lpstr>ca_comp1</vt:lpstr>
      <vt:lpstr>ca_comp10</vt:lpstr>
      <vt:lpstr>ca_comp2</vt:lpstr>
      <vt:lpstr>ca_comp3</vt:lpstr>
      <vt:lpstr>ca_comp4</vt:lpstr>
      <vt:lpstr>ca_comp5</vt:lpstr>
      <vt:lpstr>ca_comp6</vt:lpstr>
      <vt:lpstr>ca_comp7</vt:lpstr>
      <vt:lpstr>ca_comp8</vt:lpstr>
      <vt:lpstr>ca_comp9</vt:lpstr>
      <vt:lpstr>ca_int1</vt:lpstr>
      <vt:lpstr>ca_int2</vt:lpstr>
      <vt:lpstr>ca_int3</vt:lpstr>
      <vt:lpstr>ca_int4</vt:lpstr>
      <vt:lpstr>calculo</vt:lpstr>
      <vt:lpstr>cen_atual</vt:lpstr>
      <vt:lpstr>cen_prop1</vt:lpstr>
      <vt:lpstr>cen_prop2</vt:lpstr>
      <vt:lpstr>cen_prop3</vt:lpstr>
      <vt:lpstr>ci_comp1</vt:lpstr>
      <vt:lpstr>ci_comp10</vt:lpstr>
      <vt:lpstr>ci_comp2</vt:lpstr>
      <vt:lpstr>ci_comp3</vt:lpstr>
      <vt:lpstr>ci_comp4</vt:lpstr>
      <vt:lpstr>ci_comp5</vt:lpstr>
      <vt:lpstr>ci_comp6</vt:lpstr>
      <vt:lpstr>ci_comp7</vt:lpstr>
      <vt:lpstr>ci_comp8</vt:lpstr>
      <vt:lpstr>ci_comp9</vt:lpstr>
      <vt:lpstr>ci_int1</vt:lpstr>
      <vt:lpstr>ci_int2</vt:lpstr>
      <vt:lpstr>ci_int3</vt:lpstr>
      <vt:lpstr>ci_int4</vt:lpstr>
      <vt:lpstr>comparador1</vt:lpstr>
      <vt:lpstr>comparador10</vt:lpstr>
      <vt:lpstr>comparador2</vt:lpstr>
      <vt:lpstr>comparador3</vt:lpstr>
      <vt:lpstr>comparador4</vt:lpstr>
      <vt:lpstr>comparador5</vt:lpstr>
      <vt:lpstr>comparador6</vt:lpstr>
      <vt:lpstr>comparador7</vt:lpstr>
      <vt:lpstr>comparador8</vt:lpstr>
      <vt:lpstr>comparador9</vt:lpstr>
      <vt:lpstr>ct_comp1</vt:lpstr>
      <vt:lpstr>ct_comp10</vt:lpstr>
      <vt:lpstr>ct_comp2</vt:lpstr>
      <vt:lpstr>ct_comp3</vt:lpstr>
      <vt:lpstr>ct_comp4</vt:lpstr>
      <vt:lpstr>ct_comp5</vt:lpstr>
      <vt:lpstr>ct_comp6</vt:lpstr>
      <vt:lpstr>ct_comp7</vt:lpstr>
      <vt:lpstr>ct_comp8</vt:lpstr>
      <vt:lpstr>ct_comp9</vt:lpstr>
      <vt:lpstr>ct_int1</vt:lpstr>
      <vt:lpstr>ct_int2</vt:lpstr>
      <vt:lpstr>ct_int3</vt:lpstr>
      <vt:lpstr>ct_int4</vt:lpstr>
      <vt:lpstr>demanda</vt:lpstr>
      <vt:lpstr>desc_por_ob</vt:lpstr>
      <vt:lpstr>desc1_1</vt:lpstr>
      <vt:lpstr>desc1_2</vt:lpstr>
      <vt:lpstr>desc1_3</vt:lpstr>
      <vt:lpstr>desc1_4</vt:lpstr>
      <vt:lpstr>desc10_1</vt:lpstr>
      <vt:lpstr>desc10_2</vt:lpstr>
      <vt:lpstr>desc10_3</vt:lpstr>
      <vt:lpstr>desc10_4</vt:lpstr>
      <vt:lpstr>desc11_1</vt:lpstr>
      <vt:lpstr>desc11_2</vt:lpstr>
      <vt:lpstr>desc11_3</vt:lpstr>
      <vt:lpstr>desc11_4</vt:lpstr>
      <vt:lpstr>desc12_1</vt:lpstr>
      <vt:lpstr>desc12_2</vt:lpstr>
      <vt:lpstr>desc12_3</vt:lpstr>
      <vt:lpstr>desc12_4</vt:lpstr>
      <vt:lpstr>desc13_1</vt:lpstr>
      <vt:lpstr>desc13_2</vt:lpstr>
      <vt:lpstr>desc13_3</vt:lpstr>
      <vt:lpstr>desc13_4</vt:lpstr>
      <vt:lpstr>desc14_1</vt:lpstr>
      <vt:lpstr>desc14_2</vt:lpstr>
      <vt:lpstr>desc14_3</vt:lpstr>
      <vt:lpstr>desc14_4</vt:lpstr>
      <vt:lpstr>desc2_1</vt:lpstr>
      <vt:lpstr>desc2_2</vt:lpstr>
      <vt:lpstr>desc2_3</vt:lpstr>
      <vt:lpstr>desc2_4</vt:lpstr>
      <vt:lpstr>desc3_1</vt:lpstr>
      <vt:lpstr>desc3_2</vt:lpstr>
      <vt:lpstr>desc3_3</vt:lpstr>
      <vt:lpstr>desc3_4</vt:lpstr>
      <vt:lpstr>desc4_1</vt:lpstr>
      <vt:lpstr>desc4_2</vt:lpstr>
      <vt:lpstr>desc4_3</vt:lpstr>
      <vt:lpstr>desc4_4</vt:lpstr>
      <vt:lpstr>desc5_1</vt:lpstr>
      <vt:lpstr>desc5_2</vt:lpstr>
      <vt:lpstr>desc5_3</vt:lpstr>
      <vt:lpstr>desc5_4</vt:lpstr>
      <vt:lpstr>desc6_1</vt:lpstr>
      <vt:lpstr>desc6_2</vt:lpstr>
      <vt:lpstr>desc6_3</vt:lpstr>
      <vt:lpstr>desc6_4</vt:lpstr>
      <vt:lpstr>desc7_1</vt:lpstr>
      <vt:lpstr>desc7_2</vt:lpstr>
      <vt:lpstr>desc7_3</vt:lpstr>
      <vt:lpstr>desc7_4</vt:lpstr>
      <vt:lpstr>desc8_1</vt:lpstr>
      <vt:lpstr>desc8_2</vt:lpstr>
      <vt:lpstr>desc8_3</vt:lpstr>
      <vt:lpstr>desc8_4</vt:lpstr>
      <vt:lpstr>desc9_1</vt:lpstr>
      <vt:lpstr>desc9_2</vt:lpstr>
      <vt:lpstr>desc9_3</vt:lpstr>
      <vt:lpstr>desc9_4</vt:lpstr>
      <vt:lpstr>descontinua</vt:lpstr>
      <vt:lpstr>dynamic</vt:lpstr>
      <vt:lpstr>horizonte</vt:lpstr>
      <vt:lpstr>intervencao1</vt:lpstr>
      <vt:lpstr>intervencao2</vt:lpstr>
      <vt:lpstr>intervencao3</vt:lpstr>
      <vt:lpstr>intervencao4</vt:lpstr>
      <vt:lpstr>line</vt:lpstr>
      <vt:lpstr>morte</vt:lpstr>
      <vt:lpstr>n_compar</vt:lpstr>
      <vt:lpstr>n_interv</vt:lpstr>
      <vt:lpstr>ob1_1</vt:lpstr>
      <vt:lpstr>ob1_2</vt:lpstr>
      <vt:lpstr>ob1_3</vt:lpstr>
      <vt:lpstr>ob1_4</vt:lpstr>
      <vt:lpstr>ob10_1</vt:lpstr>
      <vt:lpstr>ob10_2</vt:lpstr>
      <vt:lpstr>ob10_3</vt:lpstr>
      <vt:lpstr>ob10_4</vt:lpstr>
      <vt:lpstr>ob11_1</vt:lpstr>
      <vt:lpstr>ob11_2</vt:lpstr>
      <vt:lpstr>ob11_3</vt:lpstr>
      <vt:lpstr>ob11_4</vt:lpstr>
      <vt:lpstr>ob12_1</vt:lpstr>
      <vt:lpstr>ob12_2</vt:lpstr>
      <vt:lpstr>ob12_3</vt:lpstr>
      <vt:lpstr>ob12_4</vt:lpstr>
      <vt:lpstr>ob13_1</vt:lpstr>
      <vt:lpstr>ob13_2</vt:lpstr>
      <vt:lpstr>ob13_3</vt:lpstr>
      <vt:lpstr>ob13_4</vt:lpstr>
      <vt:lpstr>ob14_1</vt:lpstr>
      <vt:lpstr>ob14_2</vt:lpstr>
      <vt:lpstr>ob14_3</vt:lpstr>
      <vt:lpstr>ob14_4</vt:lpstr>
      <vt:lpstr>ob2_1</vt:lpstr>
      <vt:lpstr>ob2_2</vt:lpstr>
      <vt:lpstr>ob2_3</vt:lpstr>
      <vt:lpstr>ob2_4</vt:lpstr>
      <vt:lpstr>ob3_1</vt:lpstr>
      <vt:lpstr>ob3_2</vt:lpstr>
      <vt:lpstr>ob3_3</vt:lpstr>
      <vt:lpstr>ob3_4</vt:lpstr>
      <vt:lpstr>ob4_1</vt:lpstr>
      <vt:lpstr>ob4_2</vt:lpstr>
      <vt:lpstr>ob4_3</vt:lpstr>
      <vt:lpstr>ob4_4</vt:lpstr>
      <vt:lpstr>ob5_1</vt:lpstr>
      <vt:lpstr>ob5_2</vt:lpstr>
      <vt:lpstr>ob5_3</vt:lpstr>
      <vt:lpstr>ob5_4</vt:lpstr>
      <vt:lpstr>ob6_1</vt:lpstr>
      <vt:lpstr>ob6_2</vt:lpstr>
      <vt:lpstr>ob6_3</vt:lpstr>
      <vt:lpstr>ob6_4</vt:lpstr>
      <vt:lpstr>ob7_1</vt:lpstr>
      <vt:lpstr>ob7_2</vt:lpstr>
      <vt:lpstr>ob7_3</vt:lpstr>
      <vt:lpstr>ob7_4</vt:lpstr>
      <vt:lpstr>ob8_1</vt:lpstr>
      <vt:lpstr>ob8_2</vt:lpstr>
      <vt:lpstr>ob8_3</vt:lpstr>
      <vt:lpstr>ob8_4</vt:lpstr>
      <vt:lpstr>ob9_1</vt:lpstr>
      <vt:lpstr>ob9_2</vt:lpstr>
      <vt:lpstr>ob9_3</vt:lpstr>
      <vt:lpstr>ob9_4</vt:lpstr>
      <vt:lpstr>obito</vt:lpstr>
      <vt:lpstr>populacao</vt:lpstr>
      <vt:lpstr>uso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Layssa Andrade Oliveira; Ludmila Peres Gargano</dc:creator>
  <cp:keywords/>
  <dc:description/>
  <cp:lastModifiedBy>Revisor</cp:lastModifiedBy>
  <cp:revision/>
  <dcterms:created xsi:type="dcterms:W3CDTF">2024-03-04T15:47:50Z</dcterms:created>
  <dcterms:modified xsi:type="dcterms:W3CDTF">2026-09-24T16:01:41Z</dcterms:modified>
  <cp:category/>
  <cp:contentStatus/>
</cp:coreProperties>
</file>